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https://emory-my.sharepoint.com/personal/iagoldm_emory_edu/Documents/IDS Thesis/"/>
    </mc:Choice>
  </mc:AlternateContent>
  <bookViews>
    <workbookView xWindow="320" yWindow="500" windowWidth="27580" windowHeight="15420" tabRatio="500" firstSheet="12" activeTab="14"/>
  </bookViews>
  <sheets>
    <sheet name="September Week 1" sheetId="60" r:id="rId1"/>
    <sheet name="October Week 1" sheetId="61" r:id="rId2"/>
    <sheet name="November Week 1" sheetId="57" r:id="rId3"/>
    <sheet name="December Week 1" sheetId="55" r:id="rId4"/>
    <sheet name="January Week 3 " sheetId="52" r:id="rId5"/>
    <sheet name="February Week 1" sheetId="51" r:id="rId6"/>
    <sheet name="September through February" sheetId="62" r:id="rId7"/>
    <sheet name="Sept to Feb Pivot" sheetId="68" r:id="rId8"/>
    <sheet name="food miles" sheetId="69" r:id="rId9"/>
    <sheet name="Beef, blk bean, Bey. B., tofu" sheetId="70" r:id="rId10"/>
    <sheet name="dairy milk vs soy milk" sheetId="71" r:id="rId11"/>
    <sheet name="CFP Plant-Based Red. Scenario" sheetId="72" r:id="rId12"/>
    <sheet name="Altered Reduction Scenario" sheetId="73" r:id="rId13"/>
    <sheet name="Blended Burger " sheetId="74" r:id="rId14"/>
    <sheet name="Cool Food Pledge" sheetId="75" r:id="rId15"/>
    <sheet name="2018-19 Extrap Data w Breaks" sheetId="76" r:id="rId16"/>
    <sheet name="2018-19 Extrap. Data(no breaks)" sheetId="77" r:id="rId17"/>
    <sheet name="December Sysco pivot" sheetId="48" r:id="rId18"/>
    <sheet name="December 2018 (Sysco)" sheetId="37" r:id="rId19"/>
    <sheet name="Jan Sysco pivot" sheetId="49" r:id="rId20"/>
    <sheet name="January 2019 (Sysco)" sheetId="12" r:id="rId21"/>
    <sheet name="Feb Sysco Pivot" sheetId="50" r:id="rId22"/>
    <sheet name="February 2019 (Sysco)" sheetId="38" r:id="rId23"/>
  </sheets>
  <calcPr calcId="150001" concurrentCalc="0"/>
  <pivotCaches>
    <pivotCache cacheId="0" r:id="rId24"/>
    <pivotCache cacheId="1" r:id="rId25"/>
    <pivotCache cacheId="2" r:id="rId26"/>
    <pivotCache cacheId="3" r:id="rId27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77" l="1"/>
  <c r="K3" i="77"/>
  <c r="H4" i="77"/>
  <c r="K4" i="77"/>
  <c r="H5" i="77"/>
  <c r="K5" i="77"/>
  <c r="H6" i="77"/>
  <c r="K6" i="77"/>
  <c r="K7" i="77"/>
  <c r="J7" i="77"/>
  <c r="I7" i="77"/>
  <c r="H7" i="77"/>
  <c r="G7" i="77"/>
  <c r="F7" i="77"/>
  <c r="E7" i="77"/>
  <c r="D7" i="77"/>
  <c r="C7" i="77"/>
  <c r="B7" i="77"/>
  <c r="H3" i="76"/>
  <c r="K3" i="76"/>
  <c r="K4" i="76"/>
  <c r="K5" i="76"/>
  <c r="K6" i="76"/>
  <c r="K7" i="76"/>
  <c r="J7" i="76"/>
  <c r="I7" i="76"/>
  <c r="H7" i="76"/>
  <c r="G7" i="76"/>
  <c r="F7" i="76"/>
  <c r="E7" i="76"/>
  <c r="D7" i="76"/>
  <c r="C7" i="76"/>
  <c r="B7" i="76"/>
  <c r="A8" i="75"/>
  <c r="B3" i="75"/>
  <c r="C3" i="75"/>
  <c r="D3" i="75"/>
  <c r="B8" i="75"/>
  <c r="C8" i="75"/>
  <c r="D8" i="75"/>
  <c r="E8" i="75"/>
  <c r="F8" i="75"/>
  <c r="G8" i="75"/>
  <c r="H8" i="75"/>
  <c r="I8" i="75"/>
  <c r="J8" i="75"/>
  <c r="K8" i="75"/>
  <c r="L8" i="75"/>
  <c r="J3" i="74"/>
  <c r="K3" i="74"/>
  <c r="J4" i="74"/>
  <c r="K4" i="74"/>
  <c r="J5" i="74"/>
  <c r="K5" i="74"/>
  <c r="J6" i="74"/>
  <c r="K6" i="74"/>
  <c r="J7" i="74"/>
  <c r="K7" i="74"/>
  <c r="J8" i="74"/>
  <c r="K8" i="74"/>
  <c r="J9" i="74"/>
  <c r="K9" i="74"/>
  <c r="J10" i="74"/>
  <c r="K10" i="74"/>
  <c r="J11" i="74"/>
  <c r="K11" i="74"/>
  <c r="J12" i="74"/>
  <c r="K12" i="74"/>
  <c r="K13" i="74"/>
  <c r="B22" i="74"/>
  <c r="B23" i="74"/>
  <c r="B29" i="74"/>
  <c r="D29" i="74"/>
  <c r="E29" i="74"/>
  <c r="B31" i="74"/>
  <c r="C31" i="74"/>
  <c r="E31" i="74"/>
  <c r="F31" i="74"/>
  <c r="D31" i="74"/>
  <c r="B30" i="74"/>
  <c r="C30" i="74"/>
  <c r="E30" i="74"/>
  <c r="F30" i="74"/>
  <c r="D30" i="74"/>
  <c r="C22" i="74"/>
  <c r="C23" i="74"/>
  <c r="M3" i="74"/>
  <c r="M4" i="74"/>
  <c r="M5" i="74"/>
  <c r="M6" i="74"/>
  <c r="M7" i="74"/>
  <c r="M8" i="74"/>
  <c r="M9" i="74"/>
  <c r="M10" i="74"/>
  <c r="M11" i="74"/>
  <c r="M12" i="74"/>
  <c r="M13" i="74"/>
  <c r="J13" i="74"/>
  <c r="B28" i="73"/>
  <c r="D28" i="73"/>
  <c r="B29" i="73"/>
  <c r="D29" i="73"/>
  <c r="B30" i="73"/>
  <c r="D30" i="73"/>
  <c r="B31" i="73"/>
  <c r="D31" i="73"/>
  <c r="B32" i="73"/>
  <c r="D32" i="73"/>
  <c r="B33" i="73"/>
  <c r="D33" i="73"/>
  <c r="B34" i="73"/>
  <c r="D34" i="73"/>
  <c r="B25" i="73"/>
  <c r="D25" i="73"/>
  <c r="B26" i="73"/>
  <c r="D26" i="73"/>
  <c r="B27" i="73"/>
  <c r="D27" i="73"/>
  <c r="E25" i="73"/>
  <c r="F25" i="73"/>
  <c r="E26" i="73"/>
  <c r="F26" i="73"/>
  <c r="E27" i="73"/>
  <c r="F27" i="73"/>
  <c r="E28" i="73"/>
  <c r="F28" i="73"/>
  <c r="E29" i="73"/>
  <c r="F29" i="73"/>
  <c r="E30" i="73"/>
  <c r="F30" i="73"/>
  <c r="E31" i="73"/>
  <c r="F31" i="73"/>
  <c r="E32" i="73"/>
  <c r="F32" i="73"/>
  <c r="E33" i="73"/>
  <c r="F33" i="73"/>
  <c r="E34" i="73"/>
  <c r="F34" i="73"/>
  <c r="F35" i="73"/>
  <c r="B16" i="72"/>
  <c r="D16" i="72"/>
  <c r="E16" i="72"/>
  <c r="F16" i="72"/>
  <c r="B17" i="72"/>
  <c r="D17" i="72"/>
  <c r="E17" i="72"/>
  <c r="F17" i="72"/>
  <c r="B18" i="72"/>
  <c r="D18" i="72"/>
  <c r="E18" i="72"/>
  <c r="F18" i="72"/>
  <c r="B19" i="72"/>
  <c r="D19" i="72"/>
  <c r="E19" i="72"/>
  <c r="F19" i="72"/>
  <c r="B20" i="72"/>
  <c r="D20" i="72"/>
  <c r="E20" i="72"/>
  <c r="F20" i="72"/>
  <c r="B21" i="72"/>
  <c r="D21" i="72"/>
  <c r="E21" i="72"/>
  <c r="F21" i="72"/>
  <c r="B22" i="72"/>
  <c r="D22" i="72"/>
  <c r="E22" i="72"/>
  <c r="F22" i="72"/>
  <c r="B23" i="72"/>
  <c r="D23" i="72"/>
  <c r="E23" i="72"/>
  <c r="F23" i="72"/>
  <c r="B24" i="72"/>
  <c r="D24" i="72"/>
  <c r="E24" i="72"/>
  <c r="F24" i="72"/>
  <c r="B25" i="72"/>
  <c r="D25" i="72"/>
  <c r="E25" i="72"/>
  <c r="F25" i="72"/>
  <c r="F26" i="72"/>
  <c r="D10" i="71"/>
  <c r="D11" i="71"/>
  <c r="D7" i="71"/>
  <c r="D8" i="71"/>
  <c r="F3" i="71"/>
  <c r="F4" i="71"/>
  <c r="F5" i="71"/>
  <c r="H4" i="71"/>
  <c r="H3" i="71"/>
  <c r="C21" i="70"/>
  <c r="F21" i="70"/>
  <c r="C20" i="70"/>
  <c r="F20" i="70"/>
  <c r="C19" i="70"/>
  <c r="F19" i="70"/>
  <c r="F18" i="70"/>
  <c r="D18" i="70"/>
  <c r="D13" i="70"/>
  <c r="D12" i="70"/>
  <c r="D11" i="70"/>
  <c r="D10" i="70"/>
  <c r="F6" i="70"/>
  <c r="F5" i="70"/>
  <c r="F4" i="70"/>
  <c r="F3" i="70"/>
  <c r="F5" i="69"/>
  <c r="F4" i="69"/>
  <c r="F3" i="69"/>
  <c r="F2" i="69"/>
  <c r="I3" i="62"/>
  <c r="J3" i="62"/>
  <c r="K3" i="62"/>
  <c r="L3" i="62"/>
  <c r="I4" i="62"/>
  <c r="J4" i="62"/>
  <c r="K4" i="62"/>
  <c r="L4" i="62"/>
  <c r="I5" i="62"/>
  <c r="J5" i="62"/>
  <c r="L5" i="62"/>
  <c r="I6" i="62"/>
  <c r="J6" i="62"/>
  <c r="L6" i="62"/>
  <c r="I7" i="62"/>
  <c r="J7" i="62"/>
  <c r="L7" i="62"/>
  <c r="I8" i="62"/>
  <c r="J8" i="62"/>
  <c r="L8" i="62"/>
  <c r="I9" i="62"/>
  <c r="J9" i="62"/>
  <c r="L9" i="62"/>
  <c r="E10" i="62"/>
  <c r="I10" i="62"/>
  <c r="J10" i="62"/>
  <c r="L10" i="62"/>
  <c r="E11" i="62"/>
  <c r="I11" i="62"/>
  <c r="J11" i="62"/>
  <c r="L11" i="62"/>
  <c r="E12" i="62"/>
  <c r="I12" i="62"/>
  <c r="J12" i="62"/>
  <c r="L12" i="62"/>
  <c r="I13" i="62"/>
  <c r="J13" i="62"/>
  <c r="L13" i="62"/>
  <c r="I14" i="62"/>
  <c r="J14" i="62"/>
  <c r="L14" i="62"/>
  <c r="I15" i="62"/>
  <c r="J15" i="62"/>
  <c r="L15" i="62"/>
  <c r="I16" i="62"/>
  <c r="J16" i="62"/>
  <c r="L16" i="62"/>
  <c r="E17" i="62"/>
  <c r="I17" i="62"/>
  <c r="J17" i="62"/>
  <c r="L17" i="62"/>
  <c r="E18" i="62"/>
  <c r="I18" i="62"/>
  <c r="J18" i="62"/>
  <c r="L18" i="62"/>
  <c r="I19" i="62"/>
  <c r="J19" i="62"/>
  <c r="L19" i="62"/>
  <c r="I20" i="62"/>
  <c r="J20" i="62"/>
  <c r="L20" i="62"/>
  <c r="I21" i="62"/>
  <c r="J21" i="62"/>
  <c r="L21" i="62"/>
  <c r="I22" i="62"/>
  <c r="J22" i="62"/>
  <c r="L22" i="62"/>
  <c r="I23" i="62"/>
  <c r="J23" i="62"/>
  <c r="L23" i="62"/>
  <c r="I24" i="62"/>
  <c r="J24" i="62"/>
  <c r="L24" i="62"/>
  <c r="I25" i="62"/>
  <c r="J25" i="62"/>
  <c r="L25" i="62"/>
  <c r="I26" i="62"/>
  <c r="J26" i="62"/>
  <c r="L26" i="62"/>
  <c r="I27" i="62"/>
  <c r="J27" i="62"/>
  <c r="L27" i="62"/>
  <c r="E28" i="62"/>
  <c r="I28" i="62"/>
  <c r="J28" i="62"/>
  <c r="L28" i="62"/>
  <c r="I29" i="62"/>
  <c r="J29" i="62"/>
  <c r="L29" i="62"/>
  <c r="I30" i="62"/>
  <c r="J30" i="62"/>
  <c r="L30" i="62"/>
  <c r="I31" i="62"/>
  <c r="J31" i="62"/>
  <c r="L31" i="62"/>
  <c r="I32" i="62"/>
  <c r="J32" i="62"/>
  <c r="L32" i="62"/>
  <c r="I33" i="62"/>
  <c r="J33" i="62"/>
  <c r="L33" i="62"/>
  <c r="I34" i="62"/>
  <c r="J34" i="62"/>
  <c r="L34" i="62"/>
  <c r="E35" i="62"/>
  <c r="I35" i="62"/>
  <c r="J35" i="62"/>
  <c r="L35" i="62"/>
  <c r="I36" i="62"/>
  <c r="J36" i="62"/>
  <c r="L36" i="62"/>
  <c r="I37" i="62"/>
  <c r="J37" i="62"/>
  <c r="L37" i="62"/>
  <c r="I38" i="62"/>
  <c r="J38" i="62"/>
  <c r="L38" i="62"/>
  <c r="I39" i="62"/>
  <c r="J39" i="62"/>
  <c r="L39" i="62"/>
  <c r="I40" i="62"/>
  <c r="J40" i="62"/>
  <c r="L40" i="62"/>
  <c r="I41" i="62"/>
  <c r="J41" i="62"/>
  <c r="L41" i="62"/>
  <c r="I42" i="62"/>
  <c r="J42" i="62"/>
  <c r="L42" i="62"/>
  <c r="I43" i="62"/>
  <c r="J43" i="62"/>
  <c r="L43" i="62"/>
  <c r="I44" i="62"/>
  <c r="J44" i="62"/>
  <c r="L44" i="62"/>
  <c r="I45" i="62"/>
  <c r="J45" i="62"/>
  <c r="L45" i="62"/>
  <c r="I46" i="62"/>
  <c r="J46" i="62"/>
  <c r="L46" i="62"/>
  <c r="I47" i="62"/>
  <c r="J47" i="62"/>
  <c r="L47" i="62"/>
  <c r="I48" i="62"/>
  <c r="J48" i="62"/>
  <c r="L48" i="62"/>
  <c r="I49" i="62"/>
  <c r="J49" i="62"/>
  <c r="L49" i="62"/>
  <c r="I50" i="62"/>
  <c r="J50" i="62"/>
  <c r="L50" i="62"/>
  <c r="I51" i="62"/>
  <c r="J51" i="62"/>
  <c r="L51" i="62"/>
  <c r="I52" i="62"/>
  <c r="J52" i="62"/>
  <c r="L52" i="62"/>
  <c r="E53" i="62"/>
  <c r="I53" i="62"/>
  <c r="J53" i="62"/>
  <c r="L53" i="62"/>
  <c r="I54" i="62"/>
  <c r="J54" i="62"/>
  <c r="L54" i="62"/>
  <c r="J55" i="62"/>
  <c r="L55" i="62"/>
  <c r="I56" i="62"/>
  <c r="J56" i="62"/>
  <c r="L56" i="62"/>
  <c r="I57" i="62"/>
  <c r="J57" i="62"/>
  <c r="L57" i="62"/>
  <c r="I58" i="62"/>
  <c r="J58" i="62"/>
  <c r="L58" i="62"/>
  <c r="I59" i="62"/>
  <c r="J59" i="62"/>
  <c r="L59" i="62"/>
  <c r="I60" i="62"/>
  <c r="J60" i="62"/>
  <c r="L60" i="62"/>
  <c r="I61" i="62"/>
  <c r="J61" i="62"/>
  <c r="L61" i="62"/>
  <c r="I62" i="62"/>
  <c r="J62" i="62"/>
  <c r="L62" i="62"/>
  <c r="I63" i="62"/>
  <c r="J63" i="62"/>
  <c r="L63" i="62"/>
  <c r="I64" i="62"/>
  <c r="J64" i="62"/>
  <c r="L64" i="62"/>
  <c r="I65" i="62"/>
  <c r="J65" i="62"/>
  <c r="L65" i="62"/>
  <c r="I66" i="62"/>
  <c r="J66" i="62"/>
  <c r="L66" i="62"/>
  <c r="I67" i="62"/>
  <c r="J67" i="62"/>
  <c r="L67" i="62"/>
  <c r="I68" i="62"/>
  <c r="J68" i="62"/>
  <c r="L68" i="62"/>
  <c r="I69" i="62"/>
  <c r="J69" i="62"/>
  <c r="L69" i="62"/>
  <c r="E70" i="62"/>
  <c r="I70" i="62"/>
  <c r="J70" i="62"/>
  <c r="L70" i="62"/>
  <c r="I71" i="62"/>
  <c r="J71" i="62"/>
  <c r="L71" i="62"/>
  <c r="I72" i="62"/>
  <c r="J72" i="62"/>
  <c r="L72" i="62"/>
  <c r="E73" i="62"/>
  <c r="I73" i="62"/>
  <c r="J73" i="62"/>
  <c r="L73" i="62"/>
  <c r="I74" i="62"/>
  <c r="J74" i="62"/>
  <c r="L74" i="62"/>
  <c r="I75" i="62"/>
  <c r="J75" i="62"/>
  <c r="L75" i="62"/>
  <c r="E76" i="62"/>
  <c r="I76" i="62"/>
  <c r="J76" i="62"/>
  <c r="L76" i="62"/>
  <c r="I77" i="62"/>
  <c r="J77" i="62"/>
  <c r="L77" i="62"/>
  <c r="I78" i="62"/>
  <c r="J78" i="62"/>
  <c r="L78" i="62"/>
  <c r="I79" i="62"/>
  <c r="J79" i="62"/>
  <c r="L79" i="62"/>
  <c r="I80" i="62"/>
  <c r="J80" i="62"/>
  <c r="L80" i="62"/>
  <c r="I81" i="62"/>
  <c r="J81" i="62"/>
  <c r="L81" i="62"/>
  <c r="E82" i="62"/>
  <c r="I82" i="62"/>
  <c r="J82" i="62"/>
  <c r="L82" i="62"/>
  <c r="E83" i="62"/>
  <c r="I83" i="62"/>
  <c r="J83" i="62"/>
  <c r="L83" i="62"/>
  <c r="E84" i="62"/>
  <c r="I84" i="62"/>
  <c r="J84" i="62"/>
  <c r="L84" i="62"/>
  <c r="E85" i="62"/>
  <c r="I85" i="62"/>
  <c r="J85" i="62"/>
  <c r="L85" i="62"/>
  <c r="I86" i="62"/>
  <c r="J86" i="62"/>
  <c r="L86" i="62"/>
  <c r="E87" i="62"/>
  <c r="I87" i="62"/>
  <c r="J87" i="62"/>
  <c r="L87" i="62"/>
  <c r="I88" i="62"/>
  <c r="J88" i="62"/>
  <c r="L88" i="62"/>
  <c r="I89" i="62"/>
  <c r="J89" i="62"/>
  <c r="L89" i="62"/>
  <c r="I90" i="62"/>
  <c r="J90" i="62"/>
  <c r="L90" i="62"/>
  <c r="I91" i="62"/>
  <c r="J91" i="62"/>
  <c r="L91" i="62"/>
  <c r="I92" i="62"/>
  <c r="J92" i="62"/>
  <c r="L92" i="62"/>
  <c r="E93" i="62"/>
  <c r="I93" i="62"/>
  <c r="J93" i="62"/>
  <c r="L93" i="62"/>
  <c r="E94" i="62"/>
  <c r="I94" i="62"/>
  <c r="J94" i="62"/>
  <c r="L94" i="62"/>
  <c r="E95" i="62"/>
  <c r="I95" i="62"/>
  <c r="J95" i="62"/>
  <c r="L95" i="62"/>
  <c r="I96" i="62"/>
  <c r="J96" i="62"/>
  <c r="L96" i="62"/>
  <c r="I97" i="62"/>
  <c r="J97" i="62"/>
  <c r="L97" i="62"/>
  <c r="I98" i="62"/>
  <c r="J98" i="62"/>
  <c r="L98" i="62"/>
  <c r="I99" i="62"/>
  <c r="J99" i="62"/>
  <c r="L99" i="62"/>
  <c r="I100" i="62"/>
  <c r="J100" i="62"/>
  <c r="L100" i="62"/>
  <c r="I101" i="62"/>
  <c r="J101" i="62"/>
  <c r="L101" i="62"/>
  <c r="I102" i="62"/>
  <c r="J102" i="62"/>
  <c r="L102" i="62"/>
  <c r="I103" i="62"/>
  <c r="J103" i="62"/>
  <c r="L103" i="62"/>
  <c r="I104" i="62"/>
  <c r="J104" i="62"/>
  <c r="L104" i="62"/>
  <c r="I105" i="62"/>
  <c r="J105" i="62"/>
  <c r="L105" i="62"/>
  <c r="I106" i="62"/>
  <c r="J106" i="62"/>
  <c r="L106" i="62"/>
  <c r="I107" i="62"/>
  <c r="J107" i="62"/>
  <c r="L107" i="62"/>
  <c r="I108" i="62"/>
  <c r="J108" i="62"/>
  <c r="L108" i="62"/>
  <c r="I109" i="62"/>
  <c r="J109" i="62"/>
  <c r="L109" i="62"/>
  <c r="I110" i="62"/>
  <c r="J110" i="62"/>
  <c r="L110" i="62"/>
  <c r="I111" i="62"/>
  <c r="J111" i="62"/>
  <c r="L111" i="62"/>
  <c r="I112" i="62"/>
  <c r="J112" i="62"/>
  <c r="L112" i="62"/>
  <c r="I113" i="62"/>
  <c r="J113" i="62"/>
  <c r="L113" i="62"/>
  <c r="I114" i="62"/>
  <c r="J114" i="62"/>
  <c r="L114" i="62"/>
  <c r="I115" i="62"/>
  <c r="J115" i="62"/>
  <c r="L115" i="62"/>
  <c r="I116" i="62"/>
  <c r="J116" i="62"/>
  <c r="L116" i="62"/>
  <c r="I117" i="62"/>
  <c r="J117" i="62"/>
  <c r="L117" i="62"/>
  <c r="I118" i="62"/>
  <c r="J118" i="62"/>
  <c r="L118" i="62"/>
  <c r="I119" i="62"/>
  <c r="J119" i="62"/>
  <c r="L119" i="62"/>
  <c r="I120" i="62"/>
  <c r="J120" i="62"/>
  <c r="L120" i="62"/>
  <c r="I121" i="62"/>
  <c r="J121" i="62"/>
  <c r="L121" i="62"/>
  <c r="I122" i="62"/>
  <c r="J122" i="62"/>
  <c r="L122" i="62"/>
  <c r="I123" i="62"/>
  <c r="J123" i="62"/>
  <c r="L123" i="62"/>
  <c r="I124" i="62"/>
  <c r="J124" i="62"/>
  <c r="L124" i="62"/>
  <c r="I125" i="62"/>
  <c r="J125" i="62"/>
  <c r="L125" i="62"/>
  <c r="I126" i="62"/>
  <c r="J126" i="62"/>
  <c r="L126" i="62"/>
  <c r="I127" i="62"/>
  <c r="J127" i="62"/>
  <c r="L127" i="62"/>
  <c r="I128" i="62"/>
  <c r="J128" i="62"/>
  <c r="L128" i="62"/>
  <c r="I129" i="62"/>
  <c r="J129" i="62"/>
  <c r="L129" i="62"/>
  <c r="I130" i="62"/>
  <c r="J130" i="62"/>
  <c r="L130" i="62"/>
  <c r="I131" i="62"/>
  <c r="J131" i="62"/>
  <c r="L131" i="62"/>
  <c r="I132" i="62"/>
  <c r="J132" i="62"/>
  <c r="L132" i="62"/>
  <c r="I133" i="62"/>
  <c r="J133" i="62"/>
  <c r="L133" i="62"/>
  <c r="I134" i="62"/>
  <c r="J134" i="62"/>
  <c r="L134" i="62"/>
  <c r="I135" i="62"/>
  <c r="J135" i="62"/>
  <c r="L135" i="62"/>
  <c r="I136" i="62"/>
  <c r="J136" i="62"/>
  <c r="L136" i="62"/>
  <c r="I137" i="62"/>
  <c r="J137" i="62"/>
  <c r="L137" i="62"/>
  <c r="I138" i="62"/>
  <c r="J138" i="62"/>
  <c r="L138" i="62"/>
  <c r="I139" i="62"/>
  <c r="J139" i="62"/>
  <c r="L139" i="62"/>
  <c r="I140" i="62"/>
  <c r="J140" i="62"/>
  <c r="L140" i="62"/>
  <c r="I141" i="62"/>
  <c r="J141" i="62"/>
  <c r="L141" i="62"/>
  <c r="I142" i="62"/>
  <c r="J142" i="62"/>
  <c r="L142" i="62"/>
  <c r="I143" i="62"/>
  <c r="J143" i="62"/>
  <c r="L143" i="62"/>
  <c r="I144" i="62"/>
  <c r="J144" i="62"/>
  <c r="L144" i="62"/>
  <c r="I145" i="62"/>
  <c r="J145" i="62"/>
  <c r="L145" i="62"/>
  <c r="I146" i="62"/>
  <c r="J146" i="62"/>
  <c r="L146" i="62"/>
  <c r="I147" i="62"/>
  <c r="J147" i="62"/>
  <c r="L147" i="62"/>
  <c r="I148" i="62"/>
  <c r="J148" i="62"/>
  <c r="L148" i="62"/>
  <c r="I149" i="62"/>
  <c r="J149" i="62"/>
  <c r="L149" i="62"/>
  <c r="E150" i="62"/>
  <c r="I150" i="62"/>
  <c r="J150" i="62"/>
  <c r="L150" i="62"/>
  <c r="E151" i="62"/>
  <c r="I151" i="62"/>
  <c r="J151" i="62"/>
  <c r="L151" i="62"/>
  <c r="E152" i="62"/>
  <c r="I152" i="62"/>
  <c r="J152" i="62"/>
  <c r="L152" i="62"/>
  <c r="E153" i="62"/>
  <c r="I153" i="62"/>
  <c r="J153" i="62"/>
  <c r="L153" i="62"/>
  <c r="J154" i="62"/>
  <c r="L154" i="62"/>
  <c r="I155" i="62"/>
  <c r="J155" i="62"/>
  <c r="L155" i="62"/>
  <c r="E156" i="62"/>
  <c r="I156" i="62"/>
  <c r="J156" i="62"/>
  <c r="L156" i="62"/>
  <c r="I157" i="62"/>
  <c r="J157" i="62"/>
  <c r="L157" i="62"/>
  <c r="I158" i="62"/>
  <c r="J158" i="62"/>
  <c r="L158" i="62"/>
  <c r="E159" i="62"/>
  <c r="I159" i="62"/>
  <c r="J159" i="62"/>
  <c r="L159" i="62"/>
  <c r="E160" i="62"/>
  <c r="I160" i="62"/>
  <c r="J160" i="62"/>
  <c r="L160" i="62"/>
  <c r="I161" i="62"/>
  <c r="J161" i="62"/>
  <c r="L161" i="62"/>
  <c r="E162" i="62"/>
  <c r="I162" i="62"/>
  <c r="J162" i="62"/>
  <c r="L162" i="62"/>
  <c r="I163" i="62"/>
  <c r="J163" i="62"/>
  <c r="L163" i="62"/>
  <c r="E164" i="62"/>
  <c r="I164" i="62"/>
  <c r="J164" i="62"/>
  <c r="L164" i="62"/>
  <c r="E165" i="62"/>
  <c r="I165" i="62"/>
  <c r="J165" i="62"/>
  <c r="L165" i="62"/>
  <c r="I166" i="62"/>
  <c r="J166" i="62"/>
  <c r="L166" i="62"/>
  <c r="E167" i="62"/>
  <c r="I167" i="62"/>
  <c r="J167" i="62"/>
  <c r="L167" i="62"/>
  <c r="I168" i="62"/>
  <c r="J168" i="62"/>
  <c r="L168" i="62"/>
  <c r="I169" i="62"/>
  <c r="J169" i="62"/>
  <c r="L169" i="62"/>
  <c r="I170" i="62"/>
  <c r="J170" i="62"/>
  <c r="L170" i="62"/>
  <c r="I171" i="62"/>
  <c r="J171" i="62"/>
  <c r="L171" i="62"/>
  <c r="I172" i="62"/>
  <c r="J172" i="62"/>
  <c r="L172" i="62"/>
  <c r="I173" i="62"/>
  <c r="J173" i="62"/>
  <c r="L173" i="62"/>
  <c r="I174" i="62"/>
  <c r="J174" i="62"/>
  <c r="L174" i="62"/>
  <c r="J175" i="62"/>
  <c r="L175" i="62"/>
  <c r="I176" i="62"/>
  <c r="J176" i="62"/>
  <c r="L176" i="62"/>
  <c r="I177" i="62"/>
  <c r="J177" i="62"/>
  <c r="L177" i="62"/>
  <c r="I178" i="62"/>
  <c r="J178" i="62"/>
  <c r="L178" i="62"/>
  <c r="I179" i="62"/>
  <c r="J179" i="62"/>
  <c r="L179" i="62"/>
  <c r="I180" i="62"/>
  <c r="J180" i="62"/>
  <c r="L180" i="62"/>
  <c r="J181" i="62"/>
  <c r="L181" i="62"/>
  <c r="I182" i="62"/>
  <c r="J182" i="62"/>
  <c r="L182" i="62"/>
  <c r="I183" i="62"/>
  <c r="J183" i="62"/>
  <c r="L183" i="62"/>
  <c r="I184" i="62"/>
  <c r="J184" i="62"/>
  <c r="L184" i="62"/>
  <c r="I185" i="62"/>
  <c r="J185" i="62"/>
  <c r="L185" i="62"/>
  <c r="E186" i="62"/>
  <c r="I186" i="62"/>
  <c r="J186" i="62"/>
  <c r="L186" i="62"/>
  <c r="E187" i="62"/>
  <c r="I187" i="62"/>
  <c r="J187" i="62"/>
  <c r="L187" i="62"/>
  <c r="E188" i="62"/>
  <c r="I188" i="62"/>
  <c r="J188" i="62"/>
  <c r="L188" i="62"/>
  <c r="E189" i="62"/>
  <c r="I189" i="62"/>
  <c r="J189" i="62"/>
  <c r="L189" i="62"/>
  <c r="E190" i="62"/>
  <c r="I190" i="62"/>
  <c r="J190" i="62"/>
  <c r="L190" i="62"/>
  <c r="I191" i="62"/>
  <c r="J191" i="62"/>
  <c r="L191" i="62"/>
  <c r="E192" i="62"/>
  <c r="I192" i="62"/>
  <c r="J192" i="62"/>
  <c r="L192" i="62"/>
  <c r="I193" i="62"/>
  <c r="J193" i="62"/>
  <c r="L193" i="62"/>
  <c r="I194" i="62"/>
  <c r="J194" i="62"/>
  <c r="L194" i="62"/>
  <c r="E195" i="62"/>
  <c r="I195" i="62"/>
  <c r="J195" i="62"/>
  <c r="L195" i="62"/>
  <c r="I196" i="62"/>
  <c r="J196" i="62"/>
  <c r="L196" i="62"/>
  <c r="I197" i="62"/>
  <c r="J197" i="62"/>
  <c r="L197" i="62"/>
  <c r="I198" i="62"/>
  <c r="J198" i="62"/>
  <c r="L198" i="62"/>
  <c r="I199" i="62"/>
  <c r="J199" i="62"/>
  <c r="L199" i="62"/>
  <c r="E200" i="62"/>
  <c r="I200" i="62"/>
  <c r="J200" i="62"/>
  <c r="L200" i="62"/>
  <c r="E201" i="62"/>
  <c r="I201" i="62"/>
  <c r="J201" i="62"/>
  <c r="L201" i="62"/>
  <c r="E202" i="62"/>
  <c r="I202" i="62"/>
  <c r="J202" i="62"/>
  <c r="L202" i="62"/>
  <c r="E203" i="62"/>
  <c r="I203" i="62"/>
  <c r="J203" i="62"/>
  <c r="L203" i="62"/>
  <c r="E204" i="62"/>
  <c r="I204" i="62"/>
  <c r="J204" i="62"/>
  <c r="L204" i="62"/>
  <c r="I205" i="62"/>
  <c r="J205" i="62"/>
  <c r="L205" i="62"/>
  <c r="I206" i="62"/>
  <c r="J206" i="62"/>
  <c r="L206" i="62"/>
  <c r="I207" i="62"/>
  <c r="J207" i="62"/>
  <c r="L207" i="62"/>
  <c r="I208" i="62"/>
  <c r="J208" i="62"/>
  <c r="L208" i="62"/>
  <c r="I209" i="62"/>
  <c r="J209" i="62"/>
  <c r="L209" i="62"/>
  <c r="I210" i="62"/>
  <c r="J210" i="62"/>
  <c r="L210" i="62"/>
  <c r="I211" i="62"/>
  <c r="J211" i="62"/>
  <c r="L211" i="62"/>
  <c r="I212" i="62"/>
  <c r="J212" i="62"/>
  <c r="L212" i="62"/>
  <c r="I213" i="62"/>
  <c r="J213" i="62"/>
  <c r="L213" i="62"/>
  <c r="I214" i="62"/>
  <c r="J214" i="62"/>
  <c r="L214" i="62"/>
  <c r="I215" i="62"/>
  <c r="J215" i="62"/>
  <c r="L215" i="62"/>
  <c r="E216" i="62"/>
  <c r="I216" i="62"/>
  <c r="J216" i="62"/>
  <c r="L216" i="62"/>
  <c r="E217" i="62"/>
  <c r="I217" i="62"/>
  <c r="J217" i="62"/>
  <c r="L217" i="62"/>
  <c r="E218" i="62"/>
  <c r="I218" i="62"/>
  <c r="J218" i="62"/>
  <c r="L218" i="62"/>
  <c r="E219" i="62"/>
  <c r="I219" i="62"/>
  <c r="J219" i="62"/>
  <c r="L219" i="62"/>
  <c r="E220" i="62"/>
  <c r="I220" i="62"/>
  <c r="J220" i="62"/>
  <c r="L220" i="62"/>
  <c r="E221" i="62"/>
  <c r="I221" i="62"/>
  <c r="J221" i="62"/>
  <c r="L221" i="62"/>
  <c r="I222" i="62"/>
  <c r="J222" i="62"/>
  <c r="L222" i="62"/>
  <c r="I223" i="62"/>
  <c r="J223" i="62"/>
  <c r="L223" i="62"/>
  <c r="I224" i="62"/>
  <c r="J224" i="62"/>
  <c r="L224" i="62"/>
  <c r="I225" i="62"/>
  <c r="J225" i="62"/>
  <c r="L225" i="62"/>
  <c r="I226" i="62"/>
  <c r="J226" i="62"/>
  <c r="L226" i="62"/>
  <c r="I227" i="62"/>
  <c r="J227" i="62"/>
  <c r="K227" i="62"/>
  <c r="L227" i="62"/>
  <c r="I228" i="62"/>
  <c r="J228" i="62"/>
  <c r="K228" i="62"/>
  <c r="L228" i="62"/>
  <c r="E229" i="62"/>
  <c r="I229" i="62"/>
  <c r="J229" i="62"/>
  <c r="L229" i="62"/>
  <c r="E230" i="62"/>
  <c r="I230" i="62"/>
  <c r="J230" i="62"/>
  <c r="L230" i="62"/>
  <c r="E231" i="62"/>
  <c r="I231" i="62"/>
  <c r="J231" i="62"/>
  <c r="L231" i="62"/>
  <c r="I232" i="62"/>
  <c r="J232" i="62"/>
  <c r="L232" i="62"/>
  <c r="E233" i="62"/>
  <c r="I233" i="62"/>
  <c r="J233" i="62"/>
  <c r="L233" i="62"/>
  <c r="I234" i="62"/>
  <c r="J234" i="62"/>
  <c r="L234" i="62"/>
  <c r="I235" i="62"/>
  <c r="J235" i="62"/>
  <c r="L235" i="62"/>
  <c r="E236" i="62"/>
  <c r="I236" i="62"/>
  <c r="J236" i="62"/>
  <c r="L236" i="62"/>
  <c r="E237" i="62"/>
  <c r="I237" i="62"/>
  <c r="J237" i="62"/>
  <c r="L237" i="62"/>
  <c r="I238" i="62"/>
  <c r="J238" i="62"/>
  <c r="L238" i="62"/>
  <c r="I239" i="62"/>
  <c r="J239" i="62"/>
  <c r="L239" i="62"/>
  <c r="E240" i="62"/>
  <c r="I240" i="62"/>
  <c r="J240" i="62"/>
  <c r="L240" i="62"/>
  <c r="E241" i="62"/>
  <c r="I241" i="62"/>
  <c r="J241" i="62"/>
  <c r="L241" i="62"/>
  <c r="E242" i="62"/>
  <c r="I242" i="62"/>
  <c r="J242" i="62"/>
  <c r="L242" i="62"/>
  <c r="E243" i="62"/>
  <c r="I243" i="62"/>
  <c r="J243" i="62"/>
  <c r="L243" i="62"/>
  <c r="E244" i="62"/>
  <c r="I244" i="62"/>
  <c r="J244" i="62"/>
  <c r="L244" i="62"/>
  <c r="E245" i="62"/>
  <c r="I245" i="62"/>
  <c r="J245" i="62"/>
  <c r="L245" i="62"/>
  <c r="E246" i="62"/>
  <c r="I246" i="62"/>
  <c r="J246" i="62"/>
  <c r="L246" i="62"/>
  <c r="E247" i="62"/>
  <c r="I247" i="62"/>
  <c r="J247" i="62"/>
  <c r="L247" i="62"/>
  <c r="E248" i="62"/>
  <c r="I248" i="62"/>
  <c r="J248" i="62"/>
  <c r="L248" i="62"/>
  <c r="E249" i="62"/>
  <c r="I249" i="62"/>
  <c r="J249" i="62"/>
  <c r="L249" i="62"/>
  <c r="E250" i="62"/>
  <c r="I250" i="62"/>
  <c r="J250" i="62"/>
  <c r="L250" i="62"/>
  <c r="I251" i="62"/>
  <c r="J251" i="62"/>
  <c r="L251" i="62"/>
  <c r="I252" i="62"/>
  <c r="J252" i="62"/>
  <c r="L252" i="62"/>
  <c r="E253" i="62"/>
  <c r="I253" i="62"/>
  <c r="J253" i="62"/>
  <c r="L253" i="62"/>
  <c r="I254" i="62"/>
  <c r="J254" i="62"/>
  <c r="L254" i="62"/>
  <c r="I255" i="62"/>
  <c r="J255" i="62"/>
  <c r="L255" i="62"/>
  <c r="I256" i="62"/>
  <c r="J256" i="62"/>
  <c r="L256" i="62"/>
  <c r="E257" i="62"/>
  <c r="I257" i="62"/>
  <c r="J257" i="62"/>
  <c r="L257" i="62"/>
  <c r="E258" i="62"/>
  <c r="I258" i="62"/>
  <c r="J258" i="62"/>
  <c r="L258" i="62"/>
  <c r="I259" i="62"/>
  <c r="J259" i="62"/>
  <c r="L259" i="62"/>
  <c r="I260" i="62"/>
  <c r="J260" i="62"/>
  <c r="L260" i="62"/>
  <c r="E261" i="62"/>
  <c r="I261" i="62"/>
  <c r="J261" i="62"/>
  <c r="L261" i="62"/>
  <c r="I262" i="62"/>
  <c r="J262" i="62"/>
  <c r="L262" i="62"/>
  <c r="I263" i="62"/>
  <c r="J263" i="62"/>
  <c r="L263" i="62"/>
  <c r="I264" i="62"/>
  <c r="J264" i="62"/>
  <c r="L264" i="62"/>
  <c r="I265" i="62"/>
  <c r="J265" i="62"/>
  <c r="L265" i="62"/>
  <c r="I266" i="62"/>
  <c r="J266" i="62"/>
  <c r="L266" i="62"/>
  <c r="E267" i="62"/>
  <c r="I267" i="62"/>
  <c r="J267" i="62"/>
  <c r="L267" i="62"/>
  <c r="I268" i="62"/>
  <c r="J268" i="62"/>
  <c r="L268" i="62"/>
  <c r="E269" i="62"/>
  <c r="I269" i="62"/>
  <c r="J269" i="62"/>
  <c r="L269" i="62"/>
  <c r="E270" i="62"/>
  <c r="I270" i="62"/>
  <c r="J270" i="62"/>
  <c r="L270" i="62"/>
  <c r="E271" i="62"/>
  <c r="I271" i="62"/>
  <c r="J271" i="62"/>
  <c r="L271" i="62"/>
  <c r="E272" i="62"/>
  <c r="I272" i="62"/>
  <c r="J272" i="62"/>
  <c r="L272" i="62"/>
  <c r="I273" i="62"/>
  <c r="J273" i="62"/>
  <c r="L273" i="62"/>
  <c r="E274" i="62"/>
  <c r="I274" i="62"/>
  <c r="J274" i="62"/>
  <c r="L274" i="62"/>
  <c r="E275" i="62"/>
  <c r="I275" i="62"/>
  <c r="J275" i="62"/>
  <c r="L275" i="62"/>
  <c r="E276" i="62"/>
  <c r="I276" i="62"/>
  <c r="J276" i="62"/>
  <c r="L276" i="62"/>
  <c r="E277" i="62"/>
  <c r="I277" i="62"/>
  <c r="J277" i="62"/>
  <c r="L277" i="62"/>
  <c r="I278" i="62"/>
  <c r="J278" i="62"/>
  <c r="L278" i="62"/>
  <c r="E279" i="62"/>
  <c r="I279" i="62"/>
  <c r="J279" i="62"/>
  <c r="L279" i="62"/>
  <c r="E280" i="62"/>
  <c r="I280" i="62"/>
  <c r="J280" i="62"/>
  <c r="L280" i="62"/>
  <c r="E281" i="62"/>
  <c r="I281" i="62"/>
  <c r="J281" i="62"/>
  <c r="L281" i="62"/>
  <c r="E282" i="62"/>
  <c r="I282" i="62"/>
  <c r="J282" i="62"/>
  <c r="L282" i="62"/>
  <c r="I283" i="62"/>
  <c r="J283" i="62"/>
  <c r="L283" i="62"/>
  <c r="E284" i="62"/>
  <c r="I284" i="62"/>
  <c r="J284" i="62"/>
  <c r="L284" i="62"/>
  <c r="E285" i="62"/>
  <c r="I285" i="62"/>
  <c r="J285" i="62"/>
  <c r="L285" i="62"/>
  <c r="E286" i="62"/>
  <c r="I286" i="62"/>
  <c r="J286" i="62"/>
  <c r="L286" i="62"/>
  <c r="E287" i="62"/>
  <c r="I287" i="62"/>
  <c r="J287" i="62"/>
  <c r="L287" i="62"/>
  <c r="E288" i="62"/>
  <c r="I288" i="62"/>
  <c r="J288" i="62"/>
  <c r="L288" i="62"/>
  <c r="I289" i="62"/>
  <c r="J289" i="62"/>
  <c r="L289" i="62"/>
  <c r="I290" i="62"/>
  <c r="J290" i="62"/>
  <c r="L290" i="62"/>
  <c r="I291" i="62"/>
  <c r="J291" i="62"/>
  <c r="L291" i="62"/>
  <c r="I292" i="62"/>
  <c r="J292" i="62"/>
  <c r="L292" i="62"/>
  <c r="I293" i="62"/>
  <c r="J293" i="62"/>
  <c r="L293" i="62"/>
  <c r="I294" i="62"/>
  <c r="J294" i="62"/>
  <c r="L294" i="62"/>
  <c r="I295" i="62"/>
  <c r="J295" i="62"/>
  <c r="L295" i="62"/>
  <c r="I296" i="62"/>
  <c r="J296" i="62"/>
  <c r="L296" i="62"/>
  <c r="I297" i="62"/>
  <c r="J297" i="62"/>
  <c r="L297" i="62"/>
  <c r="I298" i="62"/>
  <c r="J298" i="62"/>
  <c r="L298" i="62"/>
  <c r="I299" i="62"/>
  <c r="J299" i="62"/>
  <c r="L299" i="62"/>
  <c r="I300" i="62"/>
  <c r="J300" i="62"/>
  <c r="L300" i="62"/>
  <c r="I301" i="62"/>
  <c r="J301" i="62"/>
  <c r="L301" i="62"/>
  <c r="I302" i="62"/>
  <c r="J302" i="62"/>
  <c r="L302" i="62"/>
  <c r="I303" i="62"/>
  <c r="J303" i="62"/>
  <c r="L303" i="62"/>
  <c r="I304" i="62"/>
  <c r="J304" i="62"/>
  <c r="L304" i="62"/>
  <c r="I305" i="62"/>
  <c r="J305" i="62"/>
  <c r="L305" i="62"/>
  <c r="E306" i="62"/>
  <c r="I306" i="62"/>
  <c r="J306" i="62"/>
  <c r="L306" i="62"/>
  <c r="E307" i="62"/>
  <c r="I307" i="62"/>
  <c r="J307" i="62"/>
  <c r="L307" i="62"/>
  <c r="E308" i="62"/>
  <c r="I308" i="62"/>
  <c r="J308" i="62"/>
  <c r="L308" i="62"/>
  <c r="I309" i="62"/>
  <c r="J309" i="62"/>
  <c r="L309" i="62"/>
  <c r="I310" i="62"/>
  <c r="J310" i="62"/>
  <c r="L310" i="62"/>
  <c r="I311" i="62"/>
  <c r="J311" i="62"/>
  <c r="L311" i="62"/>
  <c r="E312" i="62"/>
  <c r="I312" i="62"/>
  <c r="J312" i="62"/>
  <c r="L312" i="62"/>
  <c r="I313" i="62"/>
  <c r="J313" i="62"/>
  <c r="L313" i="62"/>
  <c r="I314" i="62"/>
  <c r="J314" i="62"/>
  <c r="L314" i="62"/>
  <c r="I315" i="62"/>
  <c r="J315" i="62"/>
  <c r="L315" i="62"/>
  <c r="I316" i="62"/>
  <c r="J316" i="62"/>
  <c r="L316" i="62"/>
  <c r="E317" i="62"/>
  <c r="I317" i="62"/>
  <c r="J317" i="62"/>
  <c r="L317" i="62"/>
  <c r="E318" i="62"/>
  <c r="I318" i="62"/>
  <c r="J318" i="62"/>
  <c r="L318" i="62"/>
  <c r="I319" i="62"/>
  <c r="J319" i="62"/>
  <c r="L319" i="62"/>
  <c r="I320" i="62"/>
  <c r="J320" i="62"/>
  <c r="L320" i="62"/>
  <c r="E321" i="62"/>
  <c r="I321" i="62"/>
  <c r="J321" i="62"/>
  <c r="L321" i="62"/>
  <c r="E322" i="62"/>
  <c r="I322" i="62"/>
  <c r="J322" i="62"/>
  <c r="L322" i="62"/>
  <c r="E323" i="62"/>
  <c r="I323" i="62"/>
  <c r="J323" i="62"/>
  <c r="L323" i="62"/>
  <c r="E324" i="62"/>
  <c r="I324" i="62"/>
  <c r="J324" i="62"/>
  <c r="L324" i="62"/>
  <c r="E325" i="62"/>
  <c r="I325" i="62"/>
  <c r="J325" i="62"/>
  <c r="L325" i="62"/>
  <c r="E326" i="62"/>
  <c r="I326" i="62"/>
  <c r="J326" i="62"/>
  <c r="L326" i="62"/>
  <c r="I327" i="62"/>
  <c r="J327" i="62"/>
  <c r="L327" i="62"/>
  <c r="I328" i="62"/>
  <c r="J328" i="62"/>
  <c r="L328" i="62"/>
  <c r="E329" i="62"/>
  <c r="I329" i="62"/>
  <c r="J329" i="62"/>
  <c r="L329" i="62"/>
  <c r="E330" i="62"/>
  <c r="I330" i="62"/>
  <c r="J330" i="62"/>
  <c r="L330" i="62"/>
  <c r="E331" i="62"/>
  <c r="I331" i="62"/>
  <c r="J331" i="62"/>
  <c r="L331" i="62"/>
  <c r="I332" i="62"/>
  <c r="J332" i="62"/>
  <c r="L332" i="62"/>
  <c r="I333" i="62"/>
  <c r="J333" i="62"/>
  <c r="L333" i="62"/>
  <c r="I334" i="62"/>
  <c r="J334" i="62"/>
  <c r="L334" i="62"/>
  <c r="I335" i="62"/>
  <c r="J335" i="62"/>
  <c r="L335" i="62"/>
  <c r="I336" i="62"/>
  <c r="J336" i="62"/>
  <c r="L336" i="62"/>
  <c r="I337" i="62"/>
  <c r="J337" i="62"/>
  <c r="L337" i="62"/>
  <c r="I338" i="62"/>
  <c r="J338" i="62"/>
  <c r="L338" i="62"/>
  <c r="E339" i="62"/>
  <c r="I339" i="62"/>
  <c r="J339" i="62"/>
  <c r="L339" i="62"/>
  <c r="I340" i="62"/>
  <c r="J340" i="62"/>
  <c r="L340" i="62"/>
  <c r="I341" i="62"/>
  <c r="J341" i="62"/>
  <c r="L341" i="62"/>
  <c r="I342" i="62"/>
  <c r="J342" i="62"/>
  <c r="L342" i="62"/>
  <c r="I343" i="62"/>
  <c r="J343" i="62"/>
  <c r="L343" i="62"/>
  <c r="I344" i="62"/>
  <c r="J344" i="62"/>
  <c r="L344" i="62"/>
  <c r="I345" i="62"/>
  <c r="J345" i="62"/>
  <c r="L345" i="62"/>
  <c r="E346" i="62"/>
  <c r="I346" i="62"/>
  <c r="J346" i="62"/>
  <c r="L346" i="62"/>
  <c r="E347" i="62"/>
  <c r="I347" i="62"/>
  <c r="J347" i="62"/>
  <c r="L347" i="62"/>
  <c r="E348" i="62"/>
  <c r="I348" i="62"/>
  <c r="J348" i="62"/>
  <c r="L348" i="62"/>
  <c r="E349" i="62"/>
  <c r="I349" i="62"/>
  <c r="J349" i="62"/>
  <c r="L349" i="62"/>
  <c r="E350" i="62"/>
  <c r="I350" i="62"/>
  <c r="J350" i="62"/>
  <c r="L350" i="62"/>
  <c r="E351" i="62"/>
  <c r="I351" i="62"/>
  <c r="J351" i="62"/>
  <c r="L351" i="62"/>
  <c r="E352" i="62"/>
  <c r="I352" i="62"/>
  <c r="J352" i="62"/>
  <c r="L352" i="62"/>
  <c r="E353" i="62"/>
  <c r="I353" i="62"/>
  <c r="J353" i="62"/>
  <c r="L353" i="62"/>
  <c r="E354" i="62"/>
  <c r="I354" i="62"/>
  <c r="J354" i="62"/>
  <c r="L354" i="62"/>
  <c r="E355" i="62"/>
  <c r="I355" i="62"/>
  <c r="J355" i="62"/>
  <c r="L355" i="62"/>
  <c r="E356" i="62"/>
  <c r="I356" i="62"/>
  <c r="J356" i="62"/>
  <c r="L356" i="62"/>
  <c r="E357" i="62"/>
  <c r="I357" i="62"/>
  <c r="J357" i="62"/>
  <c r="L357" i="62"/>
  <c r="E358" i="62"/>
  <c r="I358" i="62"/>
  <c r="J358" i="62"/>
  <c r="L358" i="62"/>
  <c r="I359" i="62"/>
  <c r="J359" i="62"/>
  <c r="L359" i="62"/>
  <c r="I360" i="62"/>
  <c r="J360" i="62"/>
  <c r="L360" i="62"/>
  <c r="E361" i="62"/>
  <c r="I361" i="62"/>
  <c r="J361" i="62"/>
  <c r="L361" i="62"/>
  <c r="E362" i="62"/>
  <c r="I362" i="62"/>
  <c r="J362" i="62"/>
  <c r="L362" i="62"/>
  <c r="I363" i="62"/>
  <c r="J363" i="62"/>
  <c r="L363" i="62"/>
  <c r="I364" i="62"/>
  <c r="J364" i="62"/>
  <c r="L364" i="62"/>
  <c r="E365" i="62"/>
  <c r="I365" i="62"/>
  <c r="J365" i="62"/>
  <c r="L365" i="62"/>
  <c r="E366" i="62"/>
  <c r="I366" i="62"/>
  <c r="J366" i="62"/>
  <c r="L366" i="62"/>
  <c r="E367" i="62"/>
  <c r="I367" i="62"/>
  <c r="J367" i="62"/>
  <c r="L367" i="62"/>
  <c r="E368" i="62"/>
  <c r="I368" i="62"/>
  <c r="J368" i="62"/>
  <c r="L368" i="62"/>
  <c r="E369" i="62"/>
  <c r="I369" i="62"/>
  <c r="J369" i="62"/>
  <c r="L369" i="62"/>
  <c r="I370" i="62"/>
  <c r="J370" i="62"/>
  <c r="L370" i="62"/>
  <c r="I371" i="62"/>
  <c r="J371" i="62"/>
  <c r="L371" i="62"/>
  <c r="I372" i="62"/>
  <c r="J372" i="62"/>
  <c r="L372" i="62"/>
  <c r="I373" i="62"/>
  <c r="J373" i="62"/>
  <c r="L373" i="62"/>
  <c r="I374" i="62"/>
  <c r="J374" i="62"/>
  <c r="L374" i="62"/>
  <c r="I375" i="62"/>
  <c r="J375" i="62"/>
  <c r="L375" i="62"/>
  <c r="I376" i="62"/>
  <c r="J376" i="62"/>
  <c r="L376" i="62"/>
  <c r="I377" i="62"/>
  <c r="J377" i="62"/>
  <c r="L377" i="62"/>
  <c r="I378" i="62"/>
  <c r="J378" i="62"/>
  <c r="L378" i="62"/>
  <c r="I379" i="62"/>
  <c r="J379" i="62"/>
  <c r="L379" i="62"/>
  <c r="E380" i="62"/>
  <c r="I380" i="62"/>
  <c r="J380" i="62"/>
  <c r="L380" i="62"/>
  <c r="E381" i="62"/>
  <c r="I381" i="62"/>
  <c r="J381" i="62"/>
  <c r="L381" i="62"/>
  <c r="E382" i="62"/>
  <c r="I382" i="62"/>
  <c r="J382" i="62"/>
  <c r="L382" i="62"/>
  <c r="I383" i="62"/>
  <c r="J383" i="62"/>
  <c r="L383" i="62"/>
  <c r="I384" i="62"/>
  <c r="J384" i="62"/>
  <c r="L384" i="62"/>
  <c r="I385" i="62"/>
  <c r="J385" i="62"/>
  <c r="L385" i="62"/>
  <c r="I386" i="62"/>
  <c r="J386" i="62"/>
  <c r="L386" i="62"/>
  <c r="I387" i="62"/>
  <c r="J387" i="62"/>
  <c r="L387" i="62"/>
  <c r="I388" i="62"/>
  <c r="J388" i="62"/>
  <c r="L388" i="62"/>
  <c r="I389" i="62"/>
  <c r="J389" i="62"/>
  <c r="L389" i="62"/>
  <c r="I390" i="62"/>
  <c r="J390" i="62"/>
  <c r="L390" i="62"/>
  <c r="I391" i="62"/>
  <c r="J391" i="62"/>
  <c r="L391" i="62"/>
  <c r="I392" i="62"/>
  <c r="J392" i="62"/>
  <c r="L392" i="62"/>
  <c r="I393" i="62"/>
  <c r="J393" i="62"/>
  <c r="L393" i="62"/>
  <c r="I394" i="62"/>
  <c r="J394" i="62"/>
  <c r="L394" i="62"/>
  <c r="I395" i="62"/>
  <c r="J395" i="62"/>
  <c r="L395" i="62"/>
  <c r="I396" i="62"/>
  <c r="J396" i="62"/>
  <c r="L396" i="62"/>
  <c r="I397" i="62"/>
  <c r="J397" i="62"/>
  <c r="L397" i="62"/>
  <c r="I398" i="62"/>
  <c r="J398" i="62"/>
  <c r="L398" i="62"/>
  <c r="I399" i="62"/>
  <c r="J399" i="62"/>
  <c r="L399" i="62"/>
  <c r="E400" i="62"/>
  <c r="I400" i="62"/>
  <c r="J400" i="62"/>
  <c r="L400" i="62"/>
  <c r="I401" i="62"/>
  <c r="J401" i="62"/>
  <c r="L401" i="62"/>
  <c r="I402" i="62"/>
  <c r="J402" i="62"/>
  <c r="L402" i="62"/>
  <c r="I403" i="62"/>
  <c r="J403" i="62"/>
  <c r="L403" i="62"/>
  <c r="I404" i="62"/>
  <c r="J404" i="62"/>
  <c r="L404" i="62"/>
  <c r="I405" i="62"/>
  <c r="J405" i="62"/>
  <c r="L405" i="62"/>
  <c r="I406" i="62"/>
  <c r="J406" i="62"/>
  <c r="L406" i="62"/>
  <c r="I407" i="62"/>
  <c r="J407" i="62"/>
  <c r="L407" i="62"/>
  <c r="I408" i="62"/>
  <c r="J408" i="62"/>
  <c r="L408" i="62"/>
  <c r="I409" i="62"/>
  <c r="J409" i="62"/>
  <c r="L409" i="62"/>
  <c r="I410" i="62"/>
  <c r="J410" i="62"/>
  <c r="L410" i="62"/>
  <c r="I411" i="62"/>
  <c r="J411" i="62"/>
  <c r="L411" i="62"/>
  <c r="I412" i="62"/>
  <c r="J412" i="62"/>
  <c r="L412" i="62"/>
  <c r="I413" i="62"/>
  <c r="J413" i="62"/>
  <c r="L413" i="62"/>
  <c r="I414" i="62"/>
  <c r="J414" i="62"/>
  <c r="L414" i="62"/>
  <c r="E415" i="62"/>
  <c r="I415" i="62"/>
  <c r="J415" i="62"/>
  <c r="L415" i="62"/>
  <c r="I416" i="62"/>
  <c r="J416" i="62"/>
  <c r="L416" i="62"/>
  <c r="E417" i="62"/>
  <c r="I417" i="62"/>
  <c r="J417" i="62"/>
  <c r="L417" i="62"/>
  <c r="E418" i="62"/>
  <c r="I418" i="62"/>
  <c r="J418" i="62"/>
  <c r="L418" i="62"/>
  <c r="E419" i="62"/>
  <c r="I419" i="62"/>
  <c r="J419" i="62"/>
  <c r="L419" i="62"/>
  <c r="E420" i="62"/>
  <c r="I420" i="62"/>
  <c r="J420" i="62"/>
  <c r="L420" i="62"/>
  <c r="E421" i="62"/>
  <c r="I421" i="62"/>
  <c r="J421" i="62"/>
  <c r="L421" i="62"/>
  <c r="E422" i="62"/>
  <c r="I422" i="62"/>
  <c r="J422" i="62"/>
  <c r="L422" i="62"/>
  <c r="E423" i="62"/>
  <c r="I423" i="62"/>
  <c r="J423" i="62"/>
  <c r="L423" i="62"/>
  <c r="E424" i="62"/>
  <c r="I424" i="62"/>
  <c r="J424" i="62"/>
  <c r="L424" i="62"/>
  <c r="I425" i="62"/>
  <c r="J425" i="62"/>
  <c r="L425" i="62"/>
  <c r="E426" i="62"/>
  <c r="I426" i="62"/>
  <c r="J426" i="62"/>
  <c r="L426" i="62"/>
  <c r="I427" i="62"/>
  <c r="J427" i="62"/>
  <c r="L427" i="62"/>
  <c r="E428" i="62"/>
  <c r="I428" i="62"/>
  <c r="J428" i="62"/>
  <c r="L428" i="62"/>
  <c r="E429" i="62"/>
  <c r="I429" i="62"/>
  <c r="J429" i="62"/>
  <c r="L429" i="62"/>
  <c r="I430" i="62"/>
  <c r="J430" i="62"/>
  <c r="L430" i="62"/>
  <c r="E431" i="62"/>
  <c r="I431" i="62"/>
  <c r="J431" i="62"/>
  <c r="L431" i="62"/>
  <c r="E432" i="62"/>
  <c r="I432" i="62"/>
  <c r="J432" i="62"/>
  <c r="L432" i="62"/>
  <c r="I433" i="62"/>
  <c r="J433" i="62"/>
  <c r="L433" i="62"/>
  <c r="I434" i="62"/>
  <c r="J434" i="62"/>
  <c r="L434" i="62"/>
  <c r="I435" i="62"/>
  <c r="J435" i="62"/>
  <c r="L435" i="62"/>
  <c r="E436" i="62"/>
  <c r="I436" i="62"/>
  <c r="J436" i="62"/>
  <c r="L436" i="62"/>
  <c r="E437" i="62"/>
  <c r="I437" i="62"/>
  <c r="J437" i="62"/>
  <c r="L437" i="62"/>
  <c r="E438" i="62"/>
  <c r="I438" i="62"/>
  <c r="J438" i="62"/>
  <c r="L438" i="62"/>
  <c r="I439" i="62"/>
  <c r="J439" i="62"/>
  <c r="L439" i="62"/>
  <c r="I440" i="62"/>
  <c r="J440" i="62"/>
  <c r="L440" i="62"/>
  <c r="E441" i="62"/>
  <c r="I441" i="62"/>
  <c r="J441" i="62"/>
  <c r="L441" i="62"/>
  <c r="E442" i="62"/>
  <c r="I442" i="62"/>
  <c r="J442" i="62"/>
  <c r="L442" i="62"/>
  <c r="E443" i="62"/>
  <c r="I443" i="62"/>
  <c r="J443" i="62"/>
  <c r="L443" i="62"/>
  <c r="E444" i="62"/>
  <c r="I444" i="62"/>
  <c r="J444" i="62"/>
  <c r="L444" i="62"/>
  <c r="E445" i="62"/>
  <c r="I445" i="62"/>
  <c r="J445" i="62"/>
  <c r="L445" i="62"/>
  <c r="E446" i="62"/>
  <c r="I446" i="62"/>
  <c r="J446" i="62"/>
  <c r="L446" i="62"/>
  <c r="E447" i="62"/>
  <c r="I447" i="62"/>
  <c r="J447" i="62"/>
  <c r="L447" i="62"/>
  <c r="I448" i="62"/>
  <c r="J448" i="62"/>
  <c r="L448" i="62"/>
  <c r="I449" i="62"/>
  <c r="J449" i="62"/>
  <c r="L449" i="62"/>
  <c r="I450" i="62"/>
  <c r="J450" i="62"/>
  <c r="L450" i="62"/>
  <c r="I451" i="62"/>
  <c r="J451" i="62"/>
  <c r="L451" i="62"/>
  <c r="E452" i="62"/>
  <c r="I452" i="62"/>
  <c r="J452" i="62"/>
  <c r="L452" i="62"/>
  <c r="E453" i="62"/>
  <c r="I453" i="62"/>
  <c r="J453" i="62"/>
  <c r="L453" i="62"/>
  <c r="E454" i="62"/>
  <c r="I454" i="62"/>
  <c r="J454" i="62"/>
  <c r="L454" i="62"/>
  <c r="E455" i="62"/>
  <c r="I455" i="62"/>
  <c r="J455" i="62"/>
  <c r="L455" i="62"/>
  <c r="I456" i="62"/>
  <c r="J456" i="62"/>
  <c r="L456" i="62"/>
  <c r="I457" i="62"/>
  <c r="J457" i="62"/>
  <c r="L457" i="62"/>
  <c r="I458" i="62"/>
  <c r="J458" i="62"/>
  <c r="L458" i="62"/>
  <c r="E459" i="62"/>
  <c r="I459" i="62"/>
  <c r="J459" i="62"/>
  <c r="L459" i="62"/>
  <c r="I460" i="62"/>
  <c r="J460" i="62"/>
  <c r="L460" i="62"/>
  <c r="I461" i="62"/>
  <c r="J461" i="62"/>
  <c r="L461" i="62"/>
  <c r="I462" i="62"/>
  <c r="J462" i="62"/>
  <c r="L462" i="62"/>
  <c r="I463" i="62"/>
  <c r="J463" i="62"/>
  <c r="L463" i="62"/>
  <c r="I464" i="62"/>
  <c r="J464" i="62"/>
  <c r="L464" i="62"/>
  <c r="I465" i="62"/>
  <c r="J465" i="62"/>
  <c r="L465" i="62"/>
  <c r="I466" i="62"/>
  <c r="J466" i="62"/>
  <c r="L466" i="62"/>
  <c r="I467" i="62"/>
  <c r="J467" i="62"/>
  <c r="L467" i="62"/>
  <c r="I468" i="62"/>
  <c r="J468" i="62"/>
  <c r="L468" i="62"/>
  <c r="I469" i="62"/>
  <c r="J469" i="62"/>
  <c r="L469" i="62"/>
  <c r="I470" i="62"/>
  <c r="J470" i="62"/>
  <c r="L470" i="62"/>
  <c r="I471" i="62"/>
  <c r="J471" i="62"/>
  <c r="L471" i="62"/>
  <c r="I472" i="62"/>
  <c r="J472" i="62"/>
  <c r="L472" i="62"/>
  <c r="I473" i="62"/>
  <c r="J473" i="62"/>
  <c r="L473" i="62"/>
  <c r="I474" i="62"/>
  <c r="J474" i="62"/>
  <c r="L474" i="62"/>
  <c r="I475" i="62"/>
  <c r="J475" i="62"/>
  <c r="L475" i="62"/>
  <c r="I476" i="62"/>
  <c r="J476" i="62"/>
  <c r="L476" i="62"/>
  <c r="E477" i="62"/>
  <c r="I477" i="62"/>
  <c r="J477" i="62"/>
  <c r="L477" i="62"/>
  <c r="I478" i="62"/>
  <c r="J478" i="62"/>
  <c r="L478" i="62"/>
  <c r="I479" i="62"/>
  <c r="J479" i="62"/>
  <c r="L479" i="62"/>
  <c r="I480" i="62"/>
  <c r="J480" i="62"/>
  <c r="L480" i="62"/>
  <c r="I481" i="62"/>
  <c r="J481" i="62"/>
  <c r="L481" i="62"/>
  <c r="E482" i="62"/>
  <c r="I482" i="62"/>
  <c r="J482" i="62"/>
  <c r="L482" i="62"/>
  <c r="E483" i="62"/>
  <c r="I483" i="62"/>
  <c r="J483" i="62"/>
  <c r="L483" i="62"/>
  <c r="E484" i="62"/>
  <c r="I484" i="62"/>
  <c r="J484" i="62"/>
  <c r="L484" i="62"/>
  <c r="I485" i="62"/>
  <c r="J485" i="62"/>
  <c r="L485" i="62"/>
  <c r="I486" i="62"/>
  <c r="J486" i="62"/>
  <c r="L486" i="62"/>
  <c r="I487" i="62"/>
  <c r="J487" i="62"/>
  <c r="L487" i="62"/>
  <c r="I488" i="62"/>
  <c r="J488" i="62"/>
  <c r="L488" i="62"/>
  <c r="I489" i="62"/>
  <c r="J489" i="62"/>
  <c r="L489" i="62"/>
  <c r="I490" i="62"/>
  <c r="J490" i="62"/>
  <c r="L490" i="62"/>
  <c r="I491" i="62"/>
  <c r="J491" i="62"/>
  <c r="L491" i="62"/>
  <c r="I492" i="62"/>
  <c r="J492" i="62"/>
  <c r="L492" i="62"/>
  <c r="I493" i="62"/>
  <c r="J493" i="62"/>
  <c r="L493" i="62"/>
  <c r="I494" i="62"/>
  <c r="J494" i="62"/>
  <c r="L494" i="62"/>
  <c r="I495" i="62"/>
  <c r="J495" i="62"/>
  <c r="L495" i="62"/>
  <c r="I496" i="62"/>
  <c r="J496" i="62"/>
  <c r="L496" i="62"/>
  <c r="I497" i="62"/>
  <c r="J497" i="62"/>
  <c r="L497" i="62"/>
  <c r="I498" i="62"/>
  <c r="J498" i="62"/>
  <c r="L498" i="62"/>
  <c r="I499" i="62"/>
  <c r="J499" i="62"/>
  <c r="L499" i="62"/>
  <c r="I500" i="62"/>
  <c r="J500" i="62"/>
  <c r="L500" i="62"/>
  <c r="I501" i="62"/>
  <c r="J501" i="62"/>
  <c r="L501" i="62"/>
  <c r="E502" i="62"/>
  <c r="I502" i="62"/>
  <c r="J502" i="62"/>
  <c r="L502" i="62"/>
  <c r="E503" i="62"/>
  <c r="I503" i="62"/>
  <c r="J503" i="62"/>
  <c r="L503" i="62"/>
  <c r="E504" i="62"/>
  <c r="I504" i="62"/>
  <c r="J504" i="62"/>
  <c r="L504" i="62"/>
  <c r="E505" i="62"/>
  <c r="I505" i="62"/>
  <c r="J505" i="62"/>
  <c r="L505" i="62"/>
  <c r="E506" i="62"/>
  <c r="I506" i="62"/>
  <c r="J506" i="62"/>
  <c r="L506" i="62"/>
  <c r="E507" i="62"/>
  <c r="I507" i="62"/>
  <c r="J507" i="62"/>
  <c r="L507" i="62"/>
  <c r="E508" i="62"/>
  <c r="I508" i="62"/>
  <c r="J508" i="62"/>
  <c r="L508" i="62"/>
  <c r="I509" i="62"/>
  <c r="J509" i="62"/>
  <c r="L509" i="62"/>
  <c r="I510" i="62"/>
  <c r="J510" i="62"/>
  <c r="L510" i="62"/>
  <c r="E511" i="62"/>
  <c r="I511" i="62"/>
  <c r="J511" i="62"/>
  <c r="L511" i="62"/>
  <c r="I512" i="62"/>
  <c r="J512" i="62"/>
  <c r="L512" i="62"/>
  <c r="E513" i="62"/>
  <c r="I513" i="62"/>
  <c r="J513" i="62"/>
  <c r="L513" i="62"/>
  <c r="I514" i="62"/>
  <c r="J514" i="62"/>
  <c r="L514" i="62"/>
  <c r="E515" i="62"/>
  <c r="I515" i="62"/>
  <c r="J515" i="62"/>
  <c r="L515" i="62"/>
  <c r="I516" i="62"/>
  <c r="J516" i="62"/>
  <c r="L516" i="62"/>
  <c r="I517" i="62"/>
  <c r="J517" i="62"/>
  <c r="L517" i="62"/>
  <c r="I518" i="62"/>
  <c r="J518" i="62"/>
  <c r="L518" i="62"/>
  <c r="I519" i="62"/>
  <c r="J519" i="62"/>
  <c r="L519" i="62"/>
  <c r="E520" i="62"/>
  <c r="I520" i="62"/>
  <c r="J520" i="62"/>
  <c r="L520" i="62"/>
  <c r="E521" i="62"/>
  <c r="I521" i="62"/>
  <c r="J521" i="62"/>
  <c r="L521" i="62"/>
  <c r="I522" i="62"/>
  <c r="J522" i="62"/>
  <c r="L522" i="62"/>
  <c r="I523" i="62"/>
  <c r="J523" i="62"/>
  <c r="L523" i="62"/>
  <c r="I524" i="62"/>
  <c r="J524" i="62"/>
  <c r="L524" i="62"/>
  <c r="I525" i="62"/>
  <c r="J525" i="62"/>
  <c r="L525" i="62"/>
  <c r="I526" i="62"/>
  <c r="J526" i="62"/>
  <c r="K526" i="62"/>
  <c r="L526" i="62"/>
  <c r="I527" i="62"/>
  <c r="J527" i="62"/>
  <c r="K527" i="62"/>
  <c r="L527" i="62"/>
  <c r="I528" i="62"/>
  <c r="J528" i="62"/>
  <c r="L528" i="62"/>
  <c r="I529" i="62"/>
  <c r="J529" i="62"/>
  <c r="L529" i="62"/>
  <c r="I530" i="62"/>
  <c r="J530" i="62"/>
  <c r="L530" i="62"/>
  <c r="I531" i="62"/>
  <c r="J531" i="62"/>
  <c r="L531" i="62"/>
  <c r="E532" i="62"/>
  <c r="I532" i="62"/>
  <c r="J532" i="62"/>
  <c r="L532" i="62"/>
  <c r="I533" i="62"/>
  <c r="J533" i="62"/>
  <c r="L533" i="62"/>
  <c r="I534" i="62"/>
  <c r="J534" i="62"/>
  <c r="L534" i="62"/>
  <c r="I535" i="62"/>
  <c r="J535" i="62"/>
  <c r="L535" i="62"/>
  <c r="I536" i="62"/>
  <c r="J536" i="62"/>
  <c r="L536" i="62"/>
  <c r="I537" i="62"/>
  <c r="J537" i="62"/>
  <c r="L537" i="62"/>
  <c r="I538" i="62"/>
  <c r="J538" i="62"/>
  <c r="L538" i="62"/>
  <c r="I539" i="62"/>
  <c r="J539" i="62"/>
  <c r="L539" i="62"/>
  <c r="I540" i="62"/>
  <c r="J540" i="62"/>
  <c r="L540" i="62"/>
  <c r="I541" i="62"/>
  <c r="J541" i="62"/>
  <c r="L541" i="62"/>
  <c r="I542" i="62"/>
  <c r="J542" i="62"/>
  <c r="L542" i="62"/>
  <c r="I543" i="62"/>
  <c r="J543" i="62"/>
  <c r="L543" i="62"/>
  <c r="I544" i="62"/>
  <c r="J544" i="62"/>
  <c r="L544" i="62"/>
  <c r="I545" i="62"/>
  <c r="J545" i="62"/>
  <c r="L545" i="62"/>
  <c r="I546" i="62"/>
  <c r="J546" i="62"/>
  <c r="L546" i="62"/>
  <c r="I547" i="62"/>
  <c r="J547" i="62"/>
  <c r="L547" i="62"/>
  <c r="I548" i="62"/>
  <c r="J548" i="62"/>
  <c r="L548" i="62"/>
  <c r="I549" i="62"/>
  <c r="J549" i="62"/>
  <c r="L549" i="62"/>
  <c r="I550" i="62"/>
  <c r="J550" i="62"/>
  <c r="L550" i="62"/>
  <c r="I551" i="62"/>
  <c r="J551" i="62"/>
  <c r="L551" i="62"/>
  <c r="I552" i="62"/>
  <c r="J552" i="62"/>
  <c r="L552" i="62"/>
  <c r="I553" i="62"/>
  <c r="J553" i="62"/>
  <c r="L553" i="62"/>
  <c r="I554" i="62"/>
  <c r="J554" i="62"/>
  <c r="L554" i="62"/>
  <c r="I555" i="62"/>
  <c r="J555" i="62"/>
  <c r="L555" i="62"/>
  <c r="I556" i="62"/>
  <c r="J556" i="62"/>
  <c r="L556" i="62"/>
  <c r="I557" i="62"/>
  <c r="J557" i="62"/>
  <c r="L557" i="62"/>
  <c r="I558" i="62"/>
  <c r="J558" i="62"/>
  <c r="L558" i="62"/>
  <c r="I559" i="62"/>
  <c r="J559" i="62"/>
  <c r="L559" i="62"/>
  <c r="I560" i="62"/>
  <c r="J560" i="62"/>
  <c r="L560" i="62"/>
  <c r="I561" i="62"/>
  <c r="J561" i="62"/>
  <c r="L561" i="62"/>
  <c r="I562" i="62"/>
  <c r="J562" i="62"/>
  <c r="L562" i="62"/>
  <c r="I563" i="62"/>
  <c r="J563" i="62"/>
  <c r="L563" i="62"/>
  <c r="I564" i="62"/>
  <c r="J564" i="62"/>
  <c r="L564" i="62"/>
  <c r="I565" i="62"/>
  <c r="J565" i="62"/>
  <c r="L565" i="62"/>
  <c r="I566" i="62"/>
  <c r="J566" i="62"/>
  <c r="L566" i="62"/>
  <c r="I567" i="62"/>
  <c r="J567" i="62"/>
  <c r="L567" i="62"/>
  <c r="I568" i="62"/>
  <c r="J568" i="62"/>
  <c r="L568" i="62"/>
  <c r="I569" i="62"/>
  <c r="J569" i="62"/>
  <c r="L569" i="62"/>
  <c r="E570" i="62"/>
  <c r="I570" i="62"/>
  <c r="J570" i="62"/>
  <c r="L570" i="62"/>
  <c r="I571" i="62"/>
  <c r="J571" i="62"/>
  <c r="L571" i="62"/>
  <c r="J572" i="62"/>
  <c r="L572" i="62"/>
  <c r="I573" i="62"/>
  <c r="J573" i="62"/>
  <c r="L573" i="62"/>
  <c r="I574" i="62"/>
  <c r="J574" i="62"/>
  <c r="L574" i="62"/>
  <c r="I575" i="62"/>
  <c r="J575" i="62"/>
  <c r="L575" i="62"/>
  <c r="I576" i="62"/>
  <c r="J576" i="62"/>
  <c r="L576" i="62"/>
  <c r="I577" i="62"/>
  <c r="J577" i="62"/>
  <c r="L577" i="62"/>
  <c r="I578" i="62"/>
  <c r="J578" i="62"/>
  <c r="L578" i="62"/>
  <c r="I579" i="62"/>
  <c r="J579" i="62"/>
  <c r="L579" i="62"/>
  <c r="I580" i="62"/>
  <c r="J580" i="62"/>
  <c r="L580" i="62"/>
  <c r="I581" i="62"/>
  <c r="J581" i="62"/>
  <c r="L581" i="62"/>
  <c r="I582" i="62"/>
  <c r="J582" i="62"/>
  <c r="L582" i="62"/>
  <c r="I583" i="62"/>
  <c r="J583" i="62"/>
  <c r="L583" i="62"/>
  <c r="I584" i="62"/>
  <c r="J584" i="62"/>
  <c r="L584" i="62"/>
  <c r="I585" i="62"/>
  <c r="J585" i="62"/>
  <c r="L585" i="62"/>
  <c r="I586" i="62"/>
  <c r="J586" i="62"/>
  <c r="L586" i="62"/>
  <c r="I587" i="62"/>
  <c r="J587" i="62"/>
  <c r="L587" i="62"/>
  <c r="I588" i="62"/>
  <c r="J588" i="62"/>
  <c r="L588" i="62"/>
  <c r="I589" i="62"/>
  <c r="J589" i="62"/>
  <c r="L589" i="62"/>
  <c r="E590" i="62"/>
  <c r="I590" i="62"/>
  <c r="J590" i="62"/>
  <c r="L590" i="62"/>
  <c r="I591" i="62"/>
  <c r="J591" i="62"/>
  <c r="L591" i="62"/>
  <c r="I592" i="62"/>
  <c r="J592" i="62"/>
  <c r="L592" i="62"/>
  <c r="I593" i="62"/>
  <c r="J593" i="62"/>
  <c r="L593" i="62"/>
  <c r="I594" i="62"/>
  <c r="J594" i="62"/>
  <c r="L594" i="62"/>
  <c r="I595" i="62"/>
  <c r="J595" i="62"/>
  <c r="L595" i="62"/>
  <c r="I596" i="62"/>
  <c r="J596" i="62"/>
  <c r="L596" i="62"/>
  <c r="I597" i="62"/>
  <c r="J597" i="62"/>
  <c r="L597" i="62"/>
  <c r="I598" i="62"/>
  <c r="J598" i="62"/>
  <c r="L598" i="62"/>
  <c r="I599" i="62"/>
  <c r="J599" i="62"/>
  <c r="L599" i="62"/>
  <c r="I600" i="62"/>
  <c r="J600" i="62"/>
  <c r="L600" i="62"/>
  <c r="I601" i="62"/>
  <c r="J601" i="62"/>
  <c r="L601" i="62"/>
  <c r="I602" i="62"/>
  <c r="J602" i="62"/>
  <c r="L602" i="62"/>
  <c r="I603" i="62"/>
  <c r="J603" i="62"/>
  <c r="L603" i="62"/>
  <c r="I604" i="62"/>
  <c r="J604" i="62"/>
  <c r="L604" i="62"/>
  <c r="I605" i="62"/>
  <c r="J605" i="62"/>
  <c r="L605" i="62"/>
  <c r="I606" i="62"/>
  <c r="J606" i="62"/>
  <c r="L606" i="62"/>
  <c r="I607" i="62"/>
  <c r="J607" i="62"/>
  <c r="L607" i="62"/>
  <c r="I608" i="62"/>
  <c r="J608" i="62"/>
  <c r="L608" i="62"/>
  <c r="I609" i="62"/>
  <c r="J609" i="62"/>
  <c r="L609" i="62"/>
  <c r="I610" i="62"/>
  <c r="J610" i="62"/>
  <c r="L610" i="62"/>
  <c r="I611" i="62"/>
  <c r="J611" i="62"/>
  <c r="K611" i="62"/>
  <c r="L611" i="62"/>
  <c r="I612" i="62"/>
  <c r="J612" i="62"/>
  <c r="L612" i="62"/>
  <c r="I613" i="62"/>
  <c r="J613" i="62"/>
  <c r="L613" i="62"/>
  <c r="I614" i="62"/>
  <c r="J614" i="62"/>
  <c r="L614" i="62"/>
  <c r="E615" i="62"/>
  <c r="I615" i="62"/>
  <c r="J615" i="62"/>
  <c r="L615" i="62"/>
  <c r="I616" i="62"/>
  <c r="J616" i="62"/>
  <c r="L616" i="62"/>
  <c r="I617" i="62"/>
  <c r="J617" i="62"/>
  <c r="L617" i="62"/>
  <c r="I618" i="62"/>
  <c r="J618" i="62"/>
  <c r="L618" i="62"/>
  <c r="I619" i="62"/>
  <c r="J619" i="62"/>
  <c r="L619" i="62"/>
  <c r="I620" i="62"/>
  <c r="J620" i="62"/>
  <c r="L620" i="62"/>
  <c r="I621" i="62"/>
  <c r="J621" i="62"/>
  <c r="L621" i="62"/>
  <c r="I622" i="62"/>
  <c r="J622" i="62"/>
  <c r="L622" i="62"/>
  <c r="I623" i="62"/>
  <c r="J623" i="62"/>
  <c r="L623" i="62"/>
  <c r="I624" i="62"/>
  <c r="J624" i="62"/>
  <c r="L624" i="62"/>
  <c r="I625" i="62"/>
  <c r="J625" i="62"/>
  <c r="L625" i="62"/>
  <c r="I626" i="62"/>
  <c r="J626" i="62"/>
  <c r="L626" i="62"/>
  <c r="I627" i="62"/>
  <c r="J627" i="62"/>
  <c r="L627" i="62"/>
  <c r="I628" i="62"/>
  <c r="J628" i="62"/>
  <c r="L628" i="62"/>
  <c r="I629" i="62"/>
  <c r="J629" i="62"/>
  <c r="L629" i="62"/>
  <c r="I630" i="62"/>
  <c r="J630" i="62"/>
  <c r="L630" i="62"/>
  <c r="I631" i="62"/>
  <c r="J631" i="62"/>
  <c r="L631" i="62"/>
  <c r="I632" i="62"/>
  <c r="J632" i="62"/>
  <c r="L632" i="62"/>
  <c r="I633" i="62"/>
  <c r="J633" i="62"/>
  <c r="L633" i="62"/>
  <c r="I634" i="62"/>
  <c r="J634" i="62"/>
  <c r="L634" i="62"/>
  <c r="I635" i="62"/>
  <c r="J635" i="62"/>
  <c r="L635" i="62"/>
  <c r="I636" i="62"/>
  <c r="J636" i="62"/>
  <c r="L636" i="62"/>
  <c r="I637" i="62"/>
  <c r="J637" i="62"/>
  <c r="L637" i="62"/>
  <c r="I638" i="62"/>
  <c r="J638" i="62"/>
  <c r="L638" i="62"/>
  <c r="I639" i="62"/>
  <c r="J639" i="62"/>
  <c r="L639" i="62"/>
  <c r="I640" i="62"/>
  <c r="J640" i="62"/>
  <c r="L640" i="62"/>
  <c r="I641" i="62"/>
  <c r="J641" i="62"/>
  <c r="L641" i="62"/>
  <c r="I642" i="62"/>
  <c r="J642" i="62"/>
  <c r="L642" i="62"/>
  <c r="I643" i="62"/>
  <c r="J643" i="62"/>
  <c r="L643" i="62"/>
  <c r="I644" i="62"/>
  <c r="J644" i="62"/>
  <c r="L644" i="62"/>
  <c r="I645" i="62"/>
  <c r="J645" i="62"/>
  <c r="L645" i="62"/>
  <c r="I646" i="62"/>
  <c r="J646" i="62"/>
  <c r="L646" i="62"/>
  <c r="I647" i="62"/>
  <c r="J647" i="62"/>
  <c r="L647" i="62"/>
  <c r="I648" i="62"/>
  <c r="J648" i="62"/>
  <c r="L648" i="62"/>
  <c r="I649" i="62"/>
  <c r="J649" i="62"/>
  <c r="L649" i="62"/>
  <c r="I650" i="62"/>
  <c r="J650" i="62"/>
  <c r="L650" i="62"/>
  <c r="I651" i="62"/>
  <c r="J651" i="62"/>
  <c r="L651" i="62"/>
  <c r="I652" i="62"/>
  <c r="J652" i="62"/>
  <c r="L652" i="62"/>
  <c r="I653" i="62"/>
  <c r="J653" i="62"/>
  <c r="L653" i="62"/>
  <c r="I654" i="62"/>
  <c r="J654" i="62"/>
  <c r="L654" i="62"/>
  <c r="I655" i="62"/>
  <c r="J655" i="62"/>
  <c r="L655" i="62"/>
  <c r="I656" i="62"/>
  <c r="J656" i="62"/>
  <c r="L656" i="62"/>
  <c r="I657" i="62"/>
  <c r="J657" i="62"/>
  <c r="L657" i="62"/>
  <c r="I658" i="62"/>
  <c r="J658" i="62"/>
  <c r="L658" i="62"/>
  <c r="I659" i="62"/>
  <c r="J659" i="62"/>
  <c r="L659" i="62"/>
  <c r="I660" i="62"/>
  <c r="J660" i="62"/>
  <c r="L660" i="62"/>
  <c r="I661" i="62"/>
  <c r="J661" i="62"/>
  <c r="L661" i="62"/>
  <c r="I662" i="62"/>
  <c r="J662" i="62"/>
  <c r="L662" i="62"/>
  <c r="I663" i="62"/>
  <c r="J663" i="62"/>
  <c r="L663" i="62"/>
  <c r="I664" i="62"/>
  <c r="J664" i="62"/>
  <c r="L664" i="62"/>
  <c r="I665" i="62"/>
  <c r="J665" i="62"/>
  <c r="L665" i="62"/>
  <c r="I666" i="62"/>
  <c r="J666" i="62"/>
  <c r="L666" i="62"/>
  <c r="I667" i="62"/>
  <c r="J667" i="62"/>
  <c r="L667" i="62"/>
  <c r="I668" i="62"/>
  <c r="J668" i="62"/>
  <c r="L668" i="62"/>
  <c r="I669" i="62"/>
  <c r="J669" i="62"/>
  <c r="L669" i="62"/>
  <c r="I670" i="62"/>
  <c r="J670" i="62"/>
  <c r="L670" i="62"/>
  <c r="I671" i="62"/>
  <c r="J671" i="62"/>
  <c r="L671" i="62"/>
  <c r="I672" i="62"/>
  <c r="J672" i="62"/>
  <c r="L672" i="62"/>
  <c r="I673" i="62"/>
  <c r="J673" i="62"/>
  <c r="L673" i="62"/>
  <c r="I674" i="62"/>
  <c r="J674" i="62"/>
  <c r="L674" i="62"/>
  <c r="I675" i="62"/>
  <c r="J675" i="62"/>
  <c r="L675" i="62"/>
  <c r="E676" i="62"/>
  <c r="I676" i="62"/>
  <c r="J676" i="62"/>
  <c r="L676" i="62"/>
  <c r="E677" i="62"/>
  <c r="I677" i="62"/>
  <c r="J677" i="62"/>
  <c r="L677" i="62"/>
  <c r="E678" i="62"/>
  <c r="I678" i="62"/>
  <c r="J678" i="62"/>
  <c r="L678" i="62"/>
  <c r="J679" i="62"/>
  <c r="L679" i="62"/>
  <c r="I680" i="62"/>
  <c r="J680" i="62"/>
  <c r="L680" i="62"/>
  <c r="I681" i="62"/>
  <c r="J681" i="62"/>
  <c r="L681" i="62"/>
  <c r="E682" i="62"/>
  <c r="I682" i="62"/>
  <c r="J682" i="62"/>
  <c r="L682" i="62"/>
  <c r="I683" i="62"/>
  <c r="J683" i="62"/>
  <c r="L683" i="62"/>
  <c r="I684" i="62"/>
  <c r="J684" i="62"/>
  <c r="L684" i="62"/>
  <c r="E685" i="62"/>
  <c r="I685" i="62"/>
  <c r="J685" i="62"/>
  <c r="L685" i="62"/>
  <c r="E686" i="62"/>
  <c r="I686" i="62"/>
  <c r="J686" i="62"/>
  <c r="L686" i="62"/>
  <c r="I687" i="62"/>
  <c r="J687" i="62"/>
  <c r="L687" i="62"/>
  <c r="E688" i="62"/>
  <c r="I688" i="62"/>
  <c r="J688" i="62"/>
  <c r="L688" i="62"/>
  <c r="I689" i="62"/>
  <c r="J689" i="62"/>
  <c r="L689" i="62"/>
  <c r="E690" i="62"/>
  <c r="I690" i="62"/>
  <c r="J690" i="62"/>
  <c r="L690" i="62"/>
  <c r="E691" i="62"/>
  <c r="I691" i="62"/>
  <c r="J691" i="62"/>
  <c r="L691" i="62"/>
  <c r="I692" i="62"/>
  <c r="J692" i="62"/>
  <c r="L692" i="62"/>
  <c r="E693" i="62"/>
  <c r="I693" i="62"/>
  <c r="J693" i="62"/>
  <c r="L693" i="62"/>
  <c r="I694" i="62"/>
  <c r="J694" i="62"/>
  <c r="L694" i="62"/>
  <c r="I695" i="62"/>
  <c r="J695" i="62"/>
  <c r="L695" i="62"/>
  <c r="I696" i="62"/>
  <c r="J696" i="62"/>
  <c r="L696" i="62"/>
  <c r="I697" i="62"/>
  <c r="J697" i="62"/>
  <c r="L697" i="62"/>
  <c r="I698" i="62"/>
  <c r="J698" i="62"/>
  <c r="L698" i="62"/>
  <c r="I699" i="62"/>
  <c r="J699" i="62"/>
  <c r="L699" i="62"/>
  <c r="I700" i="62"/>
  <c r="J700" i="62"/>
  <c r="L700" i="62"/>
  <c r="J701" i="62"/>
  <c r="L701" i="62"/>
  <c r="I702" i="62"/>
  <c r="J702" i="62"/>
  <c r="L702" i="62"/>
  <c r="I703" i="62"/>
  <c r="J703" i="62"/>
  <c r="L703" i="62"/>
  <c r="I704" i="62"/>
  <c r="J704" i="62"/>
  <c r="L704" i="62"/>
  <c r="I705" i="62"/>
  <c r="J705" i="62"/>
  <c r="L705" i="62"/>
  <c r="J706" i="62"/>
  <c r="L706" i="62"/>
  <c r="I707" i="62"/>
  <c r="J707" i="62"/>
  <c r="L707" i="62"/>
  <c r="I708" i="62"/>
  <c r="J708" i="62"/>
  <c r="L708" i="62"/>
  <c r="I709" i="62"/>
  <c r="J709" i="62"/>
  <c r="L709" i="62"/>
  <c r="I710" i="62"/>
  <c r="J710" i="62"/>
  <c r="L710" i="62"/>
  <c r="E711" i="62"/>
  <c r="I711" i="62"/>
  <c r="J711" i="62"/>
  <c r="L711" i="62"/>
  <c r="E712" i="62"/>
  <c r="I712" i="62"/>
  <c r="J712" i="62"/>
  <c r="L712" i="62"/>
  <c r="E713" i="62"/>
  <c r="I713" i="62"/>
  <c r="J713" i="62"/>
  <c r="L713" i="62"/>
  <c r="E714" i="62"/>
  <c r="I714" i="62"/>
  <c r="J714" i="62"/>
  <c r="L714" i="62"/>
  <c r="I715" i="62"/>
  <c r="J715" i="62"/>
  <c r="L715" i="62"/>
  <c r="E716" i="62"/>
  <c r="I716" i="62"/>
  <c r="J716" i="62"/>
  <c r="L716" i="62"/>
  <c r="I717" i="62"/>
  <c r="J717" i="62"/>
  <c r="L717" i="62"/>
  <c r="I718" i="62"/>
  <c r="J718" i="62"/>
  <c r="L718" i="62"/>
  <c r="E719" i="62"/>
  <c r="I719" i="62"/>
  <c r="J719" i="62"/>
  <c r="L719" i="62"/>
  <c r="I720" i="62"/>
  <c r="J720" i="62"/>
  <c r="L720" i="62"/>
  <c r="I721" i="62"/>
  <c r="J721" i="62"/>
  <c r="L721" i="62"/>
  <c r="I722" i="62"/>
  <c r="J722" i="62"/>
  <c r="L722" i="62"/>
  <c r="I723" i="62"/>
  <c r="J723" i="62"/>
  <c r="L723" i="62"/>
  <c r="E724" i="62"/>
  <c r="I724" i="62"/>
  <c r="J724" i="62"/>
  <c r="L724" i="62"/>
  <c r="E725" i="62"/>
  <c r="I725" i="62"/>
  <c r="J725" i="62"/>
  <c r="L725" i="62"/>
  <c r="E726" i="62"/>
  <c r="I726" i="62"/>
  <c r="J726" i="62"/>
  <c r="L726" i="62"/>
  <c r="E727" i="62"/>
  <c r="I727" i="62"/>
  <c r="J727" i="62"/>
  <c r="L727" i="62"/>
  <c r="E728" i="62"/>
  <c r="I728" i="62"/>
  <c r="J728" i="62"/>
  <c r="L728" i="62"/>
  <c r="E729" i="62"/>
  <c r="I729" i="62"/>
  <c r="J729" i="62"/>
  <c r="L729" i="62"/>
  <c r="I730" i="62"/>
  <c r="J730" i="62"/>
  <c r="L730" i="62"/>
  <c r="I731" i="62"/>
  <c r="J731" i="62"/>
  <c r="L731" i="62"/>
  <c r="I732" i="62"/>
  <c r="J732" i="62"/>
  <c r="L732" i="62"/>
  <c r="I733" i="62"/>
  <c r="J733" i="62"/>
  <c r="L733" i="62"/>
  <c r="I734" i="62"/>
  <c r="J734" i="62"/>
  <c r="L734" i="62"/>
  <c r="I735" i="62"/>
  <c r="J735" i="62"/>
  <c r="L735" i="62"/>
  <c r="I736" i="62"/>
  <c r="J736" i="62"/>
  <c r="L736" i="62"/>
  <c r="I737" i="62"/>
  <c r="J737" i="62"/>
  <c r="L737" i="62"/>
  <c r="I738" i="62"/>
  <c r="J738" i="62"/>
  <c r="L738" i="62"/>
  <c r="I739" i="62"/>
  <c r="J739" i="62"/>
  <c r="L739" i="62"/>
  <c r="I740" i="62"/>
  <c r="J740" i="62"/>
  <c r="L740" i="62"/>
  <c r="E741" i="62"/>
  <c r="I741" i="62"/>
  <c r="J741" i="62"/>
  <c r="L741" i="62"/>
  <c r="E742" i="62"/>
  <c r="I742" i="62"/>
  <c r="J742" i="62"/>
  <c r="L742" i="62"/>
  <c r="E743" i="62"/>
  <c r="I743" i="62"/>
  <c r="J743" i="62"/>
  <c r="L743" i="62"/>
  <c r="I744" i="62"/>
  <c r="J744" i="62"/>
  <c r="L744" i="62"/>
  <c r="I745" i="62"/>
  <c r="J745" i="62"/>
  <c r="L745" i="62"/>
  <c r="I746" i="62"/>
  <c r="J746" i="62"/>
  <c r="L746" i="62"/>
  <c r="I747" i="62"/>
  <c r="J747" i="62"/>
  <c r="L747" i="62"/>
  <c r="I748" i="62"/>
  <c r="J748" i="62"/>
  <c r="L748" i="62"/>
  <c r="I749" i="62"/>
  <c r="J749" i="62"/>
  <c r="L749" i="62"/>
  <c r="I750" i="62"/>
  <c r="J750" i="62"/>
  <c r="L750" i="62"/>
  <c r="I751" i="62"/>
  <c r="J751" i="62"/>
  <c r="L751" i="62"/>
  <c r="I752" i="62"/>
  <c r="J752" i="62"/>
  <c r="L752" i="62"/>
  <c r="E753" i="62"/>
  <c r="I753" i="62"/>
  <c r="J753" i="62"/>
  <c r="L753" i="62"/>
  <c r="I754" i="62"/>
  <c r="J754" i="62"/>
  <c r="L754" i="62"/>
  <c r="I755" i="62"/>
  <c r="J755" i="62"/>
  <c r="L755" i="62"/>
  <c r="I756" i="62"/>
  <c r="J756" i="62"/>
  <c r="L756" i="62"/>
  <c r="I757" i="62"/>
  <c r="J757" i="62"/>
  <c r="L757" i="62"/>
  <c r="I758" i="62"/>
  <c r="J758" i="62"/>
  <c r="L758" i="62"/>
  <c r="I759" i="62"/>
  <c r="J759" i="62"/>
  <c r="L759" i="62"/>
  <c r="I760" i="62"/>
  <c r="J760" i="62"/>
  <c r="L760" i="62"/>
  <c r="I761" i="62"/>
  <c r="J761" i="62"/>
  <c r="L761" i="62"/>
  <c r="I762" i="62"/>
  <c r="J762" i="62"/>
  <c r="L762" i="62"/>
  <c r="E763" i="62"/>
  <c r="I763" i="62"/>
  <c r="J763" i="62"/>
  <c r="L763" i="62"/>
  <c r="E764" i="62"/>
  <c r="I764" i="62"/>
  <c r="J764" i="62"/>
  <c r="L764" i="62"/>
  <c r="E765" i="62"/>
  <c r="I765" i="62"/>
  <c r="J765" i="62"/>
  <c r="L765" i="62"/>
  <c r="E766" i="62"/>
  <c r="I766" i="62"/>
  <c r="J766" i="62"/>
  <c r="L766" i="62"/>
  <c r="E767" i="62"/>
  <c r="I767" i="62"/>
  <c r="J767" i="62"/>
  <c r="L767" i="62"/>
  <c r="E768" i="62"/>
  <c r="I768" i="62"/>
  <c r="J768" i="62"/>
  <c r="L768" i="62"/>
  <c r="E769" i="62"/>
  <c r="I769" i="62"/>
  <c r="J769" i="62"/>
  <c r="L769" i="62"/>
  <c r="E770" i="62"/>
  <c r="I770" i="62"/>
  <c r="J770" i="62"/>
  <c r="L770" i="62"/>
  <c r="I771" i="62"/>
  <c r="J771" i="62"/>
  <c r="L771" i="62"/>
  <c r="I772" i="62"/>
  <c r="J772" i="62"/>
  <c r="L772" i="62"/>
  <c r="I773" i="62"/>
  <c r="J773" i="62"/>
  <c r="L773" i="62"/>
  <c r="I774" i="62"/>
  <c r="J774" i="62"/>
  <c r="L774" i="62"/>
  <c r="E775" i="62"/>
  <c r="I775" i="62"/>
  <c r="J775" i="62"/>
  <c r="L775" i="62"/>
  <c r="E776" i="62"/>
  <c r="I776" i="62"/>
  <c r="J776" i="62"/>
  <c r="L776" i="62"/>
  <c r="I777" i="62"/>
  <c r="J777" i="62"/>
  <c r="L777" i="62"/>
  <c r="I778" i="62"/>
  <c r="J778" i="62"/>
  <c r="L778" i="62"/>
  <c r="I779" i="62"/>
  <c r="J779" i="62"/>
  <c r="L779" i="62"/>
  <c r="I780" i="62"/>
  <c r="J780" i="62"/>
  <c r="L780" i="62"/>
  <c r="I781" i="62"/>
  <c r="J781" i="62"/>
  <c r="L781" i="62"/>
  <c r="I782" i="62"/>
  <c r="J782" i="62"/>
  <c r="L782" i="62"/>
  <c r="I783" i="62"/>
  <c r="J783" i="62"/>
  <c r="L783" i="62"/>
  <c r="I784" i="62"/>
  <c r="J784" i="62"/>
  <c r="L784" i="62"/>
  <c r="E785" i="62"/>
  <c r="I785" i="62"/>
  <c r="J785" i="62"/>
  <c r="L785" i="62"/>
  <c r="E786" i="62"/>
  <c r="I786" i="62"/>
  <c r="J786" i="62"/>
  <c r="L786" i="62"/>
  <c r="E787" i="62"/>
  <c r="I787" i="62"/>
  <c r="J787" i="62"/>
  <c r="L787" i="62"/>
  <c r="E788" i="62"/>
  <c r="I788" i="62"/>
  <c r="J788" i="62"/>
  <c r="L788" i="62"/>
  <c r="E789" i="62"/>
  <c r="I789" i="62"/>
  <c r="J789" i="62"/>
  <c r="L789" i="62"/>
  <c r="E790" i="62"/>
  <c r="I790" i="62"/>
  <c r="J790" i="62"/>
  <c r="L790" i="62"/>
  <c r="E791" i="62"/>
  <c r="I791" i="62"/>
  <c r="J791" i="62"/>
  <c r="L791" i="62"/>
  <c r="E792" i="62"/>
  <c r="I792" i="62"/>
  <c r="J792" i="62"/>
  <c r="L792" i="62"/>
  <c r="E793" i="62"/>
  <c r="I793" i="62"/>
  <c r="J793" i="62"/>
  <c r="L793" i="62"/>
  <c r="I794" i="62"/>
  <c r="J794" i="62"/>
  <c r="L794" i="62"/>
  <c r="I795" i="62"/>
  <c r="J795" i="62"/>
  <c r="L795" i="62"/>
  <c r="E796" i="62"/>
  <c r="I796" i="62"/>
  <c r="J796" i="62"/>
  <c r="L796" i="62"/>
  <c r="E797" i="62"/>
  <c r="I797" i="62"/>
  <c r="J797" i="62"/>
  <c r="L797" i="62"/>
  <c r="I798" i="62"/>
  <c r="J798" i="62"/>
  <c r="L798" i="62"/>
  <c r="I799" i="62"/>
  <c r="J799" i="62"/>
  <c r="L799" i="62"/>
  <c r="I800" i="62"/>
  <c r="J800" i="62"/>
  <c r="L800" i="62"/>
  <c r="I801" i="62"/>
  <c r="J801" i="62"/>
  <c r="L801" i="62"/>
  <c r="I802" i="62"/>
  <c r="J802" i="62"/>
  <c r="L802" i="62"/>
  <c r="I803" i="62"/>
  <c r="J803" i="62"/>
  <c r="L803" i="62"/>
  <c r="I804" i="62"/>
  <c r="J804" i="62"/>
  <c r="L804" i="62"/>
  <c r="I805" i="62"/>
  <c r="J805" i="62"/>
  <c r="L805" i="62"/>
  <c r="I806" i="62"/>
  <c r="J806" i="62"/>
  <c r="L806" i="62"/>
  <c r="I807" i="62"/>
  <c r="J807" i="62"/>
  <c r="L807" i="62"/>
  <c r="I808" i="62"/>
  <c r="J808" i="62"/>
  <c r="L808" i="62"/>
  <c r="I809" i="62"/>
  <c r="J809" i="62"/>
  <c r="L809" i="62"/>
  <c r="I810" i="62"/>
  <c r="J810" i="62"/>
  <c r="L810" i="62"/>
  <c r="I811" i="62"/>
  <c r="J811" i="62"/>
  <c r="L811" i="62"/>
  <c r="I812" i="62"/>
  <c r="J812" i="62"/>
  <c r="L812" i="62"/>
  <c r="I813" i="62"/>
  <c r="J813" i="62"/>
  <c r="L813" i="62"/>
  <c r="E814" i="62"/>
  <c r="I814" i="62"/>
  <c r="J814" i="62"/>
  <c r="L814" i="62"/>
  <c r="E815" i="62"/>
  <c r="I815" i="62"/>
  <c r="J815" i="62"/>
  <c r="L815" i="62"/>
  <c r="E816" i="62"/>
  <c r="I816" i="62"/>
  <c r="J816" i="62"/>
  <c r="L816" i="62"/>
  <c r="I817" i="62"/>
  <c r="J817" i="62"/>
  <c r="L817" i="62"/>
  <c r="I818" i="62"/>
  <c r="J818" i="62"/>
  <c r="L818" i="62"/>
  <c r="I819" i="62"/>
  <c r="J819" i="62"/>
  <c r="L819" i="62"/>
  <c r="I820" i="62"/>
  <c r="J820" i="62"/>
  <c r="L820" i="62"/>
  <c r="I821" i="62"/>
  <c r="J821" i="62"/>
  <c r="L821" i="62"/>
  <c r="I822" i="62"/>
  <c r="J822" i="62"/>
  <c r="L822" i="62"/>
  <c r="E823" i="62"/>
  <c r="I823" i="62"/>
  <c r="J823" i="62"/>
  <c r="L823" i="62"/>
  <c r="I824" i="62"/>
  <c r="J824" i="62"/>
  <c r="L824" i="62"/>
  <c r="I825" i="62"/>
  <c r="J825" i="62"/>
  <c r="L825" i="62"/>
  <c r="I826" i="62"/>
  <c r="J826" i="62"/>
  <c r="L826" i="62"/>
  <c r="I827" i="62"/>
  <c r="J827" i="62"/>
  <c r="L827" i="62"/>
  <c r="I828" i="62"/>
  <c r="J828" i="62"/>
  <c r="L828" i="62"/>
  <c r="E829" i="62"/>
  <c r="I829" i="62"/>
  <c r="J829" i="62"/>
  <c r="L829" i="62"/>
  <c r="E830" i="62"/>
  <c r="I830" i="62"/>
  <c r="J830" i="62"/>
  <c r="L830" i="62"/>
  <c r="E831" i="62"/>
  <c r="I831" i="62"/>
  <c r="J831" i="62"/>
  <c r="L831" i="62"/>
  <c r="E832" i="62"/>
  <c r="I832" i="62"/>
  <c r="J832" i="62"/>
  <c r="L832" i="62"/>
  <c r="E833" i="62"/>
  <c r="I833" i="62"/>
  <c r="J833" i="62"/>
  <c r="L833" i="62"/>
  <c r="E834" i="62"/>
  <c r="I834" i="62"/>
  <c r="J834" i="62"/>
  <c r="L834" i="62"/>
  <c r="I835" i="62"/>
  <c r="J835" i="62"/>
  <c r="L835" i="62"/>
  <c r="I836" i="62"/>
  <c r="J836" i="62"/>
  <c r="L836" i="62"/>
  <c r="E837" i="62"/>
  <c r="I837" i="62"/>
  <c r="J837" i="62"/>
  <c r="L837" i="62"/>
  <c r="E838" i="62"/>
  <c r="I838" i="62"/>
  <c r="J838" i="62"/>
  <c r="L838" i="62"/>
  <c r="I839" i="62"/>
  <c r="J839" i="62"/>
  <c r="L839" i="62"/>
  <c r="I840" i="62"/>
  <c r="J840" i="62"/>
  <c r="L840" i="62"/>
  <c r="I841" i="62"/>
  <c r="J841" i="62"/>
  <c r="L841" i="62"/>
  <c r="I842" i="62"/>
  <c r="J842" i="62"/>
  <c r="L842" i="62"/>
  <c r="I843" i="62"/>
  <c r="J843" i="62"/>
  <c r="L843" i="62"/>
  <c r="I844" i="62"/>
  <c r="J844" i="62"/>
  <c r="L844" i="62"/>
  <c r="I845" i="62"/>
  <c r="J845" i="62"/>
  <c r="L845" i="62"/>
  <c r="I846" i="62"/>
  <c r="J846" i="62"/>
  <c r="L846" i="62"/>
  <c r="I847" i="62"/>
  <c r="J847" i="62"/>
  <c r="L847" i="62"/>
  <c r="I848" i="62"/>
  <c r="J848" i="62"/>
  <c r="L848" i="62"/>
  <c r="I849" i="62"/>
  <c r="J849" i="62"/>
  <c r="L849" i="62"/>
  <c r="E850" i="62"/>
  <c r="I850" i="62"/>
  <c r="J850" i="62"/>
  <c r="L850" i="62"/>
  <c r="I851" i="62"/>
  <c r="J851" i="62"/>
  <c r="L851" i="62"/>
  <c r="E852" i="62"/>
  <c r="I852" i="62"/>
  <c r="J852" i="62"/>
  <c r="L852" i="62"/>
  <c r="E853" i="62"/>
  <c r="I853" i="62"/>
  <c r="J853" i="62"/>
  <c r="L853" i="62"/>
  <c r="E854" i="62"/>
  <c r="I854" i="62"/>
  <c r="J854" i="62"/>
  <c r="L854" i="62"/>
  <c r="E855" i="62"/>
  <c r="I855" i="62"/>
  <c r="J855" i="62"/>
  <c r="L855" i="62"/>
  <c r="I856" i="62"/>
  <c r="J856" i="62"/>
  <c r="L856" i="62"/>
  <c r="I857" i="62"/>
  <c r="J857" i="62"/>
  <c r="L857" i="62"/>
  <c r="E858" i="62"/>
  <c r="I858" i="62"/>
  <c r="J858" i="62"/>
  <c r="L858" i="62"/>
  <c r="I859" i="62"/>
  <c r="J859" i="62"/>
  <c r="L859" i="62"/>
  <c r="E860" i="62"/>
  <c r="I860" i="62"/>
  <c r="J860" i="62"/>
  <c r="L860" i="62"/>
  <c r="E861" i="62"/>
  <c r="I861" i="62"/>
  <c r="J861" i="62"/>
  <c r="L861" i="62"/>
  <c r="E862" i="62"/>
  <c r="I862" i="62"/>
  <c r="J862" i="62"/>
  <c r="L862" i="62"/>
  <c r="E863" i="62"/>
  <c r="I863" i="62"/>
  <c r="J863" i="62"/>
  <c r="L863" i="62"/>
  <c r="E864" i="62"/>
  <c r="I864" i="62"/>
  <c r="J864" i="62"/>
  <c r="L864" i="62"/>
  <c r="I865" i="62"/>
  <c r="J865" i="62"/>
  <c r="L865" i="62"/>
  <c r="I866" i="62"/>
  <c r="J866" i="62"/>
  <c r="L866" i="62"/>
  <c r="E867" i="62"/>
  <c r="I867" i="62"/>
  <c r="J867" i="62"/>
  <c r="L867" i="62"/>
  <c r="E868" i="62"/>
  <c r="I868" i="62"/>
  <c r="J868" i="62"/>
  <c r="L868" i="62"/>
  <c r="E869" i="62"/>
  <c r="I869" i="62"/>
  <c r="J869" i="62"/>
  <c r="L869" i="62"/>
  <c r="E870" i="62"/>
  <c r="I870" i="62"/>
  <c r="J870" i="62"/>
  <c r="L870" i="62"/>
  <c r="E871" i="62"/>
  <c r="I871" i="62"/>
  <c r="J871" i="62"/>
  <c r="L871" i="62"/>
  <c r="E872" i="62"/>
  <c r="I872" i="62"/>
  <c r="J872" i="62"/>
  <c r="L872" i="62"/>
  <c r="E873" i="62"/>
  <c r="I873" i="62"/>
  <c r="J873" i="62"/>
  <c r="L873" i="62"/>
  <c r="I874" i="62"/>
  <c r="J874" i="62"/>
  <c r="L874" i="62"/>
  <c r="I875" i="62"/>
  <c r="J875" i="62"/>
  <c r="L875" i="62"/>
  <c r="I876" i="62"/>
  <c r="J876" i="62"/>
  <c r="L876" i="62"/>
  <c r="I877" i="62"/>
  <c r="J877" i="62"/>
  <c r="L877" i="62"/>
  <c r="I878" i="62"/>
  <c r="J878" i="62"/>
  <c r="L878" i="62"/>
  <c r="I879" i="62"/>
  <c r="J879" i="62"/>
  <c r="L879" i="62"/>
  <c r="I880" i="62"/>
  <c r="J880" i="62"/>
  <c r="L880" i="62"/>
  <c r="I881" i="62"/>
  <c r="J881" i="62"/>
  <c r="L881" i="62"/>
  <c r="I882" i="62"/>
  <c r="J882" i="62"/>
  <c r="L882" i="62"/>
  <c r="I883" i="62"/>
  <c r="J883" i="62"/>
  <c r="L883" i="62"/>
  <c r="I884" i="62"/>
  <c r="J884" i="62"/>
  <c r="L884" i="62"/>
  <c r="I885" i="62"/>
  <c r="J885" i="62"/>
  <c r="L885" i="62"/>
  <c r="I886" i="62"/>
  <c r="J886" i="62"/>
  <c r="L886" i="62"/>
  <c r="I887" i="62"/>
  <c r="J887" i="62"/>
  <c r="L887" i="62"/>
  <c r="I888" i="62"/>
  <c r="J888" i="62"/>
  <c r="L888" i="62"/>
  <c r="I889" i="62"/>
  <c r="J889" i="62"/>
  <c r="L889" i="62"/>
  <c r="I890" i="62"/>
  <c r="J890" i="62"/>
  <c r="L890" i="62"/>
  <c r="I891" i="62"/>
  <c r="J891" i="62"/>
  <c r="L891" i="62"/>
  <c r="I892" i="62"/>
  <c r="J892" i="62"/>
  <c r="L892" i="62"/>
  <c r="I893" i="62"/>
  <c r="J893" i="62"/>
  <c r="L893" i="62"/>
  <c r="I894" i="62"/>
  <c r="J894" i="62"/>
  <c r="L894" i="62"/>
  <c r="I895" i="62"/>
  <c r="J895" i="62"/>
  <c r="L895" i="62"/>
  <c r="I896" i="62"/>
  <c r="J896" i="62"/>
  <c r="L896" i="62"/>
  <c r="I897" i="62"/>
  <c r="J897" i="62"/>
  <c r="L897" i="62"/>
  <c r="E898" i="62"/>
  <c r="I898" i="62"/>
  <c r="J898" i="62"/>
  <c r="L898" i="62"/>
  <c r="I899" i="62"/>
  <c r="J899" i="62"/>
  <c r="L899" i="62"/>
  <c r="I900" i="62"/>
  <c r="J900" i="62"/>
  <c r="L900" i="62"/>
  <c r="I901" i="62"/>
  <c r="J901" i="62"/>
  <c r="L901" i="62"/>
  <c r="I902" i="62"/>
  <c r="J902" i="62"/>
  <c r="L902" i="62"/>
  <c r="I903" i="62"/>
  <c r="J903" i="62"/>
  <c r="L903" i="62"/>
  <c r="I904" i="62"/>
  <c r="J904" i="62"/>
  <c r="L904" i="62"/>
  <c r="I905" i="62"/>
  <c r="J905" i="62"/>
  <c r="L905" i="62"/>
  <c r="I906" i="62"/>
  <c r="J906" i="62"/>
  <c r="L906" i="62"/>
  <c r="I907" i="62"/>
  <c r="J907" i="62"/>
  <c r="L907" i="62"/>
  <c r="I908" i="62"/>
  <c r="J908" i="62"/>
  <c r="L908" i="62"/>
  <c r="I909" i="62"/>
  <c r="J909" i="62"/>
  <c r="L909" i="62"/>
  <c r="I910" i="62"/>
  <c r="J910" i="62"/>
  <c r="L910" i="62"/>
  <c r="I911" i="62"/>
  <c r="J911" i="62"/>
  <c r="L911" i="62"/>
  <c r="E912" i="62"/>
  <c r="I912" i="62"/>
  <c r="J912" i="62"/>
  <c r="L912" i="62"/>
  <c r="E913" i="62"/>
  <c r="I913" i="62"/>
  <c r="J913" i="62"/>
  <c r="L913" i="62"/>
  <c r="E914" i="62"/>
  <c r="I914" i="62"/>
  <c r="J914" i="62"/>
  <c r="L914" i="62"/>
  <c r="E915" i="62"/>
  <c r="I915" i="62"/>
  <c r="J915" i="62"/>
  <c r="L915" i="62"/>
  <c r="E916" i="62"/>
  <c r="I916" i="62"/>
  <c r="J916" i="62"/>
  <c r="L916" i="62"/>
  <c r="E917" i="62"/>
  <c r="I917" i="62"/>
  <c r="J917" i="62"/>
  <c r="L917" i="62"/>
  <c r="E918" i="62"/>
  <c r="I918" i="62"/>
  <c r="J918" i="62"/>
  <c r="L918" i="62"/>
  <c r="E919" i="62"/>
  <c r="I919" i="62"/>
  <c r="J919" i="62"/>
  <c r="L919" i="62"/>
  <c r="I920" i="62"/>
  <c r="J920" i="62"/>
  <c r="L920" i="62"/>
  <c r="I921" i="62"/>
  <c r="J921" i="62"/>
  <c r="L921" i="62"/>
  <c r="E922" i="62"/>
  <c r="I922" i="62"/>
  <c r="J922" i="62"/>
  <c r="L922" i="62"/>
  <c r="I923" i="62"/>
  <c r="J923" i="62"/>
  <c r="L923" i="62"/>
  <c r="E924" i="62"/>
  <c r="I924" i="62"/>
  <c r="J924" i="62"/>
  <c r="L924" i="62"/>
  <c r="E925" i="62"/>
  <c r="I925" i="62"/>
  <c r="J925" i="62"/>
  <c r="L925" i="62"/>
  <c r="I926" i="62"/>
  <c r="J926" i="62"/>
  <c r="L926" i="62"/>
  <c r="E927" i="62"/>
  <c r="I927" i="62"/>
  <c r="J927" i="62"/>
  <c r="L927" i="62"/>
  <c r="I928" i="62"/>
  <c r="J928" i="62"/>
  <c r="L928" i="62"/>
  <c r="I929" i="62"/>
  <c r="J929" i="62"/>
  <c r="L929" i="62"/>
  <c r="I930" i="62"/>
  <c r="J930" i="62"/>
  <c r="L930" i="62"/>
  <c r="E931" i="62"/>
  <c r="I931" i="62"/>
  <c r="J931" i="62"/>
  <c r="L931" i="62"/>
  <c r="I932" i="62"/>
  <c r="J932" i="62"/>
  <c r="L932" i="62"/>
  <c r="I933" i="62"/>
  <c r="J933" i="62"/>
  <c r="L933" i="62"/>
  <c r="I934" i="62"/>
  <c r="J934" i="62"/>
  <c r="L934" i="62"/>
  <c r="E935" i="62"/>
  <c r="I935" i="62"/>
  <c r="J935" i="62"/>
  <c r="L935" i="62"/>
  <c r="E936" i="62"/>
  <c r="I936" i="62"/>
  <c r="J936" i="62"/>
  <c r="L936" i="62"/>
  <c r="E937" i="62"/>
  <c r="I937" i="62"/>
  <c r="J937" i="62"/>
  <c r="L937" i="62"/>
  <c r="I938" i="62"/>
  <c r="J938" i="62"/>
  <c r="L938" i="62"/>
  <c r="I939" i="62"/>
  <c r="J939" i="62"/>
  <c r="L939" i="62"/>
  <c r="E940" i="62"/>
  <c r="I940" i="62"/>
  <c r="J940" i="62"/>
  <c r="L940" i="62"/>
  <c r="E941" i="62"/>
  <c r="I941" i="62"/>
  <c r="J941" i="62"/>
  <c r="L941" i="62"/>
  <c r="E942" i="62"/>
  <c r="I942" i="62"/>
  <c r="J942" i="62"/>
  <c r="L942" i="62"/>
  <c r="E943" i="62"/>
  <c r="I943" i="62"/>
  <c r="J943" i="62"/>
  <c r="L943" i="62"/>
  <c r="E944" i="62"/>
  <c r="I944" i="62"/>
  <c r="J944" i="62"/>
  <c r="L944" i="62"/>
  <c r="E945" i="62"/>
  <c r="I945" i="62"/>
  <c r="J945" i="62"/>
  <c r="L945" i="62"/>
  <c r="E946" i="62"/>
  <c r="I946" i="62"/>
  <c r="J946" i="62"/>
  <c r="L946" i="62"/>
  <c r="E947" i="62"/>
  <c r="I947" i="62"/>
  <c r="J947" i="62"/>
  <c r="L947" i="62"/>
  <c r="I948" i="62"/>
  <c r="J948" i="62"/>
  <c r="L948" i="62"/>
  <c r="I949" i="62"/>
  <c r="J949" i="62"/>
  <c r="L949" i="62"/>
  <c r="I950" i="62"/>
  <c r="J950" i="62"/>
  <c r="L950" i="62"/>
  <c r="E951" i="62"/>
  <c r="I951" i="62"/>
  <c r="J951" i="62"/>
  <c r="L951" i="62"/>
  <c r="E952" i="62"/>
  <c r="I952" i="62"/>
  <c r="J952" i="62"/>
  <c r="L952" i="62"/>
  <c r="I953" i="62"/>
  <c r="J953" i="62"/>
  <c r="L953" i="62"/>
  <c r="I954" i="62"/>
  <c r="J954" i="62"/>
  <c r="L954" i="62"/>
  <c r="I955" i="62"/>
  <c r="J955" i="62"/>
  <c r="L955" i="62"/>
  <c r="I956" i="62"/>
  <c r="J956" i="62"/>
  <c r="L956" i="62"/>
  <c r="E957" i="62"/>
  <c r="I957" i="62"/>
  <c r="J957" i="62"/>
  <c r="L957" i="62"/>
  <c r="I958" i="62"/>
  <c r="J958" i="62"/>
  <c r="L958" i="62"/>
  <c r="I959" i="62"/>
  <c r="J959" i="62"/>
  <c r="L959" i="62"/>
  <c r="I960" i="62"/>
  <c r="J960" i="62"/>
  <c r="L960" i="62"/>
  <c r="I961" i="62"/>
  <c r="J961" i="62"/>
  <c r="L961" i="62"/>
  <c r="I962" i="62"/>
  <c r="J962" i="62"/>
  <c r="L962" i="62"/>
  <c r="I963" i="62"/>
  <c r="J963" i="62"/>
  <c r="L963" i="62"/>
  <c r="I964" i="62"/>
  <c r="J964" i="62"/>
  <c r="L964" i="62"/>
  <c r="I965" i="62"/>
  <c r="J965" i="62"/>
  <c r="L965" i="62"/>
  <c r="I966" i="62"/>
  <c r="J966" i="62"/>
  <c r="L966" i="62"/>
  <c r="I967" i="62"/>
  <c r="J967" i="62"/>
  <c r="L967" i="62"/>
  <c r="I968" i="62"/>
  <c r="J968" i="62"/>
  <c r="L968" i="62"/>
  <c r="I969" i="62"/>
  <c r="J969" i="62"/>
  <c r="L969" i="62"/>
  <c r="I970" i="62"/>
  <c r="J970" i="62"/>
  <c r="L970" i="62"/>
  <c r="I971" i="62"/>
  <c r="J971" i="62"/>
  <c r="L971" i="62"/>
  <c r="I972" i="62"/>
  <c r="J972" i="62"/>
  <c r="L972" i="62"/>
  <c r="I973" i="62"/>
  <c r="J973" i="62"/>
  <c r="L973" i="62"/>
  <c r="I974" i="62"/>
  <c r="J974" i="62"/>
  <c r="L974" i="62"/>
  <c r="I975" i="62"/>
  <c r="J975" i="62"/>
  <c r="L975" i="62"/>
  <c r="I976" i="62"/>
  <c r="J976" i="62"/>
  <c r="L976" i="62"/>
  <c r="I977" i="62"/>
  <c r="J977" i="62"/>
  <c r="L977" i="62"/>
  <c r="I978" i="62"/>
  <c r="J978" i="62"/>
  <c r="L978" i="62"/>
  <c r="I979" i="62"/>
  <c r="J979" i="62"/>
  <c r="L979" i="62"/>
  <c r="I980" i="62"/>
  <c r="J980" i="62"/>
  <c r="L980" i="62"/>
  <c r="I981" i="62"/>
  <c r="J981" i="62"/>
  <c r="L981" i="62"/>
  <c r="I982" i="62"/>
  <c r="J982" i="62"/>
  <c r="L982" i="62"/>
  <c r="I983" i="62"/>
  <c r="J983" i="62"/>
  <c r="L983" i="62"/>
  <c r="I984" i="62"/>
  <c r="J984" i="62"/>
  <c r="L984" i="62"/>
  <c r="I985" i="62"/>
  <c r="J985" i="62"/>
  <c r="L985" i="62"/>
  <c r="I986" i="62"/>
  <c r="J986" i="62"/>
  <c r="L986" i="62"/>
  <c r="I987" i="62"/>
  <c r="J987" i="62"/>
  <c r="L987" i="62"/>
  <c r="I988" i="62"/>
  <c r="J988" i="62"/>
  <c r="L988" i="62"/>
  <c r="I989" i="62"/>
  <c r="J989" i="62"/>
  <c r="L989" i="62"/>
  <c r="I990" i="62"/>
  <c r="J990" i="62"/>
  <c r="L990" i="62"/>
  <c r="I991" i="62"/>
  <c r="J991" i="62"/>
  <c r="L991" i="62"/>
  <c r="I992" i="62"/>
  <c r="J992" i="62"/>
  <c r="L992" i="62"/>
  <c r="I993" i="62"/>
  <c r="J993" i="62"/>
  <c r="L993" i="62"/>
  <c r="I994" i="62"/>
  <c r="J994" i="62"/>
  <c r="L994" i="62"/>
  <c r="I995" i="62"/>
  <c r="J995" i="62"/>
  <c r="L995" i="62"/>
  <c r="I996" i="62"/>
  <c r="J996" i="62"/>
  <c r="L996" i="62"/>
  <c r="I997" i="62"/>
  <c r="J997" i="62"/>
  <c r="L997" i="62"/>
  <c r="I998" i="62"/>
  <c r="J998" i="62"/>
  <c r="L998" i="62"/>
  <c r="E999" i="62"/>
  <c r="I999" i="62"/>
  <c r="J999" i="62"/>
  <c r="L999" i="62"/>
  <c r="E1000" i="62"/>
  <c r="I1000" i="62"/>
  <c r="J1000" i="62"/>
  <c r="L1000" i="62"/>
  <c r="E1001" i="62"/>
  <c r="I1001" i="62"/>
  <c r="J1001" i="62"/>
  <c r="L1001" i="62"/>
  <c r="E1002" i="62"/>
  <c r="I1002" i="62"/>
  <c r="J1002" i="62"/>
  <c r="L1002" i="62"/>
  <c r="E1003" i="62"/>
  <c r="I1003" i="62"/>
  <c r="J1003" i="62"/>
  <c r="L1003" i="62"/>
  <c r="E1004" i="62"/>
  <c r="I1004" i="62"/>
  <c r="J1004" i="62"/>
  <c r="L1004" i="62"/>
  <c r="E1005" i="62"/>
  <c r="I1005" i="62"/>
  <c r="J1005" i="62"/>
  <c r="L1005" i="62"/>
  <c r="I1006" i="62"/>
  <c r="J1006" i="62"/>
  <c r="L1006" i="62"/>
  <c r="I1007" i="62"/>
  <c r="J1007" i="62"/>
  <c r="L1007" i="62"/>
  <c r="E1008" i="62"/>
  <c r="I1008" i="62"/>
  <c r="J1008" i="62"/>
  <c r="L1008" i="62"/>
  <c r="I1009" i="62"/>
  <c r="J1009" i="62"/>
  <c r="L1009" i="62"/>
  <c r="E1010" i="62"/>
  <c r="I1010" i="62"/>
  <c r="J1010" i="62"/>
  <c r="L1010" i="62"/>
  <c r="I1011" i="62"/>
  <c r="J1011" i="62"/>
  <c r="L1011" i="62"/>
  <c r="E1012" i="62"/>
  <c r="I1012" i="62"/>
  <c r="J1012" i="62"/>
  <c r="L1012" i="62"/>
  <c r="I1013" i="62"/>
  <c r="J1013" i="62"/>
  <c r="L1013" i="62"/>
  <c r="I1014" i="62"/>
  <c r="J1014" i="62"/>
  <c r="L1014" i="62"/>
  <c r="I1015" i="62"/>
  <c r="J1015" i="62"/>
  <c r="L1015" i="62"/>
  <c r="I1016" i="62"/>
  <c r="J1016" i="62"/>
  <c r="L1016" i="62"/>
  <c r="E1017" i="62"/>
  <c r="I1017" i="62"/>
  <c r="J1017" i="62"/>
  <c r="L1017" i="62"/>
  <c r="E1018" i="62"/>
  <c r="I1018" i="62"/>
  <c r="J1018" i="62"/>
  <c r="L1018" i="62"/>
  <c r="I1019" i="62"/>
  <c r="J1019" i="62"/>
  <c r="L1019" i="62"/>
  <c r="E1020" i="62"/>
  <c r="I1020" i="62"/>
  <c r="J1020" i="62"/>
  <c r="L1020" i="62"/>
  <c r="I1021" i="62"/>
  <c r="J1021" i="62"/>
  <c r="L1021" i="62"/>
  <c r="I1022" i="62"/>
  <c r="J1022" i="62"/>
  <c r="L1022" i="62"/>
  <c r="I1023" i="62"/>
  <c r="J1023" i="62"/>
  <c r="L1023" i="62"/>
  <c r="I1024" i="62"/>
  <c r="J1024" i="62"/>
  <c r="K1024" i="62"/>
  <c r="L1024" i="62"/>
  <c r="I1025" i="62"/>
  <c r="J1025" i="62"/>
  <c r="K1025" i="62"/>
  <c r="L1025" i="62"/>
  <c r="I1026" i="62"/>
  <c r="J1026" i="62"/>
  <c r="L1026" i="62"/>
  <c r="I1027" i="62"/>
  <c r="J1027" i="62"/>
  <c r="L1027" i="62"/>
  <c r="I1028" i="62"/>
  <c r="J1028" i="62"/>
  <c r="L1028" i="62"/>
  <c r="I1029" i="62"/>
  <c r="J1029" i="62"/>
  <c r="L1029" i="62"/>
  <c r="I1030" i="62"/>
  <c r="J1030" i="62"/>
  <c r="L1030" i="62"/>
  <c r="I1031" i="62"/>
  <c r="J1031" i="62"/>
  <c r="L1031" i="62"/>
  <c r="I1032" i="62"/>
  <c r="J1032" i="62"/>
  <c r="L1032" i="62"/>
  <c r="I1033" i="62"/>
  <c r="J1033" i="62"/>
  <c r="L1033" i="62"/>
  <c r="I1034" i="62"/>
  <c r="J1034" i="62"/>
  <c r="L1034" i="62"/>
  <c r="I1035" i="62"/>
  <c r="J1035" i="62"/>
  <c r="L1035" i="62"/>
  <c r="I1036" i="62"/>
  <c r="J1036" i="62"/>
  <c r="L1036" i="62"/>
  <c r="I1037" i="62"/>
  <c r="J1037" i="62"/>
  <c r="L1037" i="62"/>
  <c r="I1038" i="62"/>
  <c r="J1038" i="62"/>
  <c r="L1038" i="62"/>
  <c r="I1039" i="62"/>
  <c r="J1039" i="62"/>
  <c r="L1039" i="62"/>
  <c r="I1040" i="62"/>
  <c r="J1040" i="62"/>
  <c r="L1040" i="62"/>
  <c r="I1041" i="62"/>
  <c r="J1041" i="62"/>
  <c r="L1041" i="62"/>
  <c r="I1042" i="62"/>
  <c r="J1042" i="62"/>
  <c r="L1042" i="62"/>
  <c r="I1043" i="62"/>
  <c r="J1043" i="62"/>
  <c r="L1043" i="62"/>
  <c r="I1044" i="62"/>
  <c r="J1044" i="62"/>
  <c r="L1044" i="62"/>
  <c r="I1045" i="62"/>
  <c r="J1045" i="62"/>
  <c r="L1045" i="62"/>
  <c r="I1046" i="62"/>
  <c r="J1046" i="62"/>
  <c r="L1046" i="62"/>
  <c r="I1047" i="62"/>
  <c r="J1047" i="62"/>
  <c r="L1047" i="62"/>
  <c r="I1048" i="62"/>
  <c r="J1048" i="62"/>
  <c r="L1048" i="62"/>
  <c r="I1049" i="62"/>
  <c r="J1049" i="62"/>
  <c r="L1049" i="62"/>
  <c r="I1050" i="62"/>
  <c r="J1050" i="62"/>
  <c r="L1050" i="62"/>
  <c r="I1051" i="62"/>
  <c r="J1051" i="62"/>
  <c r="L1051" i="62"/>
  <c r="I1052" i="62"/>
  <c r="J1052" i="62"/>
  <c r="L1052" i="62"/>
  <c r="I1053" i="62"/>
  <c r="J1053" i="62"/>
  <c r="L1053" i="62"/>
  <c r="I1054" i="62"/>
  <c r="J1054" i="62"/>
  <c r="L1054" i="62"/>
  <c r="I1055" i="62"/>
  <c r="J1055" i="62"/>
  <c r="L1055" i="62"/>
  <c r="I1056" i="62"/>
  <c r="J1056" i="62"/>
  <c r="L1056" i="62"/>
  <c r="I1057" i="62"/>
  <c r="J1057" i="62"/>
  <c r="L1057" i="62"/>
  <c r="I1058" i="62"/>
  <c r="J1058" i="62"/>
  <c r="L1058" i="62"/>
  <c r="I1059" i="62"/>
  <c r="J1059" i="62"/>
  <c r="L1059" i="62"/>
  <c r="I1060" i="62"/>
  <c r="J1060" i="62"/>
  <c r="L1060" i="62"/>
  <c r="I1061" i="62"/>
  <c r="J1061" i="62"/>
  <c r="L1061" i="62"/>
  <c r="I1062" i="62"/>
  <c r="J1062" i="62"/>
  <c r="L1062" i="62"/>
  <c r="I1063" i="62"/>
  <c r="J1063" i="62"/>
  <c r="L1063" i="62"/>
  <c r="I1064" i="62"/>
  <c r="J1064" i="62"/>
  <c r="L1064" i="62"/>
  <c r="I1065" i="62"/>
  <c r="J1065" i="62"/>
  <c r="L1065" i="62"/>
  <c r="I1066" i="62"/>
  <c r="J1066" i="62"/>
  <c r="L1066" i="62"/>
  <c r="I1067" i="62"/>
  <c r="J1067" i="62"/>
  <c r="L1067" i="62"/>
  <c r="E1068" i="62"/>
  <c r="I1068" i="62"/>
  <c r="J1068" i="62"/>
  <c r="L1068" i="62"/>
  <c r="I1069" i="62"/>
  <c r="J1069" i="62"/>
  <c r="L1069" i="62"/>
  <c r="J1070" i="62"/>
  <c r="L1070" i="62"/>
  <c r="I1071" i="62"/>
  <c r="J1071" i="62"/>
  <c r="L1071" i="62"/>
  <c r="I1072" i="62"/>
  <c r="J1072" i="62"/>
  <c r="L1072" i="62"/>
  <c r="I1073" i="62"/>
  <c r="J1073" i="62"/>
  <c r="L1073" i="62"/>
  <c r="I1074" i="62"/>
  <c r="J1074" i="62"/>
  <c r="L1074" i="62"/>
  <c r="I1075" i="62"/>
  <c r="J1075" i="62"/>
  <c r="L1075" i="62"/>
  <c r="I1076" i="62"/>
  <c r="J1076" i="62"/>
  <c r="L1076" i="62"/>
  <c r="I1077" i="62"/>
  <c r="J1077" i="62"/>
  <c r="L1077" i="62"/>
  <c r="I1078" i="62"/>
  <c r="J1078" i="62"/>
  <c r="L1078" i="62"/>
  <c r="I1079" i="62"/>
  <c r="J1079" i="62"/>
  <c r="L1079" i="62"/>
  <c r="I1080" i="62"/>
  <c r="J1080" i="62"/>
  <c r="L1080" i="62"/>
  <c r="I1081" i="62"/>
  <c r="J1081" i="62"/>
  <c r="L1081" i="62"/>
  <c r="I1082" i="62"/>
  <c r="J1082" i="62"/>
  <c r="L1082" i="62"/>
  <c r="E1083" i="62"/>
  <c r="I1083" i="62"/>
  <c r="J1083" i="62"/>
  <c r="L1083" i="62"/>
  <c r="I1084" i="62"/>
  <c r="J1084" i="62"/>
  <c r="L1084" i="62"/>
  <c r="E1085" i="62"/>
  <c r="I1085" i="62"/>
  <c r="J1085" i="62"/>
  <c r="L1085" i="62"/>
  <c r="I1086" i="62"/>
  <c r="J1086" i="62"/>
  <c r="L1086" i="62"/>
  <c r="I1087" i="62"/>
  <c r="J1087" i="62"/>
  <c r="L1087" i="62"/>
  <c r="I1088" i="62"/>
  <c r="J1088" i="62"/>
  <c r="L1088" i="62"/>
  <c r="I1089" i="62"/>
  <c r="J1089" i="62"/>
  <c r="L1089" i="62"/>
  <c r="I1090" i="62"/>
  <c r="J1090" i="62"/>
  <c r="L1090" i="62"/>
  <c r="I1091" i="62"/>
  <c r="J1091" i="62"/>
  <c r="L1091" i="62"/>
  <c r="I1092" i="62"/>
  <c r="J1092" i="62"/>
  <c r="L1092" i="62"/>
  <c r="I1093" i="62"/>
  <c r="J1093" i="62"/>
  <c r="L1093" i="62"/>
  <c r="I1094" i="62"/>
  <c r="J1094" i="62"/>
  <c r="L1094" i="62"/>
  <c r="I1095" i="62"/>
  <c r="J1095" i="62"/>
  <c r="L1095" i="62"/>
  <c r="I1096" i="62"/>
  <c r="J1096" i="62"/>
  <c r="L1096" i="62"/>
  <c r="I1097" i="62"/>
  <c r="J1097" i="62"/>
  <c r="L1097" i="62"/>
  <c r="I1098" i="62"/>
  <c r="J1098" i="62"/>
  <c r="L1098" i="62"/>
  <c r="I1099" i="62"/>
  <c r="J1099" i="62"/>
  <c r="L1099" i="62"/>
  <c r="I1100" i="62"/>
  <c r="J1100" i="62"/>
  <c r="L1100" i="62"/>
  <c r="I1101" i="62"/>
  <c r="J1101" i="62"/>
  <c r="L1101" i="62"/>
  <c r="I1102" i="62"/>
  <c r="J1102" i="62"/>
  <c r="L1102" i="62"/>
  <c r="I1103" i="62"/>
  <c r="J1103" i="62"/>
  <c r="L1103" i="62"/>
  <c r="I1104" i="62"/>
  <c r="J1104" i="62"/>
  <c r="L1104" i="62"/>
  <c r="I1105" i="62"/>
  <c r="J1105" i="62"/>
  <c r="L1105" i="62"/>
  <c r="I1106" i="62"/>
  <c r="J1106" i="62"/>
  <c r="L1106" i="62"/>
  <c r="I1107" i="62"/>
  <c r="J1107" i="62"/>
  <c r="L1107" i="62"/>
  <c r="I1108" i="62"/>
  <c r="J1108" i="62"/>
  <c r="L1108" i="62"/>
  <c r="I1109" i="62"/>
  <c r="J1109" i="62"/>
  <c r="L1109" i="62"/>
  <c r="I1110" i="62"/>
  <c r="J1110" i="62"/>
  <c r="L1110" i="62"/>
  <c r="I1111" i="62"/>
  <c r="J1111" i="62"/>
  <c r="L1111" i="62"/>
  <c r="I1112" i="62"/>
  <c r="J1112" i="62"/>
  <c r="L1112" i="62"/>
  <c r="I1113" i="62"/>
  <c r="J1113" i="62"/>
  <c r="L1113" i="62"/>
  <c r="I1114" i="62"/>
  <c r="J1114" i="62"/>
  <c r="L1114" i="62"/>
  <c r="I1115" i="62"/>
  <c r="J1115" i="62"/>
  <c r="L1115" i="62"/>
  <c r="I1116" i="62"/>
  <c r="J1116" i="62"/>
  <c r="L1116" i="62"/>
  <c r="I1117" i="62"/>
  <c r="J1117" i="62"/>
  <c r="L1117" i="62"/>
  <c r="I1118" i="62"/>
  <c r="J1118" i="62"/>
  <c r="L1118" i="62"/>
  <c r="I1119" i="62"/>
  <c r="J1119" i="62"/>
  <c r="L1119" i="62"/>
  <c r="I1120" i="62"/>
  <c r="J1120" i="62"/>
  <c r="L1120" i="62"/>
  <c r="I1121" i="62"/>
  <c r="J1121" i="62"/>
  <c r="L1121" i="62"/>
  <c r="I1122" i="62"/>
  <c r="J1122" i="62"/>
  <c r="L1122" i="62"/>
  <c r="I1123" i="62"/>
  <c r="J1123" i="62"/>
  <c r="L1123" i="62"/>
  <c r="I1124" i="62"/>
  <c r="J1124" i="62"/>
  <c r="L1124" i="62"/>
  <c r="I1125" i="62"/>
  <c r="J1125" i="62"/>
  <c r="L1125" i="62"/>
  <c r="I1126" i="62"/>
  <c r="J1126" i="62"/>
  <c r="L1126" i="62"/>
  <c r="I1127" i="62"/>
  <c r="J1127" i="62"/>
  <c r="L1127" i="62"/>
  <c r="I1128" i="62"/>
  <c r="J1128" i="62"/>
  <c r="L1128" i="62"/>
  <c r="I1129" i="62"/>
  <c r="J1129" i="62"/>
  <c r="L1129" i="62"/>
  <c r="I1130" i="62"/>
  <c r="J1130" i="62"/>
  <c r="L1130" i="62"/>
  <c r="I1131" i="62"/>
  <c r="J1131" i="62"/>
  <c r="L1131" i="62"/>
  <c r="I1132" i="62"/>
  <c r="J1132" i="62"/>
  <c r="L1132" i="62"/>
  <c r="I1133" i="62"/>
  <c r="J1133" i="62"/>
  <c r="L1133" i="62"/>
  <c r="I1134" i="62"/>
  <c r="J1134" i="62"/>
  <c r="L1134" i="62"/>
  <c r="I1135" i="62"/>
  <c r="J1135" i="62"/>
  <c r="L1135" i="62"/>
  <c r="I1136" i="62"/>
  <c r="J1136" i="62"/>
  <c r="L1136" i="62"/>
  <c r="I1137" i="62"/>
  <c r="J1137" i="62"/>
  <c r="L1137" i="62"/>
  <c r="I1138" i="62"/>
  <c r="J1138" i="62"/>
  <c r="L1138" i="62"/>
  <c r="I1139" i="62"/>
  <c r="J1139" i="62"/>
  <c r="L1139" i="62"/>
  <c r="I1140" i="62"/>
  <c r="J1140" i="62"/>
  <c r="L1140" i="62"/>
  <c r="I1141" i="62"/>
  <c r="J1141" i="62"/>
  <c r="L1141" i="62"/>
  <c r="I1142" i="62"/>
  <c r="J1142" i="62"/>
  <c r="L1142" i="62"/>
  <c r="I1143" i="62"/>
  <c r="J1143" i="62"/>
  <c r="L1143" i="62"/>
  <c r="I1144" i="62"/>
  <c r="J1144" i="62"/>
  <c r="L1144" i="62"/>
  <c r="I1145" i="62"/>
  <c r="J1145" i="62"/>
  <c r="L1145" i="62"/>
  <c r="I1146" i="62"/>
  <c r="J1146" i="62"/>
  <c r="L1146" i="62"/>
  <c r="I1147" i="62"/>
  <c r="J1147" i="62"/>
  <c r="L1147" i="62"/>
  <c r="I1148" i="62"/>
  <c r="J1148" i="62"/>
  <c r="L1148" i="62"/>
  <c r="I1149" i="62"/>
  <c r="J1149" i="62"/>
  <c r="L1149" i="62"/>
  <c r="I1150" i="62"/>
  <c r="J1150" i="62"/>
  <c r="L1150" i="62"/>
  <c r="I1151" i="62"/>
  <c r="J1151" i="62"/>
  <c r="L1151" i="62"/>
  <c r="I1152" i="62"/>
  <c r="J1152" i="62"/>
  <c r="L1152" i="62"/>
  <c r="I1153" i="62"/>
  <c r="J1153" i="62"/>
  <c r="L1153" i="62"/>
  <c r="I1154" i="62"/>
  <c r="J1154" i="62"/>
  <c r="L1154" i="62"/>
  <c r="I1155" i="62"/>
  <c r="J1155" i="62"/>
  <c r="L1155" i="62"/>
  <c r="I1156" i="62"/>
  <c r="J1156" i="62"/>
  <c r="L1156" i="62"/>
  <c r="I1157" i="62"/>
  <c r="J1157" i="62"/>
  <c r="L1157" i="62"/>
  <c r="I1158" i="62"/>
  <c r="J1158" i="62"/>
  <c r="L1158" i="62"/>
  <c r="I1159" i="62"/>
  <c r="J1159" i="62"/>
  <c r="L1159" i="62"/>
  <c r="I1160" i="62"/>
  <c r="J1160" i="62"/>
  <c r="L1160" i="62"/>
  <c r="I1161" i="62"/>
  <c r="J1161" i="62"/>
  <c r="L1161" i="62"/>
  <c r="I1162" i="62"/>
  <c r="J1162" i="62"/>
  <c r="L1162" i="62"/>
  <c r="I1163" i="62"/>
  <c r="J1163" i="62"/>
  <c r="L1163" i="62"/>
  <c r="I1164" i="62"/>
  <c r="J1164" i="62"/>
  <c r="L1164" i="62"/>
  <c r="I1165" i="62"/>
  <c r="J1165" i="62"/>
  <c r="L1165" i="62"/>
  <c r="I1166" i="62"/>
  <c r="J1166" i="62"/>
  <c r="L1166" i="62"/>
  <c r="I1167" i="62"/>
  <c r="J1167" i="62"/>
  <c r="L1167" i="62"/>
  <c r="I1168" i="62"/>
  <c r="J1168" i="62"/>
  <c r="L1168" i="62"/>
  <c r="I1169" i="62"/>
  <c r="J1169" i="62"/>
  <c r="L1169" i="62"/>
  <c r="I1170" i="62"/>
  <c r="J1170" i="62"/>
  <c r="L1170" i="62"/>
  <c r="I1171" i="62"/>
  <c r="J1171" i="62"/>
  <c r="L1171" i="62"/>
  <c r="E1172" i="62"/>
  <c r="I1172" i="62"/>
  <c r="J1172" i="62"/>
  <c r="L1172" i="62"/>
  <c r="E1173" i="62"/>
  <c r="I1173" i="62"/>
  <c r="J1173" i="62"/>
  <c r="L1173" i="62"/>
  <c r="E1174" i="62"/>
  <c r="I1174" i="62"/>
  <c r="J1174" i="62"/>
  <c r="L1174" i="62"/>
  <c r="E1175" i="62"/>
  <c r="I1175" i="62"/>
  <c r="J1175" i="62"/>
  <c r="L1175" i="62"/>
  <c r="J1176" i="62"/>
  <c r="L1176" i="62"/>
  <c r="I1177" i="62"/>
  <c r="J1177" i="62"/>
  <c r="L1177" i="62"/>
  <c r="I1178" i="62"/>
  <c r="J1178" i="62"/>
  <c r="L1178" i="62"/>
  <c r="I1179" i="62"/>
  <c r="J1179" i="62"/>
  <c r="L1179" i="62"/>
  <c r="I1180" i="62"/>
  <c r="J1180" i="62"/>
  <c r="L1180" i="62"/>
  <c r="E1181" i="62"/>
  <c r="I1181" i="62"/>
  <c r="J1181" i="62"/>
  <c r="L1181" i="62"/>
  <c r="I1182" i="62"/>
  <c r="J1182" i="62"/>
  <c r="L1182" i="62"/>
  <c r="I1183" i="62"/>
  <c r="J1183" i="62"/>
  <c r="L1183" i="62"/>
  <c r="E1184" i="62"/>
  <c r="I1184" i="62"/>
  <c r="J1184" i="62"/>
  <c r="L1184" i="62"/>
  <c r="E1185" i="62"/>
  <c r="I1185" i="62"/>
  <c r="J1185" i="62"/>
  <c r="L1185" i="62"/>
  <c r="I1186" i="62"/>
  <c r="J1186" i="62"/>
  <c r="L1186" i="62"/>
  <c r="E1187" i="62"/>
  <c r="I1187" i="62"/>
  <c r="J1187" i="62"/>
  <c r="L1187" i="62"/>
  <c r="I1188" i="62"/>
  <c r="J1188" i="62"/>
  <c r="L1188" i="62"/>
  <c r="E1189" i="62"/>
  <c r="I1189" i="62"/>
  <c r="J1189" i="62"/>
  <c r="L1189" i="62"/>
  <c r="E1190" i="62"/>
  <c r="I1190" i="62"/>
  <c r="J1190" i="62"/>
  <c r="L1190" i="62"/>
  <c r="I1191" i="62"/>
  <c r="J1191" i="62"/>
  <c r="L1191" i="62"/>
  <c r="E1192" i="62"/>
  <c r="I1192" i="62"/>
  <c r="J1192" i="62"/>
  <c r="L1192" i="62"/>
  <c r="I1193" i="62"/>
  <c r="J1193" i="62"/>
  <c r="L1193" i="62"/>
  <c r="I1194" i="62"/>
  <c r="J1194" i="62"/>
  <c r="L1194" i="62"/>
  <c r="I1195" i="62"/>
  <c r="J1195" i="62"/>
  <c r="L1195" i="62"/>
  <c r="I1196" i="62"/>
  <c r="J1196" i="62"/>
  <c r="L1196" i="62"/>
  <c r="I1197" i="62"/>
  <c r="J1197" i="62"/>
  <c r="L1197" i="62"/>
  <c r="I1198" i="62"/>
  <c r="J1198" i="62"/>
  <c r="L1198" i="62"/>
  <c r="I1199" i="62"/>
  <c r="J1199" i="62"/>
  <c r="L1199" i="62"/>
  <c r="J1200" i="62"/>
  <c r="L1200" i="62"/>
  <c r="I1201" i="62"/>
  <c r="J1201" i="62"/>
  <c r="L1201" i="62"/>
  <c r="I1202" i="62"/>
  <c r="J1202" i="62"/>
  <c r="L1202" i="62"/>
  <c r="I1203" i="62"/>
  <c r="J1203" i="62"/>
  <c r="L1203" i="62"/>
  <c r="I1204" i="62"/>
  <c r="J1204" i="62"/>
  <c r="L1204" i="62"/>
  <c r="J1205" i="62"/>
  <c r="L1205" i="62"/>
  <c r="I1206" i="62"/>
  <c r="J1206" i="62"/>
  <c r="L1206" i="62"/>
  <c r="I1207" i="62"/>
  <c r="J1207" i="62"/>
  <c r="L1207" i="62"/>
  <c r="I1208" i="62"/>
  <c r="J1208" i="62"/>
  <c r="L1208" i="62"/>
  <c r="I1209" i="62"/>
  <c r="J1209" i="62"/>
  <c r="L1209" i="62"/>
  <c r="E1210" i="62"/>
  <c r="I1210" i="62"/>
  <c r="J1210" i="62"/>
  <c r="L1210" i="62"/>
  <c r="E1211" i="62"/>
  <c r="I1211" i="62"/>
  <c r="J1211" i="62"/>
  <c r="L1211" i="62"/>
  <c r="E1212" i="62"/>
  <c r="I1212" i="62"/>
  <c r="J1212" i="62"/>
  <c r="L1212" i="62"/>
  <c r="E1213" i="62"/>
  <c r="I1213" i="62"/>
  <c r="J1213" i="62"/>
  <c r="L1213" i="62"/>
  <c r="E1214" i="62"/>
  <c r="I1214" i="62"/>
  <c r="J1214" i="62"/>
  <c r="L1214" i="62"/>
  <c r="E1215" i="62"/>
  <c r="I1215" i="62"/>
  <c r="J1215" i="62"/>
  <c r="L1215" i="62"/>
  <c r="I1216" i="62"/>
  <c r="J1216" i="62"/>
  <c r="L1216" i="62"/>
  <c r="I1217" i="62"/>
  <c r="J1217" i="62"/>
  <c r="L1217" i="62"/>
  <c r="I1218" i="62"/>
  <c r="J1218" i="62"/>
  <c r="L1218" i="62"/>
  <c r="I1219" i="62"/>
  <c r="J1219" i="62"/>
  <c r="L1219" i="62"/>
  <c r="E1220" i="62"/>
  <c r="I1220" i="62"/>
  <c r="J1220" i="62"/>
  <c r="L1220" i="62"/>
  <c r="I1221" i="62"/>
  <c r="J1221" i="62"/>
  <c r="L1221" i="62"/>
  <c r="I1222" i="62"/>
  <c r="J1222" i="62"/>
  <c r="L1222" i="62"/>
  <c r="I1223" i="62"/>
  <c r="J1223" i="62"/>
  <c r="L1223" i="62"/>
  <c r="I1224" i="62"/>
  <c r="J1224" i="62"/>
  <c r="L1224" i="62"/>
  <c r="E1225" i="62"/>
  <c r="I1225" i="62"/>
  <c r="J1225" i="62"/>
  <c r="L1225" i="62"/>
  <c r="E1226" i="62"/>
  <c r="I1226" i="62"/>
  <c r="J1226" i="62"/>
  <c r="L1226" i="62"/>
  <c r="E1227" i="62"/>
  <c r="I1227" i="62"/>
  <c r="J1227" i="62"/>
  <c r="L1227" i="62"/>
  <c r="E1228" i="62"/>
  <c r="I1228" i="62"/>
  <c r="J1228" i="62"/>
  <c r="L1228" i="62"/>
  <c r="E1229" i="62"/>
  <c r="I1229" i="62"/>
  <c r="J1229" i="62"/>
  <c r="L1229" i="62"/>
  <c r="E1230" i="62"/>
  <c r="I1230" i="62"/>
  <c r="J1230" i="62"/>
  <c r="L1230" i="62"/>
  <c r="E1231" i="62"/>
  <c r="I1231" i="62"/>
  <c r="J1231" i="62"/>
  <c r="L1231" i="62"/>
  <c r="I1232" i="62"/>
  <c r="J1232" i="62"/>
  <c r="L1232" i="62"/>
  <c r="I1233" i="62"/>
  <c r="J1233" i="62"/>
  <c r="L1233" i="62"/>
  <c r="I1234" i="62"/>
  <c r="J1234" i="62"/>
  <c r="L1234" i="62"/>
  <c r="I1235" i="62"/>
  <c r="J1235" i="62"/>
  <c r="L1235" i="62"/>
  <c r="I1236" i="62"/>
  <c r="J1236" i="62"/>
  <c r="L1236" i="62"/>
  <c r="I1237" i="62"/>
  <c r="J1237" i="62"/>
  <c r="L1237" i="62"/>
  <c r="I1238" i="62"/>
  <c r="J1238" i="62"/>
  <c r="L1238" i="62"/>
  <c r="I1239" i="62"/>
  <c r="J1239" i="62"/>
  <c r="L1239" i="62"/>
  <c r="I1240" i="62"/>
  <c r="J1240" i="62"/>
  <c r="L1240" i="62"/>
  <c r="I1241" i="62"/>
  <c r="J1241" i="62"/>
  <c r="L1241" i="62"/>
  <c r="I1242" i="62"/>
  <c r="J1242" i="62"/>
  <c r="L1242" i="62"/>
  <c r="E1243" i="62"/>
  <c r="I1243" i="62"/>
  <c r="J1243" i="62"/>
  <c r="L1243" i="62"/>
  <c r="E1244" i="62"/>
  <c r="I1244" i="62"/>
  <c r="J1244" i="62"/>
  <c r="L1244" i="62"/>
  <c r="E1245" i="62"/>
  <c r="I1245" i="62"/>
  <c r="J1245" i="62"/>
  <c r="L1245" i="62"/>
  <c r="I1246" i="62"/>
  <c r="J1246" i="62"/>
  <c r="L1246" i="62"/>
  <c r="I1247" i="62"/>
  <c r="J1247" i="62"/>
  <c r="L1247" i="62"/>
  <c r="I1248" i="62"/>
  <c r="J1248" i="62"/>
  <c r="L1248" i="62"/>
  <c r="I1249" i="62"/>
  <c r="J1249" i="62"/>
  <c r="L1249" i="62"/>
  <c r="I1250" i="62"/>
  <c r="J1250" i="62"/>
  <c r="L1250" i="62"/>
  <c r="I1251" i="62"/>
  <c r="J1251" i="62"/>
  <c r="L1251" i="62"/>
  <c r="I1252" i="62"/>
  <c r="J1252" i="62"/>
  <c r="L1252" i="62"/>
  <c r="I1253" i="62"/>
  <c r="J1253" i="62"/>
  <c r="L1253" i="62"/>
  <c r="I1254" i="62"/>
  <c r="J1254" i="62"/>
  <c r="L1254" i="62"/>
  <c r="I1255" i="62"/>
  <c r="J1255" i="62"/>
  <c r="L1255" i="62"/>
  <c r="I1256" i="62"/>
  <c r="J1256" i="62"/>
  <c r="L1256" i="62"/>
  <c r="I1257" i="62"/>
  <c r="J1257" i="62"/>
  <c r="L1257" i="62"/>
  <c r="I1258" i="62"/>
  <c r="J1258" i="62"/>
  <c r="L1258" i="62"/>
  <c r="I1259" i="62"/>
  <c r="J1259" i="62"/>
  <c r="L1259" i="62"/>
  <c r="I1260" i="62"/>
  <c r="J1260" i="62"/>
  <c r="L1260" i="62"/>
  <c r="I1261" i="62"/>
  <c r="J1261" i="62"/>
  <c r="L1261" i="62"/>
  <c r="E1262" i="62"/>
  <c r="I1262" i="62"/>
  <c r="J1262" i="62"/>
  <c r="L1262" i="62"/>
  <c r="I1263" i="62"/>
  <c r="J1263" i="62"/>
  <c r="L1263" i="62"/>
  <c r="I1264" i="62"/>
  <c r="J1264" i="62"/>
  <c r="L1264" i="62"/>
  <c r="E1265" i="62"/>
  <c r="I1265" i="62"/>
  <c r="J1265" i="62"/>
  <c r="L1265" i="62"/>
  <c r="E1266" i="62"/>
  <c r="I1266" i="62"/>
  <c r="J1266" i="62"/>
  <c r="L1266" i="62"/>
  <c r="E1267" i="62"/>
  <c r="I1267" i="62"/>
  <c r="J1267" i="62"/>
  <c r="L1267" i="62"/>
  <c r="E1268" i="62"/>
  <c r="I1268" i="62"/>
  <c r="J1268" i="62"/>
  <c r="L1268" i="62"/>
  <c r="E1269" i="62"/>
  <c r="I1269" i="62"/>
  <c r="J1269" i="62"/>
  <c r="L1269" i="62"/>
  <c r="E1270" i="62"/>
  <c r="I1270" i="62"/>
  <c r="J1270" i="62"/>
  <c r="L1270" i="62"/>
  <c r="E1271" i="62"/>
  <c r="I1271" i="62"/>
  <c r="J1271" i="62"/>
  <c r="L1271" i="62"/>
  <c r="E1272" i="62"/>
  <c r="I1272" i="62"/>
  <c r="J1272" i="62"/>
  <c r="L1272" i="62"/>
  <c r="E1273" i="62"/>
  <c r="I1273" i="62"/>
  <c r="J1273" i="62"/>
  <c r="L1273" i="62"/>
  <c r="E1274" i="62"/>
  <c r="I1274" i="62"/>
  <c r="J1274" i="62"/>
  <c r="L1274" i="62"/>
  <c r="E1275" i="62"/>
  <c r="I1275" i="62"/>
  <c r="J1275" i="62"/>
  <c r="L1275" i="62"/>
  <c r="E1276" i="62"/>
  <c r="I1276" i="62"/>
  <c r="J1276" i="62"/>
  <c r="L1276" i="62"/>
  <c r="E1277" i="62"/>
  <c r="I1277" i="62"/>
  <c r="J1277" i="62"/>
  <c r="L1277" i="62"/>
  <c r="E1278" i="62"/>
  <c r="I1278" i="62"/>
  <c r="J1278" i="62"/>
  <c r="L1278" i="62"/>
  <c r="E1279" i="62"/>
  <c r="I1279" i="62"/>
  <c r="J1279" i="62"/>
  <c r="L1279" i="62"/>
  <c r="E1280" i="62"/>
  <c r="I1280" i="62"/>
  <c r="J1280" i="62"/>
  <c r="L1280" i="62"/>
  <c r="I1281" i="62"/>
  <c r="J1281" i="62"/>
  <c r="L1281" i="62"/>
  <c r="I1282" i="62"/>
  <c r="J1282" i="62"/>
  <c r="L1282" i="62"/>
  <c r="I1283" i="62"/>
  <c r="J1283" i="62"/>
  <c r="L1283" i="62"/>
  <c r="I1284" i="62"/>
  <c r="J1284" i="62"/>
  <c r="L1284" i="62"/>
  <c r="I1285" i="62"/>
  <c r="J1285" i="62"/>
  <c r="L1285" i="62"/>
  <c r="E1286" i="62"/>
  <c r="I1286" i="62"/>
  <c r="J1286" i="62"/>
  <c r="L1286" i="62"/>
  <c r="I1287" i="62"/>
  <c r="J1287" i="62"/>
  <c r="L1287" i="62"/>
  <c r="I1288" i="62"/>
  <c r="J1288" i="62"/>
  <c r="L1288" i="62"/>
  <c r="I1289" i="62"/>
  <c r="J1289" i="62"/>
  <c r="L1289" i="62"/>
  <c r="E1290" i="62"/>
  <c r="I1290" i="62"/>
  <c r="J1290" i="62"/>
  <c r="L1290" i="62"/>
  <c r="E1291" i="62"/>
  <c r="I1291" i="62"/>
  <c r="J1291" i="62"/>
  <c r="L1291" i="62"/>
  <c r="E1292" i="62"/>
  <c r="I1292" i="62"/>
  <c r="J1292" i="62"/>
  <c r="L1292" i="62"/>
  <c r="E1293" i="62"/>
  <c r="I1293" i="62"/>
  <c r="J1293" i="62"/>
  <c r="L1293" i="62"/>
  <c r="E1294" i="62"/>
  <c r="I1294" i="62"/>
  <c r="J1294" i="62"/>
  <c r="L1294" i="62"/>
  <c r="E1295" i="62"/>
  <c r="I1295" i="62"/>
  <c r="J1295" i="62"/>
  <c r="L1295" i="62"/>
  <c r="E1296" i="62"/>
  <c r="I1296" i="62"/>
  <c r="J1296" i="62"/>
  <c r="L1296" i="62"/>
  <c r="E1297" i="62"/>
  <c r="I1297" i="62"/>
  <c r="J1297" i="62"/>
  <c r="L1297" i="62"/>
  <c r="E1298" i="62"/>
  <c r="I1298" i="62"/>
  <c r="J1298" i="62"/>
  <c r="L1298" i="62"/>
  <c r="I1299" i="62"/>
  <c r="J1299" i="62"/>
  <c r="L1299" i="62"/>
  <c r="E1300" i="62"/>
  <c r="I1300" i="62"/>
  <c r="J1300" i="62"/>
  <c r="L1300" i="62"/>
  <c r="E1301" i="62"/>
  <c r="I1301" i="62"/>
  <c r="J1301" i="62"/>
  <c r="L1301" i="62"/>
  <c r="E1302" i="62"/>
  <c r="I1302" i="62"/>
  <c r="J1302" i="62"/>
  <c r="L1302" i="62"/>
  <c r="E1303" i="62"/>
  <c r="I1303" i="62"/>
  <c r="J1303" i="62"/>
  <c r="L1303" i="62"/>
  <c r="E1304" i="62"/>
  <c r="I1304" i="62"/>
  <c r="J1304" i="62"/>
  <c r="L1304" i="62"/>
  <c r="I1305" i="62"/>
  <c r="J1305" i="62"/>
  <c r="L1305" i="62"/>
  <c r="I1306" i="62"/>
  <c r="J1306" i="62"/>
  <c r="L1306" i="62"/>
  <c r="I1307" i="62"/>
  <c r="J1307" i="62"/>
  <c r="L1307" i="62"/>
  <c r="I1308" i="62"/>
  <c r="J1308" i="62"/>
  <c r="L1308" i="62"/>
  <c r="I1309" i="62"/>
  <c r="J1309" i="62"/>
  <c r="L1309" i="62"/>
  <c r="I1310" i="62"/>
  <c r="J1310" i="62"/>
  <c r="L1310" i="62"/>
  <c r="I1311" i="62"/>
  <c r="J1311" i="62"/>
  <c r="L1311" i="62"/>
  <c r="I1312" i="62"/>
  <c r="J1312" i="62"/>
  <c r="L1312" i="62"/>
  <c r="I1313" i="62"/>
  <c r="J1313" i="62"/>
  <c r="L1313" i="62"/>
  <c r="I1314" i="62"/>
  <c r="J1314" i="62"/>
  <c r="L1314" i="62"/>
  <c r="I1315" i="62"/>
  <c r="J1315" i="62"/>
  <c r="L1315" i="62"/>
  <c r="I1316" i="62"/>
  <c r="J1316" i="62"/>
  <c r="L1316" i="62"/>
  <c r="I1317" i="62"/>
  <c r="J1317" i="62"/>
  <c r="L1317" i="62"/>
  <c r="I1318" i="62"/>
  <c r="J1318" i="62"/>
  <c r="L1318" i="62"/>
  <c r="I1319" i="62"/>
  <c r="J1319" i="62"/>
  <c r="L1319" i="62"/>
  <c r="I1320" i="62"/>
  <c r="J1320" i="62"/>
  <c r="L1320" i="62"/>
  <c r="I1321" i="62"/>
  <c r="J1321" i="62"/>
  <c r="L1321" i="62"/>
  <c r="I1322" i="62"/>
  <c r="J1322" i="62"/>
  <c r="L1322" i="62"/>
  <c r="I1323" i="62"/>
  <c r="J1323" i="62"/>
  <c r="L1323" i="62"/>
  <c r="I1324" i="62"/>
  <c r="J1324" i="62"/>
  <c r="L1324" i="62"/>
  <c r="I1325" i="62"/>
  <c r="J1325" i="62"/>
  <c r="L1325" i="62"/>
  <c r="I1326" i="62"/>
  <c r="J1326" i="62"/>
  <c r="L1326" i="62"/>
  <c r="I1327" i="62"/>
  <c r="J1327" i="62"/>
  <c r="L1327" i="62"/>
  <c r="I1328" i="62"/>
  <c r="J1328" i="62"/>
  <c r="L1328" i="62"/>
  <c r="I1329" i="62"/>
  <c r="J1329" i="62"/>
  <c r="L1329" i="62"/>
  <c r="I1330" i="62"/>
  <c r="J1330" i="62"/>
  <c r="L1330" i="62"/>
  <c r="I1331" i="62"/>
  <c r="J1331" i="62"/>
  <c r="L1331" i="62"/>
  <c r="I1332" i="62"/>
  <c r="J1332" i="62"/>
  <c r="L1332" i="62"/>
  <c r="I1333" i="62"/>
  <c r="J1333" i="62"/>
  <c r="L1333" i="62"/>
  <c r="I1334" i="62"/>
  <c r="J1334" i="62"/>
  <c r="L1334" i="62"/>
  <c r="I1335" i="62"/>
  <c r="J1335" i="62"/>
  <c r="L1335" i="62"/>
  <c r="E1336" i="62"/>
  <c r="I1336" i="62"/>
  <c r="J1336" i="62"/>
  <c r="L1336" i="62"/>
  <c r="E1337" i="62"/>
  <c r="I1337" i="62"/>
  <c r="J1337" i="62"/>
  <c r="L1337" i="62"/>
  <c r="E1338" i="62"/>
  <c r="I1338" i="62"/>
  <c r="J1338" i="62"/>
  <c r="L1338" i="62"/>
  <c r="E1339" i="62"/>
  <c r="I1339" i="62"/>
  <c r="J1339" i="62"/>
  <c r="L1339" i="62"/>
  <c r="E1340" i="62"/>
  <c r="I1340" i="62"/>
  <c r="J1340" i="62"/>
  <c r="L1340" i="62"/>
  <c r="E1341" i="62"/>
  <c r="I1341" i="62"/>
  <c r="J1341" i="62"/>
  <c r="L1341" i="62"/>
  <c r="E1342" i="62"/>
  <c r="I1342" i="62"/>
  <c r="J1342" i="62"/>
  <c r="L1342" i="62"/>
  <c r="E1343" i="62"/>
  <c r="I1343" i="62"/>
  <c r="J1343" i="62"/>
  <c r="L1343" i="62"/>
  <c r="E1344" i="62"/>
  <c r="I1344" i="62"/>
  <c r="J1344" i="62"/>
  <c r="L1344" i="62"/>
  <c r="I1345" i="62"/>
  <c r="J1345" i="62"/>
  <c r="L1345" i="62"/>
  <c r="I1346" i="62"/>
  <c r="J1346" i="62"/>
  <c r="L1346" i="62"/>
  <c r="E1347" i="62"/>
  <c r="I1347" i="62"/>
  <c r="J1347" i="62"/>
  <c r="L1347" i="62"/>
  <c r="E1348" i="62"/>
  <c r="I1348" i="62"/>
  <c r="J1348" i="62"/>
  <c r="L1348" i="62"/>
  <c r="I1349" i="62"/>
  <c r="J1349" i="62"/>
  <c r="L1349" i="62"/>
  <c r="I1350" i="62"/>
  <c r="J1350" i="62"/>
  <c r="L1350" i="62"/>
  <c r="I1351" i="62"/>
  <c r="J1351" i="62"/>
  <c r="L1351" i="62"/>
  <c r="I1352" i="62"/>
  <c r="J1352" i="62"/>
  <c r="L1352" i="62"/>
  <c r="I1353" i="62"/>
  <c r="J1353" i="62"/>
  <c r="L1353" i="62"/>
  <c r="I1354" i="62"/>
  <c r="J1354" i="62"/>
  <c r="L1354" i="62"/>
  <c r="I1355" i="62"/>
  <c r="J1355" i="62"/>
  <c r="L1355" i="62"/>
  <c r="I1356" i="62"/>
  <c r="J1356" i="62"/>
  <c r="L1356" i="62"/>
  <c r="I1357" i="62"/>
  <c r="J1357" i="62"/>
  <c r="L1357" i="62"/>
  <c r="I1358" i="62"/>
  <c r="J1358" i="62"/>
  <c r="L1358" i="62"/>
  <c r="I1359" i="62"/>
  <c r="J1359" i="62"/>
  <c r="L1359" i="62"/>
  <c r="I1360" i="62"/>
  <c r="J1360" i="62"/>
  <c r="L1360" i="62"/>
  <c r="I1361" i="62"/>
  <c r="J1361" i="62"/>
  <c r="L1361" i="62"/>
  <c r="I1362" i="62"/>
  <c r="J1362" i="62"/>
  <c r="L1362" i="62"/>
  <c r="E1363" i="62"/>
  <c r="I1363" i="62"/>
  <c r="J1363" i="62"/>
  <c r="L1363" i="62"/>
  <c r="I1364" i="62"/>
  <c r="J1364" i="62"/>
  <c r="L1364" i="62"/>
  <c r="E1365" i="62"/>
  <c r="I1365" i="62"/>
  <c r="J1365" i="62"/>
  <c r="L1365" i="62"/>
  <c r="I1366" i="62"/>
  <c r="J1366" i="62"/>
  <c r="L1366" i="62"/>
  <c r="I1367" i="62"/>
  <c r="J1367" i="62"/>
  <c r="L1367" i="62"/>
  <c r="E1368" i="62"/>
  <c r="I1368" i="62"/>
  <c r="J1368" i="62"/>
  <c r="L1368" i="62"/>
  <c r="E1369" i="62"/>
  <c r="I1369" i="62"/>
  <c r="J1369" i="62"/>
  <c r="L1369" i="62"/>
  <c r="E1370" i="62"/>
  <c r="I1370" i="62"/>
  <c r="J1370" i="62"/>
  <c r="L1370" i="62"/>
  <c r="E1371" i="62"/>
  <c r="I1371" i="62"/>
  <c r="J1371" i="62"/>
  <c r="L1371" i="62"/>
  <c r="E1372" i="62"/>
  <c r="I1372" i="62"/>
  <c r="J1372" i="62"/>
  <c r="L1372" i="62"/>
  <c r="E1373" i="62"/>
  <c r="I1373" i="62"/>
  <c r="J1373" i="62"/>
  <c r="L1373" i="62"/>
  <c r="I1374" i="62"/>
  <c r="J1374" i="62"/>
  <c r="L1374" i="62"/>
  <c r="E1375" i="62"/>
  <c r="I1375" i="62"/>
  <c r="J1375" i="62"/>
  <c r="L1375" i="62"/>
  <c r="E1376" i="62"/>
  <c r="I1376" i="62"/>
  <c r="J1376" i="62"/>
  <c r="L1376" i="62"/>
  <c r="I1377" i="62"/>
  <c r="J1377" i="62"/>
  <c r="L1377" i="62"/>
  <c r="I1378" i="62"/>
  <c r="J1378" i="62"/>
  <c r="L1378" i="62"/>
  <c r="E1379" i="62"/>
  <c r="I1379" i="62"/>
  <c r="J1379" i="62"/>
  <c r="L1379" i="62"/>
  <c r="E1380" i="62"/>
  <c r="I1380" i="62"/>
  <c r="J1380" i="62"/>
  <c r="L1380" i="62"/>
  <c r="E1381" i="62"/>
  <c r="I1381" i="62"/>
  <c r="J1381" i="62"/>
  <c r="L1381" i="62"/>
  <c r="E1382" i="62"/>
  <c r="I1382" i="62"/>
  <c r="J1382" i="62"/>
  <c r="L1382" i="62"/>
  <c r="E1383" i="62"/>
  <c r="I1383" i="62"/>
  <c r="J1383" i="62"/>
  <c r="L1383" i="62"/>
  <c r="E1384" i="62"/>
  <c r="I1384" i="62"/>
  <c r="J1384" i="62"/>
  <c r="L1384" i="62"/>
  <c r="E1385" i="62"/>
  <c r="I1385" i="62"/>
  <c r="J1385" i="62"/>
  <c r="L1385" i="62"/>
  <c r="I1386" i="62"/>
  <c r="J1386" i="62"/>
  <c r="L1386" i="62"/>
  <c r="I1387" i="62"/>
  <c r="J1387" i="62"/>
  <c r="L1387" i="62"/>
  <c r="I1388" i="62"/>
  <c r="J1388" i="62"/>
  <c r="L1388" i="62"/>
  <c r="I1389" i="62"/>
  <c r="J1389" i="62"/>
  <c r="L1389" i="62"/>
  <c r="I1390" i="62"/>
  <c r="J1390" i="62"/>
  <c r="L1390" i="62"/>
  <c r="I1391" i="62"/>
  <c r="J1391" i="62"/>
  <c r="L1391" i="62"/>
  <c r="I1392" i="62"/>
  <c r="J1392" i="62"/>
  <c r="L1392" i="62"/>
  <c r="I1393" i="62"/>
  <c r="J1393" i="62"/>
  <c r="L1393" i="62"/>
  <c r="I1394" i="62"/>
  <c r="J1394" i="62"/>
  <c r="L1394" i="62"/>
  <c r="I1395" i="62"/>
  <c r="J1395" i="62"/>
  <c r="L1395" i="62"/>
  <c r="I1396" i="62"/>
  <c r="J1396" i="62"/>
  <c r="L1396" i="62"/>
  <c r="I1397" i="62"/>
  <c r="J1397" i="62"/>
  <c r="L1397" i="62"/>
  <c r="I1398" i="62"/>
  <c r="J1398" i="62"/>
  <c r="L1398" i="62"/>
  <c r="I1399" i="62"/>
  <c r="J1399" i="62"/>
  <c r="L1399" i="62"/>
  <c r="I1400" i="62"/>
  <c r="J1400" i="62"/>
  <c r="L1400" i="62"/>
  <c r="I1401" i="62"/>
  <c r="J1401" i="62"/>
  <c r="L1401" i="62"/>
  <c r="I1402" i="62"/>
  <c r="J1402" i="62"/>
  <c r="L1402" i="62"/>
  <c r="I1403" i="62"/>
  <c r="J1403" i="62"/>
  <c r="L1403" i="62"/>
  <c r="I1404" i="62"/>
  <c r="J1404" i="62"/>
  <c r="L1404" i="62"/>
  <c r="I1405" i="62"/>
  <c r="J1405" i="62"/>
  <c r="L1405" i="62"/>
  <c r="I1406" i="62"/>
  <c r="J1406" i="62"/>
  <c r="L1406" i="62"/>
  <c r="I1407" i="62"/>
  <c r="J1407" i="62"/>
  <c r="L1407" i="62"/>
  <c r="I1408" i="62"/>
  <c r="J1408" i="62"/>
  <c r="L1408" i="62"/>
  <c r="I1409" i="62"/>
  <c r="J1409" i="62"/>
  <c r="L1409" i="62"/>
  <c r="I1410" i="62"/>
  <c r="J1410" i="62"/>
  <c r="L1410" i="62"/>
  <c r="I1411" i="62"/>
  <c r="J1411" i="62"/>
  <c r="L1411" i="62"/>
  <c r="I1412" i="62"/>
  <c r="J1412" i="62"/>
  <c r="L1412" i="62"/>
  <c r="I1413" i="62"/>
  <c r="J1413" i="62"/>
  <c r="L1413" i="62"/>
  <c r="I1414" i="62"/>
  <c r="J1414" i="62"/>
  <c r="L1414" i="62"/>
  <c r="E1415" i="62"/>
  <c r="I1415" i="62"/>
  <c r="J1415" i="62"/>
  <c r="L1415" i="62"/>
  <c r="I1416" i="62"/>
  <c r="J1416" i="62"/>
  <c r="L1416" i="62"/>
  <c r="I1417" i="62"/>
  <c r="J1417" i="62"/>
  <c r="L1417" i="62"/>
  <c r="I1418" i="62"/>
  <c r="J1418" i="62"/>
  <c r="L1418" i="62"/>
  <c r="I1419" i="62"/>
  <c r="J1419" i="62"/>
  <c r="L1419" i="62"/>
  <c r="I1420" i="62"/>
  <c r="J1420" i="62"/>
  <c r="L1420" i="62"/>
  <c r="I1421" i="62"/>
  <c r="J1421" i="62"/>
  <c r="L1421" i="62"/>
  <c r="I1422" i="62"/>
  <c r="J1422" i="62"/>
  <c r="L1422" i="62"/>
  <c r="I1423" i="62"/>
  <c r="J1423" i="62"/>
  <c r="L1423" i="62"/>
  <c r="I1424" i="62"/>
  <c r="J1424" i="62"/>
  <c r="L1424" i="62"/>
  <c r="I1425" i="62"/>
  <c r="J1425" i="62"/>
  <c r="L1425" i="62"/>
  <c r="I1426" i="62"/>
  <c r="J1426" i="62"/>
  <c r="L1426" i="62"/>
  <c r="I1427" i="62"/>
  <c r="J1427" i="62"/>
  <c r="L1427" i="62"/>
  <c r="I1428" i="62"/>
  <c r="J1428" i="62"/>
  <c r="L1428" i="62"/>
  <c r="I1429" i="62"/>
  <c r="J1429" i="62"/>
  <c r="L1429" i="62"/>
  <c r="I1430" i="62"/>
  <c r="J1430" i="62"/>
  <c r="L1430" i="62"/>
  <c r="I1431" i="62"/>
  <c r="J1431" i="62"/>
  <c r="L1431" i="62"/>
  <c r="I1432" i="62"/>
  <c r="J1432" i="62"/>
  <c r="L1432" i="62"/>
  <c r="I1433" i="62"/>
  <c r="J1433" i="62"/>
  <c r="L1433" i="62"/>
  <c r="I1434" i="62"/>
  <c r="J1434" i="62"/>
  <c r="L1434" i="62"/>
  <c r="I1435" i="62"/>
  <c r="J1435" i="62"/>
  <c r="L1435" i="62"/>
  <c r="E1436" i="62"/>
  <c r="I1436" i="62"/>
  <c r="J1436" i="62"/>
  <c r="L1436" i="62"/>
  <c r="E1437" i="62"/>
  <c r="I1437" i="62"/>
  <c r="J1437" i="62"/>
  <c r="L1437" i="62"/>
  <c r="E1438" i="62"/>
  <c r="I1438" i="62"/>
  <c r="J1438" i="62"/>
  <c r="L1438" i="62"/>
  <c r="E1439" i="62"/>
  <c r="I1439" i="62"/>
  <c r="J1439" i="62"/>
  <c r="L1439" i="62"/>
  <c r="E1440" i="62"/>
  <c r="I1440" i="62"/>
  <c r="J1440" i="62"/>
  <c r="L1440" i="62"/>
  <c r="E1441" i="62"/>
  <c r="I1441" i="62"/>
  <c r="J1441" i="62"/>
  <c r="L1441" i="62"/>
  <c r="E1442" i="62"/>
  <c r="I1442" i="62"/>
  <c r="J1442" i="62"/>
  <c r="L1442" i="62"/>
  <c r="I1443" i="62"/>
  <c r="J1443" i="62"/>
  <c r="L1443" i="62"/>
  <c r="I1444" i="62"/>
  <c r="J1444" i="62"/>
  <c r="L1444" i="62"/>
  <c r="I1445" i="62"/>
  <c r="J1445" i="62"/>
  <c r="L1445" i="62"/>
  <c r="E1446" i="62"/>
  <c r="I1446" i="62"/>
  <c r="J1446" i="62"/>
  <c r="L1446" i="62"/>
  <c r="I1447" i="62"/>
  <c r="J1447" i="62"/>
  <c r="L1447" i="62"/>
  <c r="E1448" i="62"/>
  <c r="I1448" i="62"/>
  <c r="J1448" i="62"/>
  <c r="L1448" i="62"/>
  <c r="E1449" i="62"/>
  <c r="I1449" i="62"/>
  <c r="J1449" i="62"/>
  <c r="L1449" i="62"/>
  <c r="I1450" i="62"/>
  <c r="J1450" i="62"/>
  <c r="L1450" i="62"/>
  <c r="E1451" i="62"/>
  <c r="I1451" i="62"/>
  <c r="J1451" i="62"/>
  <c r="L1451" i="62"/>
  <c r="E1452" i="62"/>
  <c r="I1452" i="62"/>
  <c r="J1452" i="62"/>
  <c r="L1452" i="62"/>
  <c r="E1453" i="62"/>
  <c r="I1453" i="62"/>
  <c r="J1453" i="62"/>
  <c r="L1453" i="62"/>
  <c r="I1454" i="62"/>
  <c r="J1454" i="62"/>
  <c r="L1454" i="62"/>
  <c r="I1455" i="62"/>
  <c r="J1455" i="62"/>
  <c r="L1455" i="62"/>
  <c r="I1456" i="62"/>
  <c r="J1456" i="62"/>
  <c r="L1456" i="62"/>
  <c r="E1457" i="62"/>
  <c r="I1457" i="62"/>
  <c r="J1457" i="62"/>
  <c r="L1457" i="62"/>
  <c r="E1458" i="62"/>
  <c r="I1458" i="62"/>
  <c r="J1458" i="62"/>
  <c r="L1458" i="62"/>
  <c r="E1459" i="62"/>
  <c r="I1459" i="62"/>
  <c r="J1459" i="62"/>
  <c r="L1459" i="62"/>
  <c r="I1460" i="62"/>
  <c r="J1460" i="62"/>
  <c r="L1460" i="62"/>
  <c r="I1461" i="62"/>
  <c r="J1461" i="62"/>
  <c r="L1461" i="62"/>
  <c r="E1462" i="62"/>
  <c r="I1462" i="62"/>
  <c r="J1462" i="62"/>
  <c r="L1462" i="62"/>
  <c r="E1463" i="62"/>
  <c r="I1463" i="62"/>
  <c r="J1463" i="62"/>
  <c r="L1463" i="62"/>
  <c r="E1464" i="62"/>
  <c r="I1464" i="62"/>
  <c r="J1464" i="62"/>
  <c r="L1464" i="62"/>
  <c r="E1465" i="62"/>
  <c r="I1465" i="62"/>
  <c r="J1465" i="62"/>
  <c r="L1465" i="62"/>
  <c r="E1466" i="62"/>
  <c r="I1466" i="62"/>
  <c r="J1466" i="62"/>
  <c r="L1466" i="62"/>
  <c r="E1467" i="62"/>
  <c r="I1467" i="62"/>
  <c r="J1467" i="62"/>
  <c r="L1467" i="62"/>
  <c r="E1468" i="62"/>
  <c r="I1468" i="62"/>
  <c r="J1468" i="62"/>
  <c r="L1468" i="62"/>
  <c r="E1469" i="62"/>
  <c r="I1469" i="62"/>
  <c r="J1469" i="62"/>
  <c r="L1469" i="62"/>
  <c r="E1470" i="62"/>
  <c r="I1470" i="62"/>
  <c r="J1470" i="62"/>
  <c r="L1470" i="62"/>
  <c r="E1471" i="62"/>
  <c r="I1471" i="62"/>
  <c r="J1471" i="62"/>
  <c r="L1471" i="62"/>
  <c r="E1472" i="62"/>
  <c r="I1472" i="62"/>
  <c r="J1472" i="62"/>
  <c r="L1472" i="62"/>
  <c r="I1473" i="62"/>
  <c r="J1473" i="62"/>
  <c r="L1473" i="62"/>
  <c r="E1474" i="62"/>
  <c r="I1474" i="62"/>
  <c r="J1474" i="62"/>
  <c r="L1474" i="62"/>
  <c r="I1475" i="62"/>
  <c r="J1475" i="62"/>
  <c r="L1475" i="62"/>
  <c r="E1476" i="62"/>
  <c r="I1476" i="62"/>
  <c r="J1476" i="62"/>
  <c r="L1476" i="62"/>
  <c r="E1477" i="62"/>
  <c r="I1477" i="62"/>
  <c r="J1477" i="62"/>
  <c r="L1477" i="62"/>
  <c r="E1478" i="62"/>
  <c r="I1478" i="62"/>
  <c r="J1478" i="62"/>
  <c r="L1478" i="62"/>
  <c r="I1479" i="62"/>
  <c r="J1479" i="62"/>
  <c r="L1479" i="62"/>
  <c r="E1480" i="62"/>
  <c r="I1480" i="62"/>
  <c r="J1480" i="62"/>
  <c r="L1480" i="62"/>
  <c r="E1481" i="62"/>
  <c r="I1481" i="62"/>
  <c r="J1481" i="62"/>
  <c r="L1481" i="62"/>
  <c r="I1482" i="62"/>
  <c r="J1482" i="62"/>
  <c r="L1482" i="62"/>
  <c r="I1483" i="62"/>
  <c r="J1483" i="62"/>
  <c r="L1483" i="62"/>
  <c r="I1484" i="62"/>
  <c r="J1484" i="62"/>
  <c r="L1484" i="62"/>
  <c r="I1485" i="62"/>
  <c r="J1485" i="62"/>
  <c r="L1485" i="62"/>
  <c r="I1486" i="62"/>
  <c r="J1486" i="62"/>
  <c r="L1486" i="62"/>
  <c r="I1487" i="62"/>
  <c r="J1487" i="62"/>
  <c r="L1487" i="62"/>
  <c r="I1488" i="62"/>
  <c r="J1488" i="62"/>
  <c r="L1488" i="62"/>
  <c r="I1489" i="62"/>
  <c r="J1489" i="62"/>
  <c r="L1489" i="62"/>
  <c r="I1490" i="62"/>
  <c r="J1490" i="62"/>
  <c r="L1490" i="62"/>
  <c r="I1491" i="62"/>
  <c r="J1491" i="62"/>
  <c r="L1491" i="62"/>
  <c r="I1492" i="62"/>
  <c r="J1492" i="62"/>
  <c r="L1492" i="62"/>
  <c r="I1493" i="62"/>
  <c r="J1493" i="62"/>
  <c r="L1493" i="62"/>
  <c r="I1494" i="62"/>
  <c r="J1494" i="62"/>
  <c r="L1494" i="62"/>
  <c r="I1495" i="62"/>
  <c r="J1495" i="62"/>
  <c r="L1495" i="62"/>
  <c r="I1496" i="62"/>
  <c r="J1496" i="62"/>
  <c r="L1496" i="62"/>
  <c r="I1497" i="62"/>
  <c r="J1497" i="62"/>
  <c r="L1497" i="62"/>
  <c r="I1498" i="62"/>
  <c r="J1498" i="62"/>
  <c r="L1498" i="62"/>
  <c r="I1499" i="62"/>
  <c r="J1499" i="62"/>
  <c r="L1499" i="62"/>
  <c r="I1500" i="62"/>
  <c r="J1500" i="62"/>
  <c r="L1500" i="62"/>
  <c r="I1501" i="62"/>
  <c r="J1501" i="62"/>
  <c r="L1501" i="62"/>
  <c r="I1502" i="62"/>
  <c r="J1502" i="62"/>
  <c r="L1502" i="62"/>
  <c r="I1503" i="62"/>
  <c r="J1503" i="62"/>
  <c r="L1503" i="62"/>
  <c r="I1504" i="62"/>
  <c r="J1504" i="62"/>
  <c r="L1504" i="62"/>
  <c r="I1505" i="62"/>
  <c r="J1505" i="62"/>
  <c r="L1505" i="62"/>
  <c r="I1506" i="62"/>
  <c r="J1506" i="62"/>
  <c r="L1506" i="62"/>
  <c r="I1507" i="62"/>
  <c r="J1507" i="62"/>
  <c r="L1507" i="62"/>
  <c r="I1508" i="62"/>
  <c r="J1508" i="62"/>
  <c r="L1508" i="62"/>
  <c r="I1509" i="62"/>
  <c r="J1509" i="62"/>
  <c r="L1509" i="62"/>
  <c r="I1510" i="62"/>
  <c r="J1510" i="62"/>
  <c r="L1510" i="62"/>
  <c r="I1511" i="62"/>
  <c r="J1511" i="62"/>
  <c r="L1511" i="62"/>
  <c r="I1512" i="62"/>
  <c r="J1512" i="62"/>
  <c r="L1512" i="62"/>
  <c r="I1513" i="62"/>
  <c r="J1513" i="62"/>
  <c r="L1513" i="62"/>
  <c r="I1514" i="62"/>
  <c r="J1514" i="62"/>
  <c r="L1514" i="62"/>
  <c r="I1515" i="62"/>
  <c r="J1515" i="62"/>
  <c r="L1515" i="62"/>
  <c r="I1516" i="62"/>
  <c r="J1516" i="62"/>
  <c r="L1516" i="62"/>
  <c r="I1517" i="62"/>
  <c r="J1517" i="62"/>
  <c r="L1517" i="62"/>
  <c r="I1518" i="62"/>
  <c r="J1518" i="62"/>
  <c r="L1518" i="62"/>
  <c r="I1519" i="62"/>
  <c r="J1519" i="62"/>
  <c r="L1519" i="62"/>
  <c r="I1520" i="62"/>
  <c r="J1520" i="62"/>
  <c r="L1520" i="62"/>
  <c r="I1521" i="62"/>
  <c r="J1521" i="62"/>
  <c r="L1521" i="62"/>
  <c r="I1522" i="62"/>
  <c r="J1522" i="62"/>
  <c r="L1522" i="62"/>
  <c r="I1523" i="62"/>
  <c r="J1523" i="62"/>
  <c r="L1523" i="62"/>
  <c r="I1524" i="62"/>
  <c r="J1524" i="62"/>
  <c r="L1524" i="62"/>
  <c r="I1525" i="62"/>
  <c r="J1525" i="62"/>
  <c r="L1525" i="62"/>
  <c r="I1526" i="62"/>
  <c r="J1526" i="62"/>
  <c r="L1526" i="62"/>
  <c r="I1527" i="62"/>
  <c r="J1527" i="62"/>
  <c r="L1527" i="62"/>
  <c r="I1528" i="62"/>
  <c r="J1528" i="62"/>
  <c r="L1528" i="62"/>
  <c r="I1529" i="62"/>
  <c r="J1529" i="62"/>
  <c r="L1529" i="62"/>
  <c r="E1530" i="62"/>
  <c r="I1530" i="62"/>
  <c r="J1530" i="62"/>
  <c r="L1530" i="62"/>
  <c r="E1531" i="62"/>
  <c r="I1531" i="62"/>
  <c r="J1531" i="62"/>
  <c r="L1531" i="62"/>
  <c r="E1532" i="62"/>
  <c r="I1532" i="62"/>
  <c r="J1532" i="62"/>
  <c r="L1532" i="62"/>
  <c r="E1533" i="62"/>
  <c r="I1533" i="62"/>
  <c r="J1533" i="62"/>
  <c r="L1533" i="62"/>
  <c r="E1534" i="62"/>
  <c r="I1534" i="62"/>
  <c r="J1534" i="62"/>
  <c r="L1534" i="62"/>
  <c r="E1535" i="62"/>
  <c r="I1535" i="62"/>
  <c r="J1535" i="62"/>
  <c r="L1535" i="62"/>
  <c r="E1536" i="62"/>
  <c r="I1536" i="62"/>
  <c r="J1536" i="62"/>
  <c r="L1536" i="62"/>
  <c r="I1537" i="62"/>
  <c r="J1537" i="62"/>
  <c r="L1537" i="62"/>
  <c r="I1538" i="62"/>
  <c r="J1538" i="62"/>
  <c r="L1538" i="62"/>
  <c r="E1539" i="62"/>
  <c r="I1539" i="62"/>
  <c r="J1539" i="62"/>
  <c r="L1539" i="62"/>
  <c r="I1540" i="62"/>
  <c r="J1540" i="62"/>
  <c r="L1540" i="62"/>
  <c r="E1541" i="62"/>
  <c r="I1541" i="62"/>
  <c r="J1541" i="62"/>
  <c r="L1541" i="62"/>
  <c r="I1542" i="62"/>
  <c r="J1542" i="62"/>
  <c r="L1542" i="62"/>
  <c r="E1543" i="62"/>
  <c r="I1543" i="62"/>
  <c r="J1543" i="62"/>
  <c r="L1543" i="62"/>
  <c r="I1544" i="62"/>
  <c r="J1544" i="62"/>
  <c r="L1544" i="62"/>
  <c r="I1545" i="62"/>
  <c r="J1545" i="62"/>
  <c r="L1545" i="62"/>
  <c r="I1546" i="62"/>
  <c r="J1546" i="62"/>
  <c r="L1546" i="62"/>
  <c r="I1547" i="62"/>
  <c r="J1547" i="62"/>
  <c r="L1547" i="62"/>
  <c r="E1548" i="62"/>
  <c r="I1548" i="62"/>
  <c r="J1548" i="62"/>
  <c r="L1548" i="62"/>
  <c r="E1549" i="62"/>
  <c r="I1549" i="62"/>
  <c r="J1549" i="62"/>
  <c r="L1549" i="62"/>
  <c r="I1550" i="62"/>
  <c r="J1550" i="62"/>
  <c r="L1550" i="62"/>
  <c r="I1551" i="62"/>
  <c r="J1551" i="62"/>
  <c r="L1551" i="62"/>
  <c r="I1552" i="62"/>
  <c r="J1552" i="62"/>
  <c r="L1552" i="62"/>
  <c r="I1553" i="62"/>
  <c r="J1553" i="62"/>
  <c r="L1553" i="62"/>
  <c r="I1554" i="62"/>
  <c r="J1554" i="62"/>
  <c r="L1554" i="62"/>
  <c r="I1555" i="62"/>
  <c r="J1555" i="62"/>
  <c r="L1555" i="62"/>
  <c r="I1556" i="62"/>
  <c r="J1556" i="62"/>
  <c r="L1556" i="62"/>
  <c r="I1557" i="62"/>
  <c r="J1557" i="62"/>
  <c r="K1557" i="62"/>
  <c r="L1557" i="62"/>
  <c r="I1558" i="62"/>
  <c r="J1558" i="62"/>
  <c r="K1558" i="62"/>
  <c r="L1558" i="62"/>
  <c r="I1559" i="62"/>
  <c r="J1559" i="62"/>
  <c r="L1559" i="62"/>
  <c r="I1560" i="62"/>
  <c r="J1560" i="62"/>
  <c r="L1560" i="62"/>
  <c r="I1561" i="62"/>
  <c r="J1561" i="62"/>
  <c r="L1561" i="62"/>
  <c r="I1562" i="62"/>
  <c r="J1562" i="62"/>
  <c r="L1562" i="62"/>
  <c r="E1563" i="62"/>
  <c r="I1563" i="62"/>
  <c r="J1563" i="62"/>
  <c r="L1563" i="62"/>
  <c r="E1564" i="62"/>
  <c r="I1564" i="62"/>
  <c r="J1564" i="62"/>
  <c r="L1564" i="62"/>
  <c r="E1565" i="62"/>
  <c r="I1565" i="62"/>
  <c r="J1565" i="62"/>
  <c r="L1565" i="62"/>
  <c r="I1566" i="62"/>
  <c r="J1566" i="62"/>
  <c r="L1566" i="62"/>
  <c r="I1567" i="62"/>
  <c r="J1567" i="62"/>
  <c r="L1567" i="62"/>
  <c r="I1568" i="62"/>
  <c r="J1568" i="62"/>
  <c r="L1568" i="62"/>
  <c r="I1569" i="62"/>
  <c r="J1569" i="62"/>
  <c r="L1569" i="62"/>
  <c r="I1570" i="62"/>
  <c r="J1570" i="62"/>
  <c r="L1570" i="62"/>
  <c r="I1571" i="62"/>
  <c r="J1571" i="62"/>
  <c r="L1571" i="62"/>
  <c r="I1572" i="62"/>
  <c r="J1572" i="62"/>
  <c r="L1572" i="62"/>
  <c r="I1573" i="62"/>
  <c r="J1573" i="62"/>
  <c r="L1573" i="62"/>
  <c r="I1574" i="62"/>
  <c r="J1574" i="62"/>
  <c r="L1574" i="62"/>
  <c r="I1575" i="62"/>
  <c r="J1575" i="62"/>
  <c r="L1575" i="62"/>
  <c r="I1576" i="62"/>
  <c r="J1576" i="62"/>
  <c r="L1576" i="62"/>
  <c r="I1577" i="62"/>
  <c r="J1577" i="62"/>
  <c r="L1577" i="62"/>
  <c r="I1578" i="62"/>
  <c r="J1578" i="62"/>
  <c r="L1578" i="62"/>
  <c r="I1579" i="62"/>
  <c r="J1579" i="62"/>
  <c r="L1579" i="62"/>
  <c r="I1580" i="62"/>
  <c r="J1580" i="62"/>
  <c r="L1580" i="62"/>
  <c r="I1581" i="62"/>
  <c r="J1581" i="62"/>
  <c r="L1581" i="62"/>
  <c r="I1582" i="62"/>
  <c r="J1582" i="62"/>
  <c r="L1582" i="62"/>
  <c r="I1583" i="62"/>
  <c r="J1583" i="62"/>
  <c r="L1583" i="62"/>
  <c r="I1584" i="62"/>
  <c r="J1584" i="62"/>
  <c r="L1584" i="62"/>
  <c r="I1585" i="62"/>
  <c r="J1585" i="62"/>
  <c r="L1585" i="62"/>
  <c r="I1586" i="62"/>
  <c r="J1586" i="62"/>
  <c r="L1586" i="62"/>
  <c r="I1587" i="62"/>
  <c r="J1587" i="62"/>
  <c r="L1587" i="62"/>
  <c r="I1588" i="62"/>
  <c r="J1588" i="62"/>
  <c r="L1588" i="62"/>
  <c r="I1589" i="62"/>
  <c r="J1589" i="62"/>
  <c r="L1589" i="62"/>
  <c r="I1590" i="62"/>
  <c r="J1590" i="62"/>
  <c r="L1590" i="62"/>
  <c r="I1591" i="62"/>
  <c r="J1591" i="62"/>
  <c r="L1591" i="62"/>
  <c r="I1592" i="62"/>
  <c r="J1592" i="62"/>
  <c r="L1592" i="62"/>
  <c r="I1593" i="62"/>
  <c r="J1593" i="62"/>
  <c r="L1593" i="62"/>
  <c r="I1594" i="62"/>
  <c r="J1594" i="62"/>
  <c r="L1594" i="62"/>
  <c r="I1595" i="62"/>
  <c r="J1595" i="62"/>
  <c r="L1595" i="62"/>
  <c r="I1596" i="62"/>
  <c r="J1596" i="62"/>
  <c r="L1596" i="62"/>
  <c r="I1597" i="62"/>
  <c r="J1597" i="62"/>
  <c r="L1597" i="62"/>
  <c r="I1598" i="62"/>
  <c r="J1598" i="62"/>
  <c r="L1598" i="62"/>
  <c r="I1599" i="62"/>
  <c r="J1599" i="62"/>
  <c r="L1599" i="62"/>
  <c r="I1600" i="62"/>
  <c r="J1600" i="62"/>
  <c r="L1600" i="62"/>
  <c r="I1601" i="62"/>
  <c r="J1601" i="62"/>
  <c r="L1601" i="62"/>
  <c r="I1602" i="62"/>
  <c r="J1602" i="62"/>
  <c r="L1602" i="62"/>
  <c r="E1603" i="62"/>
  <c r="I1603" i="62"/>
  <c r="J1603" i="62"/>
  <c r="L1603" i="62"/>
  <c r="I1604" i="62"/>
  <c r="J1604" i="62"/>
  <c r="L1604" i="62"/>
  <c r="J1605" i="62"/>
  <c r="L1605" i="62"/>
  <c r="I1606" i="62"/>
  <c r="J1606" i="62"/>
  <c r="L1606" i="62"/>
  <c r="I1607" i="62"/>
  <c r="J1607" i="62"/>
  <c r="L1607" i="62"/>
  <c r="I1608" i="62"/>
  <c r="J1608" i="62"/>
  <c r="L1608" i="62"/>
  <c r="I1609" i="62"/>
  <c r="J1609" i="62"/>
  <c r="L1609" i="62"/>
  <c r="I1610" i="62"/>
  <c r="J1610" i="62"/>
  <c r="L1610" i="62"/>
  <c r="I1611" i="62"/>
  <c r="J1611" i="62"/>
  <c r="L1611" i="62"/>
  <c r="I1612" i="62"/>
  <c r="J1612" i="62"/>
  <c r="L1612" i="62"/>
  <c r="I1613" i="62"/>
  <c r="J1613" i="62"/>
  <c r="L1613" i="62"/>
  <c r="I1614" i="62"/>
  <c r="J1614" i="62"/>
  <c r="L1614" i="62"/>
  <c r="I1615" i="62"/>
  <c r="J1615" i="62"/>
  <c r="L1615" i="62"/>
  <c r="I1616" i="62"/>
  <c r="J1616" i="62"/>
  <c r="L1616" i="62"/>
  <c r="I1617" i="62"/>
  <c r="J1617" i="62"/>
  <c r="L1617" i="62"/>
  <c r="I1618" i="62"/>
  <c r="J1618" i="62"/>
  <c r="L1618" i="62"/>
  <c r="I1619" i="62"/>
  <c r="J1619" i="62"/>
  <c r="L1619" i="62"/>
  <c r="I1620" i="62"/>
  <c r="J1620" i="62"/>
  <c r="L1620" i="62"/>
  <c r="I1621" i="62"/>
  <c r="J1621" i="62"/>
  <c r="L1621" i="62"/>
  <c r="I1622" i="62"/>
  <c r="J1622" i="62"/>
  <c r="L1622" i="62"/>
  <c r="E1623" i="62"/>
  <c r="I1623" i="62"/>
  <c r="J1623" i="62"/>
  <c r="L1623" i="62"/>
  <c r="I1624" i="62"/>
  <c r="J1624" i="62"/>
  <c r="L1624" i="62"/>
  <c r="I1625" i="62"/>
  <c r="J1625" i="62"/>
  <c r="L1625" i="62"/>
  <c r="I1626" i="62"/>
  <c r="J1626" i="62"/>
  <c r="L1626" i="62"/>
  <c r="I1627" i="62"/>
  <c r="J1627" i="62"/>
  <c r="L1627" i="62"/>
  <c r="I1628" i="62"/>
  <c r="J1628" i="62"/>
  <c r="L1628" i="62"/>
  <c r="E1629" i="62"/>
  <c r="I1629" i="62"/>
  <c r="J1629" i="62"/>
  <c r="L1629" i="62"/>
  <c r="E1630" i="62"/>
  <c r="I1630" i="62"/>
  <c r="J1630" i="62"/>
  <c r="L1630" i="62"/>
  <c r="E1631" i="62"/>
  <c r="I1631" i="62"/>
  <c r="J1631" i="62"/>
  <c r="L1631" i="62"/>
  <c r="E1632" i="62"/>
  <c r="I1632" i="62"/>
  <c r="J1632" i="62"/>
  <c r="L1632" i="62"/>
  <c r="E1633" i="62"/>
  <c r="I1633" i="62"/>
  <c r="J1633" i="62"/>
  <c r="L1633" i="62"/>
  <c r="I1634" i="62"/>
  <c r="J1634" i="62"/>
  <c r="L1634" i="62"/>
  <c r="I1635" i="62"/>
  <c r="J1635" i="62"/>
  <c r="L1635" i="62"/>
  <c r="I1636" i="62"/>
  <c r="J1636" i="62"/>
  <c r="L1636" i="62"/>
  <c r="I1637" i="62"/>
  <c r="J1637" i="62"/>
  <c r="L1637" i="62"/>
  <c r="I1638" i="62"/>
  <c r="J1638" i="62"/>
  <c r="L1638" i="62"/>
  <c r="I1639" i="62"/>
  <c r="J1639" i="62"/>
  <c r="L1639" i="62"/>
  <c r="I1640" i="62"/>
  <c r="J1640" i="62"/>
  <c r="L1640" i="62"/>
  <c r="I1641" i="62"/>
  <c r="J1641" i="62"/>
  <c r="L1641" i="62"/>
  <c r="I1642" i="62"/>
  <c r="J1642" i="62"/>
  <c r="L1642" i="62"/>
  <c r="I1643" i="62"/>
  <c r="J1643" i="62"/>
  <c r="L1643" i="62"/>
  <c r="I1644" i="62"/>
  <c r="J1644" i="62"/>
  <c r="L1644" i="62"/>
  <c r="I1645" i="62"/>
  <c r="J1645" i="62"/>
  <c r="L1645" i="62"/>
  <c r="I1646" i="62"/>
  <c r="J1646" i="62"/>
  <c r="L1646" i="62"/>
  <c r="I1647" i="62"/>
  <c r="J1647" i="62"/>
  <c r="L1647" i="62"/>
  <c r="I1648" i="62"/>
  <c r="J1648" i="62"/>
  <c r="L1648" i="62"/>
  <c r="I1649" i="62"/>
  <c r="J1649" i="62"/>
  <c r="L1649" i="62"/>
  <c r="I1650" i="62"/>
  <c r="J1650" i="62"/>
  <c r="L1650" i="62"/>
  <c r="I1651" i="62"/>
  <c r="J1651" i="62"/>
  <c r="L1651" i="62"/>
  <c r="I1652" i="62"/>
  <c r="J1652" i="62"/>
  <c r="L1652" i="62"/>
  <c r="I1653" i="62"/>
  <c r="J1653" i="62"/>
  <c r="L1653" i="62"/>
  <c r="I1654" i="62"/>
  <c r="J1654" i="62"/>
  <c r="L1654" i="62"/>
  <c r="I1655" i="62"/>
  <c r="J1655" i="62"/>
  <c r="L1655" i="62"/>
  <c r="I1656" i="62"/>
  <c r="J1656" i="62"/>
  <c r="L1656" i="62"/>
  <c r="I1657" i="62"/>
  <c r="J1657" i="62"/>
  <c r="L1657" i="62"/>
  <c r="I1658" i="62"/>
  <c r="J1658" i="62"/>
  <c r="L1658" i="62"/>
  <c r="I1659" i="62"/>
  <c r="J1659" i="62"/>
  <c r="L1659" i="62"/>
  <c r="I1660" i="62"/>
  <c r="J1660" i="62"/>
  <c r="L1660" i="62"/>
  <c r="I1661" i="62"/>
  <c r="J1661" i="62"/>
  <c r="L1661" i="62"/>
  <c r="I1662" i="62"/>
  <c r="J1662" i="62"/>
  <c r="L1662" i="62"/>
  <c r="I1663" i="62"/>
  <c r="J1663" i="62"/>
  <c r="L1663" i="62"/>
  <c r="I1664" i="62"/>
  <c r="J1664" i="62"/>
  <c r="L1664" i="62"/>
  <c r="I1665" i="62"/>
  <c r="J1665" i="62"/>
  <c r="L1665" i="62"/>
  <c r="I1666" i="62"/>
  <c r="J1666" i="62"/>
  <c r="L1666" i="62"/>
  <c r="I1667" i="62"/>
  <c r="J1667" i="62"/>
  <c r="L1667" i="62"/>
  <c r="I1668" i="62"/>
  <c r="J1668" i="62"/>
  <c r="L1668" i="62"/>
  <c r="I1669" i="62"/>
  <c r="J1669" i="62"/>
  <c r="L1669" i="62"/>
  <c r="I1670" i="62"/>
  <c r="J1670" i="62"/>
  <c r="L1670" i="62"/>
  <c r="I1671" i="62"/>
  <c r="J1671" i="62"/>
  <c r="L1671" i="62"/>
  <c r="I1672" i="62"/>
  <c r="J1672" i="62"/>
  <c r="L1672" i="62"/>
  <c r="I1673" i="62"/>
  <c r="J1673" i="62"/>
  <c r="L1673" i="62"/>
  <c r="I1674" i="62"/>
  <c r="J1674" i="62"/>
  <c r="L1674" i="62"/>
  <c r="I1675" i="62"/>
  <c r="J1675" i="62"/>
  <c r="L1675" i="62"/>
  <c r="I1676" i="62"/>
  <c r="J1676" i="62"/>
  <c r="L1676" i="62"/>
  <c r="I1677" i="62"/>
  <c r="J1677" i="62"/>
  <c r="L1677" i="62"/>
  <c r="I1678" i="62"/>
  <c r="J1678" i="62"/>
  <c r="L1678" i="62"/>
  <c r="I1679" i="62"/>
  <c r="J1679" i="62"/>
  <c r="L1679" i="62"/>
  <c r="I1680" i="62"/>
  <c r="J1680" i="62"/>
  <c r="L1680" i="62"/>
  <c r="I1681" i="62"/>
  <c r="J1681" i="62"/>
  <c r="L1681" i="62"/>
  <c r="I1682" i="62"/>
  <c r="J1682" i="62"/>
  <c r="L1682" i="62"/>
  <c r="I1683" i="62"/>
  <c r="J1683" i="62"/>
  <c r="L1683" i="62"/>
  <c r="I1684" i="62"/>
  <c r="J1684" i="62"/>
  <c r="L1684" i="62"/>
  <c r="I1685" i="62"/>
  <c r="J1685" i="62"/>
  <c r="L1685" i="62"/>
  <c r="I1686" i="62"/>
  <c r="J1686" i="62"/>
  <c r="L1686" i="62"/>
  <c r="I1687" i="62"/>
  <c r="J1687" i="62"/>
  <c r="L1687" i="62"/>
  <c r="I1688" i="62"/>
  <c r="J1688" i="62"/>
  <c r="L1688" i="62"/>
  <c r="I1689" i="62"/>
  <c r="J1689" i="62"/>
  <c r="L1689" i="62"/>
  <c r="I1690" i="62"/>
  <c r="J1690" i="62"/>
  <c r="L1690" i="62"/>
  <c r="I1691" i="62"/>
  <c r="J1691" i="62"/>
  <c r="L1691" i="62"/>
  <c r="I1692" i="62"/>
  <c r="J1692" i="62"/>
  <c r="L1692" i="62"/>
  <c r="I1693" i="62"/>
  <c r="J1693" i="62"/>
  <c r="L1693" i="62"/>
  <c r="I1694" i="62"/>
  <c r="J1694" i="62"/>
  <c r="L1694" i="62"/>
  <c r="I1695" i="62"/>
  <c r="J1695" i="62"/>
  <c r="L1695" i="62"/>
  <c r="I1696" i="62"/>
  <c r="J1696" i="62"/>
  <c r="L1696" i="62"/>
  <c r="I1697" i="62"/>
  <c r="J1697" i="62"/>
  <c r="L1697" i="62"/>
  <c r="I1698" i="62"/>
  <c r="J1698" i="62"/>
  <c r="L1698" i="62"/>
  <c r="I1699" i="62"/>
  <c r="J1699" i="62"/>
  <c r="L1699" i="62"/>
  <c r="I1700" i="62"/>
  <c r="J1700" i="62"/>
  <c r="L1700" i="62"/>
  <c r="I1701" i="62"/>
  <c r="J1701" i="62"/>
  <c r="L1701" i="62"/>
  <c r="I1702" i="62"/>
  <c r="J1702" i="62"/>
  <c r="L1702" i="62"/>
  <c r="I1703" i="62"/>
  <c r="J1703" i="62"/>
  <c r="L1703" i="62"/>
  <c r="I1704" i="62"/>
  <c r="J1704" i="62"/>
  <c r="L1704" i="62"/>
  <c r="I1705" i="62"/>
  <c r="J1705" i="62"/>
  <c r="L1705" i="62"/>
  <c r="E1706" i="62"/>
  <c r="I1706" i="62"/>
  <c r="J1706" i="62"/>
  <c r="L1706" i="62"/>
  <c r="E1707" i="62"/>
  <c r="I1707" i="62"/>
  <c r="J1707" i="62"/>
  <c r="L1707" i="62"/>
  <c r="E1708" i="62"/>
  <c r="I1708" i="62"/>
  <c r="J1708" i="62"/>
  <c r="L1708" i="62"/>
  <c r="E1709" i="62"/>
  <c r="I1709" i="62"/>
  <c r="J1709" i="62"/>
  <c r="L1709" i="62"/>
  <c r="J1710" i="62"/>
  <c r="L1710" i="62"/>
  <c r="I1711" i="62"/>
  <c r="J1711" i="62"/>
  <c r="L1711" i="62"/>
  <c r="I1712" i="62"/>
  <c r="J1712" i="62"/>
  <c r="L1712" i="62"/>
  <c r="I1713" i="62"/>
  <c r="J1713" i="62"/>
  <c r="L1713" i="62"/>
  <c r="I1714" i="62"/>
  <c r="J1714" i="62"/>
  <c r="L1714" i="62"/>
  <c r="I1715" i="62"/>
  <c r="J1715" i="62"/>
  <c r="L1715" i="62"/>
  <c r="E1716" i="62"/>
  <c r="I1716" i="62"/>
  <c r="J1716" i="62"/>
  <c r="L1716" i="62"/>
  <c r="I1717" i="62"/>
  <c r="J1717" i="62"/>
  <c r="L1717" i="62"/>
  <c r="I1718" i="62"/>
  <c r="J1718" i="62"/>
  <c r="L1718" i="62"/>
  <c r="E1719" i="62"/>
  <c r="I1719" i="62"/>
  <c r="J1719" i="62"/>
  <c r="L1719" i="62"/>
  <c r="E1720" i="62"/>
  <c r="I1720" i="62"/>
  <c r="J1720" i="62"/>
  <c r="L1720" i="62"/>
  <c r="I1721" i="62"/>
  <c r="J1721" i="62"/>
  <c r="L1721" i="62"/>
  <c r="E1722" i="62"/>
  <c r="I1722" i="62"/>
  <c r="J1722" i="62"/>
  <c r="L1722" i="62"/>
  <c r="I1723" i="62"/>
  <c r="J1723" i="62"/>
  <c r="L1723" i="62"/>
  <c r="E1724" i="62"/>
  <c r="I1724" i="62"/>
  <c r="J1724" i="62"/>
  <c r="L1724" i="62"/>
  <c r="E1725" i="62"/>
  <c r="I1725" i="62"/>
  <c r="J1725" i="62"/>
  <c r="L1725" i="62"/>
  <c r="I1726" i="62"/>
  <c r="J1726" i="62"/>
  <c r="L1726" i="62"/>
  <c r="E1727" i="62"/>
  <c r="I1727" i="62"/>
  <c r="J1727" i="62"/>
  <c r="L1727" i="62"/>
  <c r="I1728" i="62"/>
  <c r="J1728" i="62"/>
  <c r="L1728" i="62"/>
  <c r="I1729" i="62"/>
  <c r="J1729" i="62"/>
  <c r="L1729" i="62"/>
  <c r="I1730" i="62"/>
  <c r="J1730" i="62"/>
  <c r="L1730" i="62"/>
  <c r="I1731" i="62"/>
  <c r="J1731" i="62"/>
  <c r="L1731" i="62"/>
  <c r="I1732" i="62"/>
  <c r="J1732" i="62"/>
  <c r="L1732" i="62"/>
  <c r="J1733" i="62"/>
  <c r="L1733" i="62"/>
  <c r="I1734" i="62"/>
  <c r="J1734" i="62"/>
  <c r="L1734" i="62"/>
  <c r="I1735" i="62"/>
  <c r="J1735" i="62"/>
  <c r="L1735" i="62"/>
  <c r="I1736" i="62"/>
  <c r="J1736" i="62"/>
  <c r="L1736" i="62"/>
  <c r="J1737" i="62"/>
  <c r="L1737" i="62"/>
  <c r="I1738" i="62"/>
  <c r="J1738" i="62"/>
  <c r="L1738" i="62"/>
  <c r="I1739" i="62"/>
  <c r="J1739" i="62"/>
  <c r="L1739" i="62"/>
  <c r="I1740" i="62"/>
  <c r="J1740" i="62"/>
  <c r="L1740" i="62"/>
  <c r="I1741" i="62"/>
  <c r="J1741" i="62"/>
  <c r="L1741" i="62"/>
  <c r="J1742" i="62"/>
  <c r="L1742" i="62"/>
  <c r="I1743" i="62"/>
  <c r="J1743" i="62"/>
  <c r="L1743" i="62"/>
  <c r="I1744" i="62"/>
  <c r="J1744" i="62"/>
  <c r="L1744" i="62"/>
  <c r="I1745" i="62"/>
  <c r="J1745" i="62"/>
  <c r="L1745" i="62"/>
  <c r="I1746" i="62"/>
  <c r="J1746" i="62"/>
  <c r="L1746" i="62"/>
  <c r="E1747" i="62"/>
  <c r="I1747" i="62"/>
  <c r="J1747" i="62"/>
  <c r="L1747" i="62"/>
  <c r="E1748" i="62"/>
  <c r="I1748" i="62"/>
  <c r="J1748" i="62"/>
  <c r="L1748" i="62"/>
  <c r="I1749" i="62"/>
  <c r="J1749" i="62"/>
  <c r="L1749" i="62"/>
  <c r="I1750" i="62"/>
  <c r="J1750" i="62"/>
  <c r="L1750" i="62"/>
  <c r="I1751" i="62"/>
  <c r="J1751" i="62"/>
  <c r="L1751" i="62"/>
  <c r="E1752" i="62"/>
  <c r="I1752" i="62"/>
  <c r="J1752" i="62"/>
  <c r="L1752" i="62"/>
  <c r="I1753" i="62"/>
  <c r="J1753" i="62"/>
  <c r="L1753" i="62"/>
  <c r="I1754" i="62"/>
  <c r="J1754" i="62"/>
  <c r="L1754" i="62"/>
  <c r="I1755" i="62"/>
  <c r="J1755" i="62"/>
  <c r="L1755" i="62"/>
  <c r="I1756" i="62"/>
  <c r="J1756" i="62"/>
  <c r="L1756" i="62"/>
  <c r="E1757" i="62"/>
  <c r="I1757" i="62"/>
  <c r="J1757" i="62"/>
  <c r="L1757" i="62"/>
  <c r="E1758" i="62"/>
  <c r="I1758" i="62"/>
  <c r="J1758" i="62"/>
  <c r="L1758" i="62"/>
  <c r="E1759" i="62"/>
  <c r="I1759" i="62"/>
  <c r="J1759" i="62"/>
  <c r="L1759" i="62"/>
  <c r="E1760" i="62"/>
  <c r="I1760" i="62"/>
  <c r="J1760" i="62"/>
  <c r="L1760" i="62"/>
  <c r="I1761" i="62"/>
  <c r="J1761" i="62"/>
  <c r="L1761" i="62"/>
  <c r="I1762" i="62"/>
  <c r="J1762" i="62"/>
  <c r="L1762" i="62"/>
  <c r="I1763" i="62"/>
  <c r="J1763" i="62"/>
  <c r="L1763" i="62"/>
  <c r="I1764" i="62"/>
  <c r="J1764" i="62"/>
  <c r="L1764" i="62"/>
  <c r="I1765" i="62"/>
  <c r="J1765" i="62"/>
  <c r="L1765" i="62"/>
  <c r="I1766" i="62"/>
  <c r="J1766" i="62"/>
  <c r="L1766" i="62"/>
  <c r="I1767" i="62"/>
  <c r="J1767" i="62"/>
  <c r="L1767" i="62"/>
  <c r="I1768" i="62"/>
  <c r="J1768" i="62"/>
  <c r="L1768" i="62"/>
  <c r="I1769" i="62"/>
  <c r="J1769" i="62"/>
  <c r="L1769" i="62"/>
  <c r="I1770" i="62"/>
  <c r="J1770" i="62"/>
  <c r="L1770" i="62"/>
  <c r="I1771" i="62"/>
  <c r="J1771" i="62"/>
  <c r="L1771" i="62"/>
  <c r="E1772" i="62"/>
  <c r="I1772" i="62"/>
  <c r="J1772" i="62"/>
  <c r="L1772" i="62"/>
  <c r="E1773" i="62"/>
  <c r="I1773" i="62"/>
  <c r="J1773" i="62"/>
  <c r="L1773" i="62"/>
  <c r="E1774" i="62"/>
  <c r="I1774" i="62"/>
  <c r="J1774" i="62"/>
  <c r="L1774" i="62"/>
  <c r="I1775" i="62"/>
  <c r="J1775" i="62"/>
  <c r="L1775" i="62"/>
  <c r="I1776" i="62"/>
  <c r="J1776" i="62"/>
  <c r="L1776" i="62"/>
  <c r="I1777" i="62"/>
  <c r="J1777" i="62"/>
  <c r="L1777" i="62"/>
  <c r="I1778" i="62"/>
  <c r="J1778" i="62"/>
  <c r="L1778" i="62"/>
  <c r="I1779" i="62"/>
  <c r="J1779" i="62"/>
  <c r="L1779" i="62"/>
  <c r="I1780" i="62"/>
  <c r="J1780" i="62"/>
  <c r="L1780" i="62"/>
  <c r="E1781" i="62"/>
  <c r="I1781" i="62"/>
  <c r="J1781" i="62"/>
  <c r="L1781" i="62"/>
  <c r="E1782" i="62"/>
  <c r="I1782" i="62"/>
  <c r="J1782" i="62"/>
  <c r="L1782" i="62"/>
  <c r="I1783" i="62"/>
  <c r="J1783" i="62"/>
  <c r="L1783" i="62"/>
  <c r="I1784" i="62"/>
  <c r="J1784" i="62"/>
  <c r="L1784" i="62"/>
  <c r="I1785" i="62"/>
  <c r="J1785" i="62"/>
  <c r="L1785" i="62"/>
  <c r="I1786" i="62"/>
  <c r="J1786" i="62"/>
  <c r="L1786" i="62"/>
  <c r="I1787" i="62"/>
  <c r="J1787" i="62"/>
  <c r="L1787" i="62"/>
  <c r="I1788" i="62"/>
  <c r="J1788" i="62"/>
  <c r="L1788" i="62"/>
  <c r="I1789" i="62"/>
  <c r="J1789" i="62"/>
  <c r="L1789" i="62"/>
  <c r="I1790" i="62"/>
  <c r="J1790" i="62"/>
  <c r="L1790" i="62"/>
  <c r="I1791" i="62"/>
  <c r="J1791" i="62"/>
  <c r="L1791" i="62"/>
  <c r="I1792" i="62"/>
  <c r="J1792" i="62"/>
  <c r="L1792" i="62"/>
  <c r="E1793" i="62"/>
  <c r="I1793" i="62"/>
  <c r="J1793" i="62"/>
  <c r="L1793" i="62"/>
  <c r="E1794" i="62"/>
  <c r="I1794" i="62"/>
  <c r="J1794" i="62"/>
  <c r="L1794" i="62"/>
  <c r="E1795" i="62"/>
  <c r="I1795" i="62"/>
  <c r="J1795" i="62"/>
  <c r="L1795" i="62"/>
  <c r="E1796" i="62"/>
  <c r="I1796" i="62"/>
  <c r="J1796" i="62"/>
  <c r="L1796" i="62"/>
  <c r="E1797" i="62"/>
  <c r="I1797" i="62"/>
  <c r="J1797" i="62"/>
  <c r="L1797" i="62"/>
  <c r="E1798" i="62"/>
  <c r="I1798" i="62"/>
  <c r="J1798" i="62"/>
  <c r="L1798" i="62"/>
  <c r="E1799" i="62"/>
  <c r="I1799" i="62"/>
  <c r="J1799" i="62"/>
  <c r="L1799" i="62"/>
  <c r="E1800" i="62"/>
  <c r="I1800" i="62"/>
  <c r="J1800" i="62"/>
  <c r="L1800" i="62"/>
  <c r="E1801" i="62"/>
  <c r="I1801" i="62"/>
  <c r="J1801" i="62"/>
  <c r="L1801" i="62"/>
  <c r="E1802" i="62"/>
  <c r="I1802" i="62"/>
  <c r="J1802" i="62"/>
  <c r="L1802" i="62"/>
  <c r="E1803" i="62"/>
  <c r="I1803" i="62"/>
  <c r="J1803" i="62"/>
  <c r="L1803" i="62"/>
  <c r="E1804" i="62"/>
  <c r="I1804" i="62"/>
  <c r="J1804" i="62"/>
  <c r="L1804" i="62"/>
  <c r="E1805" i="62"/>
  <c r="I1805" i="62"/>
  <c r="J1805" i="62"/>
  <c r="L1805" i="62"/>
  <c r="E1806" i="62"/>
  <c r="I1806" i="62"/>
  <c r="J1806" i="62"/>
  <c r="L1806" i="62"/>
  <c r="E1807" i="62"/>
  <c r="I1807" i="62"/>
  <c r="J1807" i="62"/>
  <c r="L1807" i="62"/>
  <c r="E1808" i="62"/>
  <c r="I1808" i="62"/>
  <c r="J1808" i="62"/>
  <c r="L1808" i="62"/>
  <c r="I1809" i="62"/>
  <c r="J1809" i="62"/>
  <c r="L1809" i="62"/>
  <c r="I1810" i="62"/>
  <c r="J1810" i="62"/>
  <c r="L1810" i="62"/>
  <c r="I1811" i="62"/>
  <c r="J1811" i="62"/>
  <c r="L1811" i="62"/>
  <c r="E1812" i="62"/>
  <c r="I1812" i="62"/>
  <c r="J1812" i="62"/>
  <c r="L1812" i="62"/>
  <c r="I1813" i="62"/>
  <c r="J1813" i="62"/>
  <c r="L1813" i="62"/>
  <c r="I1814" i="62"/>
  <c r="J1814" i="62"/>
  <c r="L1814" i="62"/>
  <c r="E1815" i="62"/>
  <c r="I1815" i="62"/>
  <c r="J1815" i="62"/>
  <c r="L1815" i="62"/>
  <c r="I1816" i="62"/>
  <c r="J1816" i="62"/>
  <c r="L1816" i="62"/>
  <c r="I1817" i="62"/>
  <c r="J1817" i="62"/>
  <c r="L1817" i="62"/>
  <c r="I1818" i="62"/>
  <c r="J1818" i="62"/>
  <c r="L1818" i="62"/>
  <c r="I1819" i="62"/>
  <c r="J1819" i="62"/>
  <c r="L1819" i="62"/>
  <c r="I1820" i="62"/>
  <c r="J1820" i="62"/>
  <c r="L1820" i="62"/>
  <c r="I1821" i="62"/>
  <c r="J1821" i="62"/>
  <c r="L1821" i="62"/>
  <c r="E1822" i="62"/>
  <c r="I1822" i="62"/>
  <c r="J1822" i="62"/>
  <c r="L1822" i="62"/>
  <c r="E1823" i="62"/>
  <c r="I1823" i="62"/>
  <c r="J1823" i="62"/>
  <c r="L1823" i="62"/>
  <c r="E1824" i="62"/>
  <c r="I1824" i="62"/>
  <c r="J1824" i="62"/>
  <c r="L1824" i="62"/>
  <c r="E1825" i="62"/>
  <c r="I1825" i="62"/>
  <c r="J1825" i="62"/>
  <c r="L1825" i="62"/>
  <c r="E1826" i="62"/>
  <c r="I1826" i="62"/>
  <c r="J1826" i="62"/>
  <c r="L1826" i="62"/>
  <c r="E1827" i="62"/>
  <c r="I1827" i="62"/>
  <c r="J1827" i="62"/>
  <c r="L1827" i="62"/>
  <c r="E1828" i="62"/>
  <c r="I1828" i="62"/>
  <c r="J1828" i="62"/>
  <c r="L1828" i="62"/>
  <c r="I1829" i="62"/>
  <c r="J1829" i="62"/>
  <c r="L1829" i="62"/>
  <c r="I1830" i="62"/>
  <c r="J1830" i="62"/>
  <c r="L1830" i="62"/>
  <c r="I1831" i="62"/>
  <c r="J1831" i="62"/>
  <c r="L1831" i="62"/>
  <c r="I1832" i="62"/>
  <c r="J1832" i="62"/>
  <c r="L1832" i="62"/>
  <c r="I1833" i="62"/>
  <c r="J1833" i="62"/>
  <c r="L1833" i="62"/>
  <c r="I1834" i="62"/>
  <c r="J1834" i="62"/>
  <c r="L1834" i="62"/>
  <c r="I1835" i="62"/>
  <c r="J1835" i="62"/>
  <c r="L1835" i="62"/>
  <c r="I1836" i="62"/>
  <c r="J1836" i="62"/>
  <c r="L1836" i="62"/>
  <c r="I1837" i="62"/>
  <c r="J1837" i="62"/>
  <c r="L1837" i="62"/>
  <c r="I1838" i="62"/>
  <c r="J1838" i="62"/>
  <c r="L1838" i="62"/>
  <c r="I1839" i="62"/>
  <c r="J1839" i="62"/>
  <c r="L1839" i="62"/>
  <c r="I1840" i="62"/>
  <c r="J1840" i="62"/>
  <c r="L1840" i="62"/>
  <c r="I1841" i="62"/>
  <c r="J1841" i="62"/>
  <c r="L1841" i="62"/>
  <c r="I1842" i="62"/>
  <c r="J1842" i="62"/>
  <c r="L1842" i="62"/>
  <c r="I1843" i="62"/>
  <c r="J1843" i="62"/>
  <c r="L1843" i="62"/>
  <c r="I1844" i="62"/>
  <c r="J1844" i="62"/>
  <c r="L1844" i="62"/>
  <c r="I1845" i="62"/>
  <c r="J1845" i="62"/>
  <c r="L1845" i="62"/>
  <c r="I1846" i="62"/>
  <c r="J1846" i="62"/>
  <c r="L1846" i="62"/>
  <c r="I1847" i="62"/>
  <c r="J1847" i="62"/>
  <c r="L1847" i="62"/>
  <c r="I1848" i="62"/>
  <c r="J1848" i="62"/>
  <c r="L1848" i="62"/>
  <c r="I1849" i="62"/>
  <c r="J1849" i="62"/>
  <c r="L1849" i="62"/>
  <c r="I1850" i="62"/>
  <c r="J1850" i="62"/>
  <c r="L1850" i="62"/>
  <c r="I1851" i="62"/>
  <c r="J1851" i="62"/>
  <c r="L1851" i="62"/>
  <c r="I1852" i="62"/>
  <c r="J1852" i="62"/>
  <c r="L1852" i="62"/>
  <c r="I1853" i="62"/>
  <c r="J1853" i="62"/>
  <c r="L1853" i="62"/>
  <c r="I1854" i="62"/>
  <c r="J1854" i="62"/>
  <c r="L1854" i="62"/>
  <c r="I1855" i="62"/>
  <c r="J1855" i="62"/>
  <c r="L1855" i="62"/>
  <c r="I1856" i="62"/>
  <c r="J1856" i="62"/>
  <c r="L1856" i="62"/>
  <c r="I1857" i="62"/>
  <c r="J1857" i="62"/>
  <c r="L1857" i="62"/>
  <c r="I1858" i="62"/>
  <c r="J1858" i="62"/>
  <c r="L1858" i="62"/>
  <c r="I1859" i="62"/>
  <c r="J1859" i="62"/>
  <c r="L1859" i="62"/>
  <c r="I1860" i="62"/>
  <c r="J1860" i="62"/>
  <c r="L1860" i="62"/>
  <c r="I1861" i="62"/>
  <c r="J1861" i="62"/>
  <c r="L1861" i="62"/>
  <c r="I1862" i="62"/>
  <c r="J1862" i="62"/>
  <c r="L1862" i="62"/>
  <c r="E1863" i="62"/>
  <c r="I1863" i="62"/>
  <c r="J1863" i="62"/>
  <c r="L1863" i="62"/>
  <c r="E1864" i="62"/>
  <c r="I1864" i="62"/>
  <c r="J1864" i="62"/>
  <c r="L1864" i="62"/>
  <c r="E1865" i="62"/>
  <c r="I1865" i="62"/>
  <c r="J1865" i="62"/>
  <c r="L1865" i="62"/>
  <c r="E1866" i="62"/>
  <c r="I1866" i="62"/>
  <c r="J1866" i="62"/>
  <c r="L1866" i="62"/>
  <c r="E1867" i="62"/>
  <c r="I1867" i="62"/>
  <c r="J1867" i="62"/>
  <c r="L1867" i="62"/>
  <c r="E1868" i="62"/>
  <c r="I1868" i="62"/>
  <c r="J1868" i="62"/>
  <c r="L1868" i="62"/>
  <c r="I1869" i="62"/>
  <c r="J1869" i="62"/>
  <c r="L1869" i="62"/>
  <c r="I1870" i="62"/>
  <c r="J1870" i="62"/>
  <c r="L1870" i="62"/>
  <c r="E1871" i="62"/>
  <c r="I1871" i="62"/>
  <c r="J1871" i="62"/>
  <c r="L1871" i="62"/>
  <c r="E1872" i="62"/>
  <c r="I1872" i="62"/>
  <c r="J1872" i="62"/>
  <c r="L1872" i="62"/>
  <c r="E1873" i="62"/>
  <c r="I1873" i="62"/>
  <c r="J1873" i="62"/>
  <c r="L1873" i="62"/>
  <c r="E1874" i="62"/>
  <c r="I1874" i="62"/>
  <c r="J1874" i="62"/>
  <c r="L1874" i="62"/>
  <c r="I1875" i="62"/>
  <c r="J1875" i="62"/>
  <c r="L1875" i="62"/>
  <c r="I1876" i="62"/>
  <c r="J1876" i="62"/>
  <c r="L1876" i="62"/>
  <c r="I1877" i="62"/>
  <c r="J1877" i="62"/>
  <c r="L1877" i="62"/>
  <c r="I1878" i="62"/>
  <c r="J1878" i="62"/>
  <c r="L1878" i="62"/>
  <c r="I1879" i="62"/>
  <c r="J1879" i="62"/>
  <c r="L1879" i="62"/>
  <c r="I1880" i="62"/>
  <c r="J1880" i="62"/>
  <c r="L1880" i="62"/>
  <c r="I1881" i="62"/>
  <c r="J1881" i="62"/>
  <c r="L1881" i="62"/>
  <c r="I1882" i="62"/>
  <c r="J1882" i="62"/>
  <c r="L1882" i="62"/>
  <c r="I1883" i="62"/>
  <c r="J1883" i="62"/>
  <c r="L1883" i="62"/>
  <c r="I1884" i="62"/>
  <c r="J1884" i="62"/>
  <c r="L1884" i="62"/>
  <c r="I1885" i="62"/>
  <c r="J1885" i="62"/>
  <c r="L1885" i="62"/>
  <c r="I1886" i="62"/>
  <c r="J1886" i="62"/>
  <c r="L1886" i="62"/>
  <c r="E1887" i="62"/>
  <c r="I1887" i="62"/>
  <c r="J1887" i="62"/>
  <c r="L1887" i="62"/>
  <c r="E1888" i="62"/>
  <c r="I1888" i="62"/>
  <c r="J1888" i="62"/>
  <c r="L1888" i="62"/>
  <c r="I1889" i="62"/>
  <c r="J1889" i="62"/>
  <c r="L1889" i="62"/>
  <c r="E1890" i="62"/>
  <c r="I1890" i="62"/>
  <c r="J1890" i="62"/>
  <c r="L1890" i="62"/>
  <c r="I1891" i="62"/>
  <c r="J1891" i="62"/>
  <c r="L1891" i="62"/>
  <c r="E1892" i="62"/>
  <c r="I1892" i="62"/>
  <c r="J1892" i="62"/>
  <c r="L1892" i="62"/>
  <c r="E1893" i="62"/>
  <c r="I1893" i="62"/>
  <c r="J1893" i="62"/>
  <c r="L1893" i="62"/>
  <c r="E1894" i="62"/>
  <c r="I1894" i="62"/>
  <c r="J1894" i="62"/>
  <c r="L1894" i="62"/>
  <c r="E1895" i="62"/>
  <c r="I1895" i="62"/>
  <c r="J1895" i="62"/>
  <c r="L1895" i="62"/>
  <c r="E1896" i="62"/>
  <c r="I1896" i="62"/>
  <c r="J1896" i="62"/>
  <c r="L1896" i="62"/>
  <c r="E1897" i="62"/>
  <c r="I1897" i="62"/>
  <c r="J1897" i="62"/>
  <c r="L1897" i="62"/>
  <c r="E1898" i="62"/>
  <c r="I1898" i="62"/>
  <c r="J1898" i="62"/>
  <c r="L1898" i="62"/>
  <c r="E1899" i="62"/>
  <c r="I1899" i="62"/>
  <c r="J1899" i="62"/>
  <c r="L1899" i="62"/>
  <c r="E1900" i="62"/>
  <c r="I1900" i="62"/>
  <c r="J1900" i="62"/>
  <c r="L1900" i="62"/>
  <c r="E1901" i="62"/>
  <c r="I1901" i="62"/>
  <c r="J1901" i="62"/>
  <c r="L1901" i="62"/>
  <c r="I1902" i="62"/>
  <c r="J1902" i="62"/>
  <c r="L1902" i="62"/>
  <c r="I1903" i="62"/>
  <c r="J1903" i="62"/>
  <c r="L1903" i="62"/>
  <c r="I1904" i="62"/>
  <c r="J1904" i="62"/>
  <c r="L1904" i="62"/>
  <c r="E1905" i="62"/>
  <c r="I1905" i="62"/>
  <c r="J1905" i="62"/>
  <c r="L1905" i="62"/>
  <c r="E1906" i="62"/>
  <c r="I1906" i="62"/>
  <c r="J1906" i="62"/>
  <c r="L1906" i="62"/>
  <c r="E1907" i="62"/>
  <c r="I1907" i="62"/>
  <c r="J1907" i="62"/>
  <c r="L1907" i="62"/>
  <c r="I1908" i="62"/>
  <c r="J1908" i="62"/>
  <c r="L1908" i="62"/>
  <c r="I1909" i="62"/>
  <c r="J1909" i="62"/>
  <c r="L1909" i="62"/>
  <c r="E1910" i="62"/>
  <c r="I1910" i="62"/>
  <c r="J1910" i="62"/>
  <c r="L1910" i="62"/>
  <c r="E1911" i="62"/>
  <c r="I1911" i="62"/>
  <c r="J1911" i="62"/>
  <c r="L1911" i="62"/>
  <c r="E1912" i="62"/>
  <c r="I1912" i="62"/>
  <c r="J1912" i="62"/>
  <c r="L1912" i="62"/>
  <c r="E1913" i="62"/>
  <c r="I1913" i="62"/>
  <c r="J1913" i="62"/>
  <c r="L1913" i="62"/>
  <c r="I1914" i="62"/>
  <c r="J1914" i="62"/>
  <c r="L1914" i="62"/>
  <c r="I1915" i="62"/>
  <c r="J1915" i="62"/>
  <c r="L1915" i="62"/>
  <c r="I1916" i="62"/>
  <c r="J1916" i="62"/>
  <c r="L1916" i="62"/>
  <c r="I1917" i="62"/>
  <c r="J1917" i="62"/>
  <c r="L1917" i="62"/>
  <c r="I1918" i="62"/>
  <c r="J1918" i="62"/>
  <c r="L1918" i="62"/>
  <c r="I1919" i="62"/>
  <c r="J1919" i="62"/>
  <c r="L1919" i="62"/>
  <c r="I1920" i="62"/>
  <c r="J1920" i="62"/>
  <c r="L1920" i="62"/>
  <c r="I1921" i="62"/>
  <c r="J1921" i="62"/>
  <c r="L1921" i="62"/>
  <c r="I1922" i="62"/>
  <c r="J1922" i="62"/>
  <c r="L1922" i="62"/>
  <c r="I1923" i="62"/>
  <c r="J1923" i="62"/>
  <c r="L1923" i="62"/>
  <c r="I1924" i="62"/>
  <c r="J1924" i="62"/>
  <c r="L1924" i="62"/>
  <c r="I1925" i="62"/>
  <c r="J1925" i="62"/>
  <c r="L1925" i="62"/>
  <c r="I1926" i="62"/>
  <c r="J1926" i="62"/>
  <c r="L1926" i="62"/>
  <c r="I1927" i="62"/>
  <c r="J1927" i="62"/>
  <c r="L1927" i="62"/>
  <c r="I1928" i="62"/>
  <c r="J1928" i="62"/>
  <c r="L1928" i="62"/>
  <c r="I1929" i="62"/>
  <c r="J1929" i="62"/>
  <c r="L1929" i="62"/>
  <c r="I1930" i="62"/>
  <c r="J1930" i="62"/>
  <c r="L1930" i="62"/>
  <c r="I1931" i="62"/>
  <c r="J1931" i="62"/>
  <c r="L1931" i="62"/>
  <c r="I1932" i="62"/>
  <c r="J1932" i="62"/>
  <c r="L1932" i="62"/>
  <c r="I1933" i="62"/>
  <c r="J1933" i="62"/>
  <c r="L1933" i="62"/>
  <c r="I1934" i="62"/>
  <c r="J1934" i="62"/>
  <c r="L1934" i="62"/>
  <c r="I1935" i="62"/>
  <c r="J1935" i="62"/>
  <c r="L1935" i="62"/>
  <c r="I1936" i="62"/>
  <c r="J1936" i="62"/>
  <c r="L1936" i="62"/>
  <c r="I1937" i="62"/>
  <c r="J1937" i="62"/>
  <c r="L1937" i="62"/>
  <c r="I1938" i="62"/>
  <c r="J1938" i="62"/>
  <c r="L1938" i="62"/>
  <c r="I1939" i="62"/>
  <c r="J1939" i="62"/>
  <c r="L1939" i="62"/>
  <c r="I1940" i="62"/>
  <c r="J1940" i="62"/>
  <c r="L1940" i="62"/>
  <c r="I1941" i="62"/>
  <c r="J1941" i="62"/>
  <c r="L1941" i="62"/>
  <c r="E1942" i="62"/>
  <c r="I1942" i="62"/>
  <c r="J1942" i="62"/>
  <c r="L1942" i="62"/>
  <c r="I1943" i="62"/>
  <c r="J1943" i="62"/>
  <c r="L1943" i="62"/>
  <c r="I1944" i="62"/>
  <c r="J1944" i="62"/>
  <c r="L1944" i="62"/>
  <c r="I1945" i="62"/>
  <c r="J1945" i="62"/>
  <c r="L1945" i="62"/>
  <c r="I1946" i="62"/>
  <c r="J1946" i="62"/>
  <c r="L1946" i="62"/>
  <c r="I1947" i="62"/>
  <c r="J1947" i="62"/>
  <c r="L1947" i="62"/>
  <c r="I1948" i="62"/>
  <c r="J1948" i="62"/>
  <c r="L1948" i="62"/>
  <c r="I1949" i="62"/>
  <c r="J1949" i="62"/>
  <c r="L1949" i="62"/>
  <c r="I1950" i="62"/>
  <c r="J1950" i="62"/>
  <c r="L1950" i="62"/>
  <c r="I1951" i="62"/>
  <c r="J1951" i="62"/>
  <c r="L1951" i="62"/>
  <c r="I1952" i="62"/>
  <c r="J1952" i="62"/>
  <c r="L1952" i="62"/>
  <c r="I1953" i="62"/>
  <c r="J1953" i="62"/>
  <c r="L1953" i="62"/>
  <c r="I1954" i="62"/>
  <c r="J1954" i="62"/>
  <c r="L1954" i="62"/>
  <c r="E1955" i="62"/>
  <c r="I1955" i="62"/>
  <c r="J1955" i="62"/>
  <c r="L1955" i="62"/>
  <c r="I1956" i="62"/>
  <c r="J1956" i="62"/>
  <c r="L1956" i="62"/>
  <c r="E1957" i="62"/>
  <c r="I1957" i="62"/>
  <c r="J1957" i="62"/>
  <c r="L1957" i="62"/>
  <c r="I1958" i="62"/>
  <c r="J1958" i="62"/>
  <c r="K1958" i="62"/>
  <c r="L1958" i="62"/>
  <c r="I1959" i="62"/>
  <c r="J1959" i="62"/>
  <c r="L1959" i="62"/>
  <c r="E1960" i="62"/>
  <c r="I1960" i="62"/>
  <c r="J1960" i="62"/>
  <c r="L1960" i="62"/>
  <c r="E1961" i="62"/>
  <c r="I1961" i="62"/>
  <c r="J1961" i="62"/>
  <c r="L1961" i="62"/>
  <c r="E1962" i="62"/>
  <c r="I1962" i="62"/>
  <c r="J1962" i="62"/>
  <c r="L1962" i="62"/>
  <c r="E1963" i="62"/>
  <c r="I1963" i="62"/>
  <c r="J1963" i="62"/>
  <c r="L1963" i="62"/>
  <c r="E1964" i="62"/>
  <c r="I1964" i="62"/>
  <c r="J1964" i="62"/>
  <c r="L1964" i="62"/>
  <c r="E1965" i="62"/>
  <c r="I1965" i="62"/>
  <c r="J1965" i="62"/>
  <c r="L1965" i="62"/>
  <c r="E1966" i="62"/>
  <c r="I1966" i="62"/>
  <c r="J1966" i="62"/>
  <c r="L1966" i="62"/>
  <c r="E1967" i="62"/>
  <c r="I1967" i="62"/>
  <c r="J1967" i="62"/>
  <c r="L1967" i="62"/>
  <c r="I1968" i="62"/>
  <c r="J1968" i="62"/>
  <c r="L1968" i="62"/>
  <c r="E1969" i="62"/>
  <c r="I1969" i="62"/>
  <c r="J1969" i="62"/>
  <c r="L1969" i="62"/>
  <c r="E1970" i="62"/>
  <c r="I1970" i="62"/>
  <c r="J1970" i="62"/>
  <c r="L1970" i="62"/>
  <c r="I1971" i="62"/>
  <c r="J1971" i="62"/>
  <c r="L1971" i="62"/>
  <c r="E1972" i="62"/>
  <c r="I1972" i="62"/>
  <c r="J1972" i="62"/>
  <c r="L1972" i="62"/>
  <c r="E1973" i="62"/>
  <c r="I1973" i="62"/>
  <c r="J1973" i="62"/>
  <c r="L1973" i="62"/>
  <c r="I1974" i="62"/>
  <c r="J1974" i="62"/>
  <c r="L1974" i="62"/>
  <c r="I1975" i="62"/>
  <c r="J1975" i="62"/>
  <c r="L1975" i="62"/>
  <c r="I1976" i="62"/>
  <c r="J1976" i="62"/>
  <c r="L1976" i="62"/>
  <c r="E1977" i="62"/>
  <c r="I1977" i="62"/>
  <c r="J1977" i="62"/>
  <c r="L1977" i="62"/>
  <c r="E1978" i="62"/>
  <c r="I1978" i="62"/>
  <c r="J1978" i="62"/>
  <c r="L1978" i="62"/>
  <c r="E1979" i="62"/>
  <c r="I1979" i="62"/>
  <c r="J1979" i="62"/>
  <c r="L1979" i="62"/>
  <c r="I1980" i="62"/>
  <c r="J1980" i="62"/>
  <c r="L1980" i="62"/>
  <c r="I1981" i="62"/>
  <c r="J1981" i="62"/>
  <c r="L1981" i="62"/>
  <c r="E1982" i="62"/>
  <c r="I1982" i="62"/>
  <c r="J1982" i="62"/>
  <c r="L1982" i="62"/>
  <c r="E1983" i="62"/>
  <c r="I1983" i="62"/>
  <c r="J1983" i="62"/>
  <c r="L1983" i="62"/>
  <c r="E1984" i="62"/>
  <c r="I1984" i="62"/>
  <c r="J1984" i="62"/>
  <c r="L1984" i="62"/>
  <c r="E1985" i="62"/>
  <c r="I1985" i="62"/>
  <c r="J1985" i="62"/>
  <c r="L1985" i="62"/>
  <c r="I1986" i="62"/>
  <c r="J1986" i="62"/>
  <c r="L1986" i="62"/>
  <c r="I1987" i="62"/>
  <c r="J1987" i="62"/>
  <c r="L1987" i="62"/>
  <c r="E1988" i="62"/>
  <c r="I1988" i="62"/>
  <c r="J1988" i="62"/>
  <c r="L1988" i="62"/>
  <c r="E1989" i="62"/>
  <c r="I1989" i="62"/>
  <c r="J1989" i="62"/>
  <c r="L1989" i="62"/>
  <c r="E1990" i="62"/>
  <c r="I1990" i="62"/>
  <c r="J1990" i="62"/>
  <c r="L1990" i="62"/>
  <c r="E1991" i="62"/>
  <c r="I1991" i="62"/>
  <c r="J1991" i="62"/>
  <c r="L1991" i="62"/>
  <c r="I1992" i="62"/>
  <c r="J1992" i="62"/>
  <c r="L1992" i="62"/>
  <c r="I1993" i="62"/>
  <c r="J1993" i="62"/>
  <c r="L1993" i="62"/>
  <c r="I1994" i="62"/>
  <c r="J1994" i="62"/>
  <c r="L1994" i="62"/>
  <c r="E1995" i="62"/>
  <c r="I1995" i="62"/>
  <c r="J1995" i="62"/>
  <c r="L1995" i="62"/>
  <c r="E1996" i="62"/>
  <c r="I1996" i="62"/>
  <c r="J1996" i="62"/>
  <c r="L1996" i="62"/>
  <c r="E1997" i="62"/>
  <c r="I1997" i="62"/>
  <c r="J1997" i="62"/>
  <c r="L1997" i="62"/>
  <c r="I1998" i="62"/>
  <c r="J1998" i="62"/>
  <c r="L1998" i="62"/>
  <c r="I1999" i="62"/>
  <c r="J1999" i="62"/>
  <c r="L1999" i="62"/>
  <c r="I2000" i="62"/>
  <c r="J2000" i="62"/>
  <c r="L2000" i="62"/>
  <c r="I2001" i="62"/>
  <c r="J2001" i="62"/>
  <c r="L2001" i="62"/>
  <c r="I2002" i="62"/>
  <c r="J2002" i="62"/>
  <c r="L2002" i="62"/>
  <c r="I2003" i="62"/>
  <c r="J2003" i="62"/>
  <c r="L2003" i="62"/>
  <c r="I2004" i="62"/>
  <c r="J2004" i="62"/>
  <c r="L2004" i="62"/>
  <c r="I2005" i="62"/>
  <c r="J2005" i="62"/>
  <c r="L2005" i="62"/>
  <c r="I2006" i="62"/>
  <c r="J2006" i="62"/>
  <c r="L2006" i="62"/>
  <c r="I2007" i="62"/>
  <c r="J2007" i="62"/>
  <c r="L2007" i="62"/>
  <c r="I2008" i="62"/>
  <c r="J2008" i="62"/>
  <c r="L2008" i="62"/>
  <c r="I2009" i="62"/>
  <c r="J2009" i="62"/>
  <c r="L2009" i="62"/>
  <c r="I2010" i="62"/>
  <c r="J2010" i="62"/>
  <c r="L2010" i="62"/>
  <c r="I2011" i="62"/>
  <c r="J2011" i="62"/>
  <c r="L2011" i="62"/>
  <c r="I2012" i="62"/>
  <c r="J2012" i="62"/>
  <c r="L2012" i="62"/>
  <c r="I2013" i="62"/>
  <c r="J2013" i="62"/>
  <c r="L2013" i="62"/>
  <c r="I2014" i="62"/>
  <c r="J2014" i="62"/>
  <c r="L2014" i="62"/>
  <c r="I2015" i="62"/>
  <c r="J2015" i="62"/>
  <c r="L2015" i="62"/>
  <c r="I2016" i="62"/>
  <c r="J2016" i="62"/>
  <c r="L2016" i="62"/>
  <c r="I2017" i="62"/>
  <c r="J2017" i="62"/>
  <c r="L2017" i="62"/>
  <c r="I2018" i="62"/>
  <c r="J2018" i="62"/>
  <c r="L2018" i="62"/>
  <c r="I2019" i="62"/>
  <c r="J2019" i="62"/>
  <c r="L2019" i="62"/>
  <c r="I2020" i="62"/>
  <c r="J2020" i="62"/>
  <c r="L2020" i="62"/>
  <c r="I2021" i="62"/>
  <c r="J2021" i="62"/>
  <c r="L2021" i="62"/>
  <c r="I2022" i="62"/>
  <c r="J2022" i="62"/>
  <c r="L2022" i="62"/>
  <c r="I2023" i="62"/>
  <c r="J2023" i="62"/>
  <c r="L2023" i="62"/>
  <c r="I2024" i="62"/>
  <c r="J2024" i="62"/>
  <c r="L2024" i="62"/>
  <c r="I2025" i="62"/>
  <c r="J2025" i="62"/>
  <c r="L2025" i="62"/>
  <c r="I2026" i="62"/>
  <c r="J2026" i="62"/>
  <c r="L2026" i="62"/>
  <c r="I2027" i="62"/>
  <c r="J2027" i="62"/>
  <c r="L2027" i="62"/>
  <c r="I2028" i="62"/>
  <c r="J2028" i="62"/>
  <c r="L2028" i="62"/>
  <c r="I2029" i="62"/>
  <c r="J2029" i="62"/>
  <c r="L2029" i="62"/>
  <c r="I2030" i="62"/>
  <c r="J2030" i="62"/>
  <c r="L2030" i="62"/>
  <c r="I2031" i="62"/>
  <c r="J2031" i="62"/>
  <c r="L2031" i="62"/>
  <c r="I2032" i="62"/>
  <c r="J2032" i="62"/>
  <c r="L2032" i="62"/>
  <c r="I2033" i="62"/>
  <c r="J2033" i="62"/>
  <c r="L2033" i="62"/>
  <c r="I2034" i="62"/>
  <c r="J2034" i="62"/>
  <c r="L2034" i="62"/>
  <c r="I2035" i="62"/>
  <c r="J2035" i="62"/>
  <c r="L2035" i="62"/>
  <c r="I2036" i="62"/>
  <c r="J2036" i="62"/>
  <c r="L2036" i="62"/>
  <c r="I2037" i="62"/>
  <c r="J2037" i="62"/>
  <c r="L2037" i="62"/>
  <c r="I2038" i="62"/>
  <c r="J2038" i="62"/>
  <c r="L2038" i="62"/>
  <c r="I2039" i="62"/>
  <c r="J2039" i="62"/>
  <c r="L2039" i="62"/>
  <c r="I2040" i="62"/>
  <c r="J2040" i="62"/>
  <c r="L2040" i="62"/>
  <c r="I2041" i="62"/>
  <c r="J2041" i="62"/>
  <c r="L2041" i="62"/>
  <c r="I2042" i="62"/>
  <c r="J2042" i="62"/>
  <c r="L2042" i="62"/>
  <c r="I2043" i="62"/>
  <c r="J2043" i="62"/>
  <c r="L2043" i="62"/>
  <c r="I2044" i="62"/>
  <c r="J2044" i="62"/>
  <c r="L2044" i="62"/>
  <c r="E2045" i="62"/>
  <c r="I2045" i="62"/>
  <c r="J2045" i="62"/>
  <c r="L2045" i="62"/>
  <c r="E2046" i="62"/>
  <c r="I2046" i="62"/>
  <c r="J2046" i="62"/>
  <c r="L2046" i="62"/>
  <c r="E2047" i="62"/>
  <c r="I2047" i="62"/>
  <c r="J2047" i="62"/>
  <c r="L2047" i="62"/>
  <c r="E2048" i="62"/>
  <c r="I2048" i="62"/>
  <c r="J2048" i="62"/>
  <c r="L2048" i="62"/>
  <c r="E2049" i="62"/>
  <c r="I2049" i="62"/>
  <c r="J2049" i="62"/>
  <c r="L2049" i="62"/>
  <c r="E2050" i="62"/>
  <c r="I2050" i="62"/>
  <c r="J2050" i="62"/>
  <c r="L2050" i="62"/>
  <c r="E2051" i="62"/>
  <c r="I2051" i="62"/>
  <c r="J2051" i="62"/>
  <c r="L2051" i="62"/>
  <c r="I2052" i="62"/>
  <c r="J2052" i="62"/>
  <c r="L2052" i="62"/>
  <c r="I2053" i="62"/>
  <c r="J2053" i="62"/>
  <c r="L2053" i="62"/>
  <c r="E2054" i="62"/>
  <c r="I2054" i="62"/>
  <c r="J2054" i="62"/>
  <c r="L2054" i="62"/>
  <c r="I2055" i="62"/>
  <c r="J2055" i="62"/>
  <c r="L2055" i="62"/>
  <c r="E2056" i="62"/>
  <c r="I2056" i="62"/>
  <c r="J2056" i="62"/>
  <c r="L2056" i="62"/>
  <c r="I2057" i="62"/>
  <c r="J2057" i="62"/>
  <c r="L2057" i="62"/>
  <c r="E2058" i="62"/>
  <c r="I2058" i="62"/>
  <c r="J2058" i="62"/>
  <c r="L2058" i="62"/>
  <c r="I2059" i="62"/>
  <c r="J2059" i="62"/>
  <c r="L2059" i="62"/>
  <c r="I2060" i="62"/>
  <c r="J2060" i="62"/>
  <c r="L2060" i="62"/>
  <c r="I2061" i="62"/>
  <c r="J2061" i="62"/>
  <c r="L2061" i="62"/>
  <c r="I2062" i="62"/>
  <c r="J2062" i="62"/>
  <c r="L2062" i="62"/>
  <c r="E2063" i="62"/>
  <c r="I2063" i="62"/>
  <c r="J2063" i="62"/>
  <c r="L2063" i="62"/>
  <c r="E2064" i="62"/>
  <c r="I2064" i="62"/>
  <c r="J2064" i="62"/>
  <c r="L2064" i="62"/>
  <c r="I2065" i="62"/>
  <c r="J2065" i="62"/>
  <c r="L2065" i="62"/>
  <c r="I2066" i="62"/>
  <c r="J2066" i="62"/>
  <c r="L2066" i="62"/>
  <c r="I2067" i="62"/>
  <c r="J2067" i="62"/>
  <c r="L2067" i="62"/>
  <c r="I2068" i="62"/>
  <c r="J2068" i="62"/>
  <c r="L2068" i="62"/>
  <c r="I2069" i="62"/>
  <c r="J2069" i="62"/>
  <c r="L2069" i="62"/>
  <c r="I2070" i="62"/>
  <c r="J2070" i="62"/>
  <c r="L2070" i="62"/>
  <c r="I2071" i="62"/>
  <c r="J2071" i="62"/>
  <c r="L2071" i="62"/>
  <c r="I2072" i="62"/>
  <c r="J2072" i="62"/>
  <c r="L2072" i="62"/>
  <c r="E2073" i="62"/>
  <c r="I2073" i="62"/>
  <c r="J2073" i="62"/>
  <c r="L2073" i="62"/>
  <c r="E2074" i="62"/>
  <c r="I2074" i="62"/>
  <c r="J2074" i="62"/>
  <c r="L2074" i="62"/>
  <c r="I2075" i="62"/>
  <c r="J2075" i="62"/>
  <c r="L2075" i="62"/>
  <c r="I2076" i="62"/>
  <c r="J2076" i="62"/>
  <c r="L2076" i="62"/>
  <c r="I2077" i="62"/>
  <c r="J2077" i="62"/>
  <c r="L2077" i="62"/>
  <c r="I2078" i="62"/>
  <c r="J2078" i="62"/>
  <c r="L2078" i="62"/>
  <c r="I2079" i="62"/>
  <c r="J2079" i="62"/>
  <c r="L2079" i="62"/>
  <c r="I2080" i="62"/>
  <c r="J2080" i="62"/>
  <c r="L2080" i="62"/>
  <c r="I2081" i="62"/>
  <c r="J2081" i="62"/>
  <c r="L2081" i="62"/>
  <c r="I2082" i="62"/>
  <c r="J2082" i="62"/>
  <c r="L2082" i="62"/>
  <c r="I2083" i="62"/>
  <c r="J2083" i="62"/>
  <c r="L2083" i="62"/>
  <c r="I2084" i="62"/>
  <c r="J2084" i="62"/>
  <c r="L2084" i="62"/>
  <c r="I2085" i="62"/>
  <c r="J2085" i="62"/>
  <c r="L2085" i="62"/>
  <c r="I2086" i="62"/>
  <c r="J2086" i="62"/>
  <c r="L2086" i="62"/>
  <c r="I2087" i="62"/>
  <c r="J2087" i="62"/>
  <c r="L2087" i="62"/>
  <c r="I2088" i="62"/>
  <c r="J2088" i="62"/>
  <c r="L2088" i="62"/>
  <c r="I2089" i="62"/>
  <c r="J2089" i="62"/>
  <c r="L2089" i="62"/>
  <c r="I2090" i="62"/>
  <c r="J2090" i="62"/>
  <c r="L2090" i="62"/>
  <c r="I2091" i="62"/>
  <c r="J2091" i="62"/>
  <c r="L2091" i="62"/>
  <c r="I2092" i="62"/>
  <c r="J2092" i="62"/>
  <c r="L2092" i="62"/>
  <c r="I2093" i="62"/>
  <c r="J2093" i="62"/>
  <c r="L2093" i="62"/>
  <c r="I2094" i="62"/>
  <c r="J2094" i="62"/>
  <c r="L2094" i="62"/>
  <c r="I2095" i="62"/>
  <c r="J2095" i="62"/>
  <c r="L2095" i="62"/>
  <c r="I2096" i="62"/>
  <c r="J2096" i="62"/>
  <c r="L2096" i="62"/>
  <c r="I2097" i="62"/>
  <c r="J2097" i="62"/>
  <c r="L2097" i="62"/>
  <c r="I2098" i="62"/>
  <c r="J2098" i="62"/>
  <c r="L2098" i="62"/>
  <c r="I2099" i="62"/>
  <c r="J2099" i="62"/>
  <c r="L2099" i="62"/>
  <c r="I2100" i="62"/>
  <c r="J2100" i="62"/>
  <c r="L2100" i="62"/>
  <c r="I2101" i="62"/>
  <c r="J2101" i="62"/>
  <c r="L2101" i="62"/>
  <c r="I2102" i="62"/>
  <c r="J2102" i="62"/>
  <c r="L2102" i="62"/>
  <c r="I2103" i="62"/>
  <c r="J2103" i="62"/>
  <c r="L2103" i="62"/>
  <c r="I2104" i="62"/>
  <c r="J2104" i="62"/>
  <c r="L2104" i="62"/>
  <c r="I2105" i="62"/>
  <c r="J2105" i="62"/>
  <c r="L2105" i="62"/>
  <c r="I2106" i="62"/>
  <c r="J2106" i="62"/>
  <c r="L2106" i="62"/>
  <c r="I2107" i="62"/>
  <c r="J2107" i="62"/>
  <c r="L2107" i="62"/>
  <c r="I2108" i="62"/>
  <c r="J2108" i="62"/>
  <c r="L2108" i="62"/>
  <c r="I2109" i="62"/>
  <c r="J2109" i="62"/>
  <c r="L2109" i="62"/>
  <c r="I2110" i="62"/>
  <c r="J2110" i="62"/>
  <c r="L2110" i="62"/>
  <c r="I2111" i="62"/>
  <c r="J2111" i="62"/>
  <c r="L2111" i="62"/>
  <c r="I2112" i="62"/>
  <c r="J2112" i="62"/>
  <c r="L2112" i="62"/>
  <c r="I2113" i="62"/>
  <c r="J2113" i="62"/>
  <c r="L2113" i="62"/>
  <c r="I2114" i="62"/>
  <c r="J2114" i="62"/>
  <c r="L2114" i="62"/>
  <c r="I2115" i="62"/>
  <c r="J2115" i="62"/>
  <c r="L2115" i="62"/>
  <c r="I2116" i="62"/>
  <c r="J2116" i="62"/>
  <c r="L2116" i="62"/>
  <c r="I2117" i="62"/>
  <c r="J2117" i="62"/>
  <c r="L2117" i="62"/>
  <c r="I2118" i="62"/>
  <c r="J2118" i="62"/>
  <c r="L2118" i="62"/>
  <c r="E2119" i="62"/>
  <c r="I2119" i="62"/>
  <c r="J2119" i="62"/>
  <c r="L2119" i="62"/>
  <c r="I2120" i="62"/>
  <c r="J2120" i="62"/>
  <c r="L2120" i="62"/>
  <c r="E2121" i="62"/>
  <c r="I2121" i="62"/>
  <c r="J2121" i="62"/>
  <c r="L2121" i="62"/>
  <c r="E2122" i="62"/>
  <c r="I2122" i="62"/>
  <c r="J2122" i="62"/>
  <c r="L2122" i="62"/>
  <c r="I2123" i="62"/>
  <c r="J2123" i="62"/>
  <c r="L2123" i="62"/>
  <c r="I2124" i="62"/>
  <c r="J2124" i="62"/>
  <c r="L2124" i="62"/>
  <c r="J2125" i="62"/>
  <c r="L2125" i="62"/>
  <c r="E2126" i="62"/>
  <c r="I2126" i="62"/>
  <c r="J2126" i="62"/>
  <c r="L2126" i="62"/>
  <c r="E2127" i="62"/>
  <c r="I2127" i="62"/>
  <c r="J2127" i="62"/>
  <c r="L2127" i="62"/>
  <c r="I2128" i="62"/>
  <c r="J2128" i="62"/>
  <c r="L2128" i="62"/>
  <c r="I2129" i="62"/>
  <c r="J2129" i="62"/>
  <c r="L2129" i="62"/>
  <c r="I2130" i="62"/>
  <c r="J2130" i="62"/>
  <c r="L2130" i="62"/>
  <c r="I2131" i="62"/>
  <c r="J2131" i="62"/>
  <c r="L2131" i="62"/>
  <c r="I2132" i="62"/>
  <c r="J2132" i="62"/>
  <c r="L2132" i="62"/>
  <c r="I2133" i="62"/>
  <c r="J2133" i="62"/>
  <c r="L2133" i="62"/>
  <c r="I2134" i="62"/>
  <c r="J2134" i="62"/>
  <c r="L2134" i="62"/>
  <c r="I2135" i="62"/>
  <c r="J2135" i="62"/>
  <c r="L2135" i="62"/>
  <c r="I2136" i="62"/>
  <c r="J2136" i="62"/>
  <c r="L2136" i="62"/>
  <c r="I2137" i="62"/>
  <c r="J2137" i="62"/>
  <c r="L2137" i="62"/>
  <c r="E2138" i="62"/>
  <c r="I2138" i="62"/>
  <c r="J2138" i="62"/>
  <c r="L2138" i="62"/>
  <c r="E2139" i="62"/>
  <c r="I2139" i="62"/>
  <c r="J2139" i="62"/>
  <c r="L2139" i="62"/>
  <c r="I2140" i="62"/>
  <c r="J2140" i="62"/>
  <c r="L2140" i="62"/>
  <c r="I2141" i="62"/>
  <c r="J2141" i="62"/>
  <c r="L2141" i="62"/>
  <c r="E2142" i="62"/>
  <c r="I2142" i="62"/>
  <c r="J2142" i="62"/>
  <c r="L2142" i="62"/>
  <c r="E2143" i="62"/>
  <c r="I2143" i="62"/>
  <c r="J2143" i="62"/>
  <c r="L2143" i="62"/>
  <c r="E2144" i="62"/>
  <c r="I2144" i="62"/>
  <c r="J2144" i="62"/>
  <c r="L2144" i="62"/>
  <c r="E2145" i="62"/>
  <c r="I2145" i="62"/>
  <c r="J2145" i="62"/>
  <c r="L2145" i="62"/>
  <c r="E2146" i="62"/>
  <c r="I2146" i="62"/>
  <c r="J2146" i="62"/>
  <c r="L2146" i="62"/>
  <c r="E2147" i="62"/>
  <c r="I2147" i="62"/>
  <c r="J2147" i="62"/>
  <c r="L2147" i="62"/>
  <c r="I2148" i="62"/>
  <c r="J2148" i="62"/>
  <c r="L2148" i="62"/>
  <c r="I2149" i="62"/>
  <c r="J2149" i="62"/>
  <c r="L2149" i="62"/>
  <c r="I2150" i="62"/>
  <c r="J2150" i="62"/>
  <c r="L2150" i="62"/>
  <c r="I2151" i="62"/>
  <c r="J2151" i="62"/>
  <c r="L2151" i="62"/>
  <c r="I2152" i="62"/>
  <c r="J2152" i="62"/>
  <c r="L2152" i="62"/>
  <c r="I2153" i="62"/>
  <c r="J2153" i="62"/>
  <c r="L2153" i="62"/>
  <c r="I2154" i="62"/>
  <c r="J2154" i="62"/>
  <c r="L2154" i="62"/>
  <c r="I2155" i="62"/>
  <c r="J2155" i="62"/>
  <c r="L2155" i="62"/>
  <c r="I2156" i="62"/>
  <c r="J2156" i="62"/>
  <c r="L2156" i="62"/>
  <c r="I2157" i="62"/>
  <c r="J2157" i="62"/>
  <c r="L2157" i="62"/>
  <c r="I2158" i="62"/>
  <c r="J2158" i="62"/>
  <c r="L2158" i="62"/>
  <c r="I2159" i="62"/>
  <c r="J2159" i="62"/>
  <c r="L2159" i="62"/>
  <c r="I2160" i="62"/>
  <c r="J2160" i="62"/>
  <c r="L2160" i="62"/>
  <c r="I2161" i="62"/>
  <c r="J2161" i="62"/>
  <c r="L2161" i="62"/>
  <c r="E2162" i="62"/>
  <c r="I2162" i="62"/>
  <c r="J2162" i="62"/>
  <c r="L2162" i="62"/>
  <c r="I2163" i="62"/>
  <c r="J2163" i="62"/>
  <c r="L2163" i="62"/>
  <c r="I2164" i="62"/>
  <c r="J2164" i="62"/>
  <c r="L2164" i="62"/>
  <c r="I2165" i="62"/>
  <c r="J2165" i="62"/>
  <c r="L2165" i="62"/>
  <c r="I2166" i="62"/>
  <c r="J2166" i="62"/>
  <c r="L2166" i="62"/>
  <c r="I2167" i="62"/>
  <c r="J2167" i="62"/>
  <c r="L2167" i="62"/>
  <c r="I2168" i="62"/>
  <c r="J2168" i="62"/>
  <c r="L2168" i="62"/>
  <c r="I2169" i="62"/>
  <c r="J2169" i="62"/>
  <c r="L2169" i="62"/>
  <c r="I2170" i="62"/>
  <c r="J2170" i="62"/>
  <c r="L2170" i="62"/>
  <c r="I2171" i="62"/>
  <c r="J2171" i="62"/>
  <c r="L2171" i="62"/>
  <c r="E2172" i="62"/>
  <c r="I2172" i="62"/>
  <c r="J2172" i="62"/>
  <c r="L2172" i="62"/>
  <c r="E2173" i="62"/>
  <c r="I2173" i="62"/>
  <c r="J2173" i="62"/>
  <c r="L2173" i="62"/>
  <c r="E2174" i="62"/>
  <c r="I2174" i="62"/>
  <c r="J2174" i="62"/>
  <c r="L2174" i="62"/>
  <c r="E2175" i="62"/>
  <c r="I2175" i="62"/>
  <c r="J2175" i="62"/>
  <c r="L2175" i="62"/>
  <c r="E2176" i="62"/>
  <c r="I2176" i="62"/>
  <c r="J2176" i="62"/>
  <c r="L2176" i="62"/>
  <c r="E2177" i="62"/>
  <c r="I2177" i="62"/>
  <c r="J2177" i="62"/>
  <c r="L2177" i="62"/>
  <c r="E2178" i="62"/>
  <c r="I2178" i="62"/>
  <c r="J2178" i="62"/>
  <c r="L2178" i="62"/>
  <c r="E2179" i="62"/>
  <c r="I2179" i="62"/>
  <c r="J2179" i="62"/>
  <c r="L2179" i="62"/>
  <c r="E2180" i="62"/>
  <c r="I2180" i="62"/>
  <c r="J2180" i="62"/>
  <c r="L2180" i="62"/>
  <c r="E2181" i="62"/>
  <c r="I2181" i="62"/>
  <c r="J2181" i="62"/>
  <c r="L2181" i="62"/>
  <c r="E2182" i="62"/>
  <c r="I2182" i="62"/>
  <c r="J2182" i="62"/>
  <c r="L2182" i="62"/>
  <c r="E2183" i="62"/>
  <c r="I2183" i="62"/>
  <c r="J2183" i="62"/>
  <c r="L2183" i="62"/>
  <c r="E2184" i="62"/>
  <c r="I2184" i="62"/>
  <c r="J2184" i="62"/>
  <c r="L2184" i="62"/>
  <c r="E2185" i="62"/>
  <c r="I2185" i="62"/>
  <c r="J2185" i="62"/>
  <c r="L2185" i="62"/>
  <c r="I2186" i="62"/>
  <c r="J2186" i="62"/>
  <c r="L2186" i="62"/>
  <c r="I2187" i="62"/>
  <c r="J2187" i="62"/>
  <c r="L2187" i="62"/>
  <c r="I2188" i="62"/>
  <c r="J2188" i="62"/>
  <c r="L2188" i="62"/>
  <c r="I2189" i="62"/>
  <c r="J2189" i="62"/>
  <c r="L2189" i="62"/>
  <c r="I2190" i="62"/>
  <c r="J2190" i="62"/>
  <c r="L2190" i="62"/>
  <c r="I2191" i="62"/>
  <c r="J2191" i="62"/>
  <c r="L2191" i="62"/>
  <c r="I2192" i="62"/>
  <c r="J2192" i="62"/>
  <c r="L2192" i="62"/>
  <c r="I2193" i="62"/>
  <c r="J2193" i="62"/>
  <c r="L2193" i="62"/>
  <c r="I2194" i="62"/>
  <c r="J2194" i="62"/>
  <c r="L2194" i="62"/>
  <c r="I2195" i="62"/>
  <c r="J2195" i="62"/>
  <c r="L2195" i="62"/>
  <c r="I2196" i="62"/>
  <c r="J2196" i="62"/>
  <c r="L2196" i="62"/>
  <c r="I2197" i="62"/>
  <c r="J2197" i="62"/>
  <c r="L2197" i="62"/>
  <c r="I2198" i="62"/>
  <c r="J2198" i="62"/>
  <c r="L2198" i="62"/>
  <c r="I2199" i="62"/>
  <c r="J2199" i="62"/>
  <c r="L2199" i="62"/>
  <c r="I2200" i="62"/>
  <c r="J2200" i="62"/>
  <c r="L2200" i="62"/>
  <c r="I2201" i="62"/>
  <c r="J2201" i="62"/>
  <c r="L2201" i="62"/>
  <c r="I2202" i="62"/>
  <c r="J2202" i="62"/>
  <c r="L2202" i="62"/>
  <c r="I2203" i="62"/>
  <c r="J2203" i="62"/>
  <c r="L2203" i="62"/>
  <c r="I2204" i="62"/>
  <c r="J2204" i="62"/>
  <c r="L2204" i="62"/>
  <c r="I2205" i="62"/>
  <c r="J2205" i="62"/>
  <c r="L2205" i="62"/>
  <c r="I2206" i="62"/>
  <c r="J2206" i="62"/>
  <c r="L2206" i="62"/>
  <c r="I2207" i="62"/>
  <c r="J2207" i="62"/>
  <c r="L2207" i="62"/>
  <c r="I2208" i="62"/>
  <c r="J2208" i="62"/>
  <c r="L2208" i="62"/>
  <c r="I2209" i="62"/>
  <c r="J2209" i="62"/>
  <c r="L2209" i="62"/>
  <c r="I2210" i="62"/>
  <c r="J2210" i="62"/>
  <c r="L2210" i="62"/>
  <c r="I2211" i="62"/>
  <c r="J2211" i="62"/>
  <c r="L2211" i="62"/>
  <c r="I2212" i="62"/>
  <c r="J2212" i="62"/>
  <c r="L2212" i="62"/>
  <c r="I2213" i="62"/>
  <c r="J2213" i="62"/>
  <c r="L2213" i="62"/>
  <c r="I2214" i="62"/>
  <c r="J2214" i="62"/>
  <c r="L2214" i="62"/>
  <c r="I2215" i="62"/>
  <c r="J2215" i="62"/>
  <c r="L2215" i="62"/>
  <c r="I2216" i="62"/>
  <c r="J2216" i="62"/>
  <c r="L2216" i="62"/>
  <c r="I2217" i="62"/>
  <c r="J2217" i="62"/>
  <c r="L2217" i="62"/>
  <c r="I2218" i="62"/>
  <c r="J2218" i="62"/>
  <c r="L2218" i="62"/>
  <c r="I2219" i="62"/>
  <c r="J2219" i="62"/>
  <c r="L2219" i="62"/>
  <c r="I2220" i="62"/>
  <c r="J2220" i="62"/>
  <c r="L2220" i="62"/>
  <c r="I2221" i="62"/>
  <c r="J2221" i="62"/>
  <c r="L2221" i="62"/>
  <c r="I2222" i="62"/>
  <c r="J2222" i="62"/>
  <c r="L2222" i="62"/>
  <c r="I2223" i="62"/>
  <c r="J2223" i="62"/>
  <c r="L2223" i="62"/>
  <c r="E2224" i="62"/>
  <c r="I2224" i="62"/>
  <c r="J2224" i="62"/>
  <c r="L2224" i="62"/>
  <c r="E2225" i="62"/>
  <c r="I2225" i="62"/>
  <c r="J2225" i="62"/>
  <c r="L2225" i="62"/>
  <c r="I2226" i="62"/>
  <c r="J2226" i="62"/>
  <c r="L2226" i="62"/>
  <c r="I2227" i="62"/>
  <c r="J2227" i="62"/>
  <c r="L2227" i="62"/>
  <c r="I2228" i="62"/>
  <c r="J2228" i="62"/>
  <c r="L2228" i="62"/>
  <c r="E2229" i="62"/>
  <c r="I2229" i="62"/>
  <c r="J2229" i="62"/>
  <c r="L2229" i="62"/>
  <c r="J2230" i="62"/>
  <c r="L2230" i="62"/>
  <c r="I2231" i="62"/>
  <c r="J2231" i="62"/>
  <c r="L2231" i="62"/>
  <c r="I2232" i="62"/>
  <c r="J2232" i="62"/>
  <c r="L2232" i="62"/>
  <c r="I2233" i="62"/>
  <c r="J2233" i="62"/>
  <c r="L2233" i="62"/>
  <c r="E2234" i="62"/>
  <c r="I2234" i="62"/>
  <c r="J2234" i="62"/>
  <c r="L2234" i="62"/>
  <c r="I2235" i="62"/>
  <c r="J2235" i="62"/>
  <c r="L2235" i="62"/>
  <c r="E2236" i="62"/>
  <c r="I2236" i="62"/>
  <c r="J2236" i="62"/>
  <c r="L2236" i="62"/>
  <c r="E2237" i="62"/>
  <c r="I2237" i="62"/>
  <c r="J2237" i="62"/>
  <c r="L2237" i="62"/>
  <c r="E2238" i="62"/>
  <c r="I2238" i="62"/>
  <c r="J2238" i="62"/>
  <c r="L2238" i="62"/>
  <c r="E2239" i="62"/>
  <c r="I2239" i="62"/>
  <c r="J2239" i="62"/>
  <c r="L2239" i="62"/>
  <c r="I2240" i="62"/>
  <c r="J2240" i="62"/>
  <c r="L2240" i="62"/>
  <c r="E2241" i="62"/>
  <c r="I2241" i="62"/>
  <c r="J2241" i="62"/>
  <c r="L2241" i="62"/>
  <c r="E2242" i="62"/>
  <c r="I2242" i="62"/>
  <c r="J2242" i="62"/>
  <c r="L2242" i="62"/>
  <c r="E2243" i="62"/>
  <c r="I2243" i="62"/>
  <c r="J2243" i="62"/>
  <c r="L2243" i="62"/>
  <c r="I2244" i="62"/>
  <c r="J2244" i="62"/>
  <c r="L2244" i="62"/>
  <c r="I2245" i="62"/>
  <c r="J2245" i="62"/>
  <c r="L2245" i="62"/>
  <c r="I2246" i="62"/>
  <c r="J2246" i="62"/>
  <c r="L2246" i="62"/>
  <c r="E2247" i="62"/>
  <c r="I2247" i="62"/>
  <c r="J2247" i="62"/>
  <c r="L2247" i="62"/>
  <c r="I2248" i="62"/>
  <c r="J2248" i="62"/>
  <c r="L2248" i="62"/>
  <c r="J2249" i="62"/>
  <c r="L2249" i="62"/>
  <c r="E2250" i="62"/>
  <c r="I2250" i="62"/>
  <c r="J2250" i="62"/>
  <c r="L2250" i="62"/>
  <c r="E2251" i="62"/>
  <c r="I2251" i="62"/>
  <c r="J2251" i="62"/>
  <c r="L2251" i="62"/>
  <c r="J2252" i="62"/>
  <c r="L2252" i="62"/>
  <c r="E2253" i="62"/>
  <c r="I2253" i="62"/>
  <c r="J2253" i="62"/>
  <c r="L2253" i="62"/>
  <c r="I2254" i="62"/>
  <c r="J2254" i="62"/>
  <c r="L2254" i="62"/>
  <c r="I2255" i="62"/>
  <c r="J2255" i="62"/>
  <c r="L2255" i="62"/>
  <c r="E2256" i="62"/>
  <c r="I2256" i="62"/>
  <c r="J2256" i="62"/>
  <c r="L2256" i="62"/>
  <c r="E2257" i="62"/>
  <c r="I2257" i="62"/>
  <c r="J2257" i="62"/>
  <c r="L2257" i="62"/>
  <c r="E2258" i="62"/>
  <c r="I2258" i="62"/>
  <c r="J2258" i="62"/>
  <c r="L2258" i="62"/>
  <c r="E2259" i="62"/>
  <c r="I2259" i="62"/>
  <c r="J2259" i="62"/>
  <c r="L2259" i="62"/>
  <c r="E2260" i="62"/>
  <c r="I2260" i="62"/>
  <c r="J2260" i="62"/>
  <c r="L2260" i="62"/>
  <c r="E2261" i="62"/>
  <c r="I2261" i="62"/>
  <c r="J2261" i="62"/>
  <c r="L2261" i="62"/>
  <c r="E2262" i="62"/>
  <c r="I2262" i="62"/>
  <c r="J2262" i="62"/>
  <c r="L2262" i="62"/>
  <c r="E2263" i="62"/>
  <c r="I2263" i="62"/>
  <c r="J2263" i="62"/>
  <c r="L2263" i="62"/>
  <c r="E2264" i="62"/>
  <c r="I2264" i="62"/>
  <c r="J2264" i="62"/>
  <c r="L2264" i="62"/>
  <c r="E2265" i="62"/>
  <c r="I2265" i="62"/>
  <c r="J2265" i="62"/>
  <c r="L2265" i="62"/>
  <c r="I2266" i="62"/>
  <c r="J2266" i="62"/>
  <c r="L2266" i="62"/>
  <c r="I2267" i="62"/>
  <c r="J2267" i="62"/>
  <c r="L2267" i="62"/>
  <c r="I2268" i="62"/>
  <c r="J2268" i="62"/>
  <c r="L2268" i="62"/>
  <c r="E2269" i="62"/>
  <c r="I2269" i="62"/>
  <c r="J2269" i="62"/>
  <c r="L2269" i="62"/>
  <c r="I2270" i="62"/>
  <c r="J2270" i="62"/>
  <c r="L2270" i="62"/>
  <c r="I2271" i="62"/>
  <c r="J2271" i="62"/>
  <c r="L2271" i="62"/>
  <c r="E2272" i="62"/>
  <c r="I2272" i="62"/>
  <c r="J2272" i="62"/>
  <c r="L2272" i="62"/>
  <c r="I2273" i="62"/>
  <c r="J2273" i="62"/>
  <c r="L2273" i="62"/>
  <c r="I2274" i="62"/>
  <c r="J2274" i="62"/>
  <c r="L2274" i="62"/>
  <c r="E2275" i="62"/>
  <c r="I2275" i="62"/>
  <c r="J2275" i="62"/>
  <c r="L2275" i="62"/>
  <c r="E2276" i="62"/>
  <c r="I2276" i="62"/>
  <c r="J2276" i="62"/>
  <c r="L2276" i="62"/>
  <c r="E2277" i="62"/>
  <c r="I2277" i="62"/>
  <c r="J2277" i="62"/>
  <c r="L2277" i="62"/>
  <c r="E2278" i="62"/>
  <c r="I2278" i="62"/>
  <c r="J2278" i="62"/>
  <c r="L2278" i="62"/>
  <c r="E2279" i="62"/>
  <c r="I2279" i="62"/>
  <c r="J2279" i="62"/>
  <c r="L2279" i="62"/>
  <c r="I2280" i="62"/>
  <c r="J2280" i="62"/>
  <c r="L2280" i="62"/>
  <c r="I2281" i="62"/>
  <c r="J2281" i="62"/>
  <c r="L2281" i="62"/>
  <c r="I2282" i="62"/>
  <c r="J2282" i="62"/>
  <c r="L2282" i="62"/>
  <c r="I2283" i="62"/>
  <c r="J2283" i="62"/>
  <c r="L2283" i="62"/>
  <c r="E2284" i="62"/>
  <c r="I2284" i="62"/>
  <c r="J2284" i="62"/>
  <c r="L2284" i="62"/>
  <c r="E2285" i="62"/>
  <c r="I2285" i="62"/>
  <c r="J2285" i="62"/>
  <c r="L2285" i="62"/>
  <c r="E2286" i="62"/>
  <c r="I2286" i="62"/>
  <c r="J2286" i="62"/>
  <c r="L2286" i="62"/>
  <c r="E2287" i="62"/>
  <c r="I2287" i="62"/>
  <c r="J2287" i="62"/>
  <c r="L2287" i="62"/>
  <c r="I2288" i="62"/>
  <c r="J2288" i="62"/>
  <c r="L2288" i="62"/>
  <c r="I2289" i="62"/>
  <c r="J2289" i="62"/>
  <c r="L2289" i="62"/>
  <c r="I2290" i="62"/>
  <c r="J2290" i="62"/>
  <c r="L2290" i="62"/>
  <c r="I2291" i="62"/>
  <c r="J2291" i="62"/>
  <c r="L2291" i="62"/>
  <c r="I2292" i="62"/>
  <c r="J2292" i="62"/>
  <c r="L2292" i="62"/>
  <c r="E2293" i="62"/>
  <c r="I2293" i="62"/>
  <c r="J2293" i="62"/>
  <c r="L2293" i="62"/>
  <c r="K2294" i="62"/>
  <c r="I2294" i="62"/>
  <c r="J2294" i="62"/>
  <c r="L2294" i="62"/>
  <c r="K2295" i="62"/>
  <c r="I2295" i="62"/>
  <c r="J2295" i="62"/>
  <c r="L2295" i="62"/>
  <c r="I2296" i="62"/>
  <c r="J2296" i="62"/>
  <c r="L2296" i="62"/>
  <c r="I2297" i="62"/>
  <c r="J2297" i="62"/>
  <c r="L2297" i="62"/>
  <c r="I2298" i="62"/>
  <c r="J2298" i="62"/>
  <c r="L2298" i="62"/>
  <c r="I2299" i="62"/>
  <c r="J2299" i="62"/>
  <c r="L2299" i="62"/>
  <c r="I2300" i="62"/>
  <c r="J2300" i="62"/>
  <c r="L2300" i="62"/>
  <c r="I2301" i="62"/>
  <c r="J2301" i="62"/>
  <c r="L2301" i="62"/>
  <c r="I2302" i="62"/>
  <c r="J2302" i="62"/>
  <c r="L2302" i="62"/>
  <c r="I2303" i="62"/>
  <c r="J2303" i="62"/>
  <c r="L2303" i="62"/>
  <c r="E2304" i="62"/>
  <c r="I2304" i="62"/>
  <c r="J2304" i="62"/>
  <c r="L2304" i="62"/>
  <c r="E2305" i="62"/>
  <c r="I2305" i="62"/>
  <c r="J2305" i="62"/>
  <c r="L2305" i="62"/>
  <c r="E2306" i="62"/>
  <c r="I2306" i="62"/>
  <c r="J2306" i="62"/>
  <c r="L2306" i="62"/>
  <c r="E2307" i="62"/>
  <c r="I2307" i="62"/>
  <c r="J2307" i="62"/>
  <c r="L2307" i="62"/>
  <c r="E2308" i="62"/>
  <c r="I2308" i="62"/>
  <c r="J2308" i="62"/>
  <c r="L2308" i="62"/>
  <c r="I2309" i="62"/>
  <c r="J2309" i="62"/>
  <c r="L2309" i="62"/>
  <c r="I2310" i="62"/>
  <c r="J2310" i="62"/>
  <c r="L2310" i="62"/>
  <c r="I2311" i="62"/>
  <c r="J2311" i="62"/>
  <c r="L2311" i="62"/>
  <c r="I2312" i="62"/>
  <c r="J2312" i="62"/>
  <c r="L2312" i="62"/>
  <c r="E2313" i="62"/>
  <c r="I2313" i="62"/>
  <c r="J2313" i="62"/>
  <c r="L2313" i="62"/>
  <c r="E2314" i="62"/>
  <c r="I2314" i="62"/>
  <c r="J2314" i="62"/>
  <c r="L2314" i="62"/>
  <c r="E2315" i="62"/>
  <c r="I2315" i="62"/>
  <c r="J2315" i="62"/>
  <c r="L2315" i="62"/>
  <c r="E2316" i="62"/>
  <c r="I2316" i="62"/>
  <c r="J2316" i="62"/>
  <c r="L2316" i="62"/>
  <c r="E2317" i="62"/>
  <c r="I2317" i="62"/>
  <c r="J2317" i="62"/>
  <c r="L2317" i="62"/>
  <c r="I2318" i="62"/>
  <c r="J2318" i="62"/>
  <c r="L2318" i="62"/>
  <c r="I2319" i="62"/>
  <c r="J2319" i="62"/>
  <c r="L2319" i="62"/>
  <c r="I2320" i="62"/>
  <c r="J2320" i="62"/>
  <c r="L2320" i="62"/>
  <c r="I2321" i="62"/>
  <c r="J2321" i="62"/>
  <c r="L2321" i="62"/>
  <c r="I2322" i="62"/>
  <c r="J2322" i="62"/>
  <c r="L2322" i="62"/>
  <c r="E2323" i="62"/>
  <c r="I2323" i="62"/>
  <c r="J2323" i="62"/>
  <c r="L2323" i="62"/>
  <c r="E2324" i="62"/>
  <c r="I2324" i="62"/>
  <c r="J2324" i="62"/>
  <c r="L2324" i="62"/>
  <c r="I2325" i="62"/>
  <c r="J2325" i="62"/>
  <c r="L2325" i="62"/>
  <c r="I2326" i="62"/>
  <c r="J2326" i="62"/>
  <c r="L2326" i="62"/>
  <c r="I2327" i="62"/>
  <c r="J2327" i="62"/>
  <c r="L2327" i="62"/>
  <c r="I2328" i="62"/>
  <c r="J2328" i="62"/>
  <c r="L2328" i="62"/>
  <c r="I2329" i="62"/>
  <c r="J2329" i="62"/>
  <c r="L2329" i="62"/>
  <c r="I2330" i="62"/>
  <c r="J2330" i="62"/>
  <c r="L2330" i="62"/>
  <c r="I2331" i="62"/>
  <c r="J2331" i="62"/>
  <c r="L2331" i="62"/>
  <c r="I2332" i="62"/>
  <c r="J2332" i="62"/>
  <c r="L2332" i="62"/>
  <c r="I2333" i="62"/>
  <c r="J2333" i="62"/>
  <c r="L2333" i="62"/>
  <c r="E2334" i="62"/>
  <c r="I2334" i="62"/>
  <c r="J2334" i="62"/>
  <c r="L2334" i="62"/>
  <c r="I2335" i="62"/>
  <c r="J2335" i="62"/>
  <c r="L2335" i="62"/>
  <c r="E2336" i="62"/>
  <c r="I2336" i="62"/>
  <c r="J2336" i="62"/>
  <c r="L2336" i="62"/>
  <c r="E2337" i="62"/>
  <c r="I2337" i="62"/>
  <c r="J2337" i="62"/>
  <c r="L2337" i="62"/>
  <c r="E2338" i="62"/>
  <c r="I2338" i="62"/>
  <c r="J2338" i="62"/>
  <c r="L2338" i="62"/>
  <c r="E2339" i="62"/>
  <c r="I2339" i="62"/>
  <c r="J2339" i="62"/>
  <c r="L2339" i="62"/>
  <c r="E2340" i="62"/>
  <c r="I2340" i="62"/>
  <c r="J2340" i="62"/>
  <c r="L2340" i="62"/>
  <c r="E2341" i="62"/>
  <c r="I2341" i="62"/>
  <c r="J2341" i="62"/>
  <c r="L2341" i="62"/>
  <c r="E2342" i="62"/>
  <c r="I2342" i="62"/>
  <c r="J2342" i="62"/>
  <c r="L2342" i="62"/>
  <c r="E2343" i="62"/>
  <c r="I2343" i="62"/>
  <c r="J2343" i="62"/>
  <c r="L2343" i="62"/>
  <c r="E2344" i="62"/>
  <c r="I2344" i="62"/>
  <c r="J2344" i="62"/>
  <c r="L2344" i="62"/>
  <c r="E2345" i="62"/>
  <c r="I2345" i="62"/>
  <c r="J2345" i="62"/>
  <c r="L2345" i="62"/>
  <c r="E2346" i="62"/>
  <c r="I2346" i="62"/>
  <c r="J2346" i="62"/>
  <c r="L2346" i="62"/>
  <c r="E2347" i="62"/>
  <c r="I2347" i="62"/>
  <c r="J2347" i="62"/>
  <c r="L2347" i="62"/>
  <c r="E2348" i="62"/>
  <c r="I2348" i="62"/>
  <c r="J2348" i="62"/>
  <c r="L2348" i="62"/>
  <c r="E2349" i="62"/>
  <c r="I2349" i="62"/>
  <c r="J2349" i="62"/>
  <c r="L2349" i="62"/>
  <c r="E2350" i="62"/>
  <c r="I2350" i="62"/>
  <c r="J2350" i="62"/>
  <c r="L2350" i="62"/>
  <c r="I2351" i="62"/>
  <c r="J2351" i="62"/>
  <c r="L2351" i="62"/>
  <c r="I2352" i="62"/>
  <c r="J2352" i="62"/>
  <c r="L2352" i="62"/>
  <c r="I2353" i="62"/>
  <c r="J2353" i="62"/>
  <c r="L2353" i="62"/>
  <c r="I2354" i="62"/>
  <c r="J2354" i="62"/>
  <c r="L2354" i="62"/>
  <c r="I2355" i="62"/>
  <c r="J2355" i="62"/>
  <c r="L2355" i="62"/>
  <c r="I2356" i="62"/>
  <c r="J2356" i="62"/>
  <c r="L2356" i="62"/>
  <c r="I2357" i="62"/>
  <c r="J2357" i="62"/>
  <c r="L2357" i="62"/>
  <c r="I2358" i="62"/>
  <c r="J2358" i="62"/>
  <c r="L2358" i="62"/>
  <c r="I2359" i="62"/>
  <c r="J2359" i="62"/>
  <c r="L2359" i="62"/>
  <c r="I2360" i="62"/>
  <c r="J2360" i="62"/>
  <c r="L2360" i="62"/>
  <c r="I2361" i="62"/>
  <c r="J2361" i="62"/>
  <c r="L2361" i="62"/>
  <c r="I2362" i="62"/>
  <c r="J2362" i="62"/>
  <c r="L2362" i="62"/>
  <c r="I2363" i="62"/>
  <c r="J2363" i="62"/>
  <c r="L2363" i="62"/>
  <c r="I2364" i="62"/>
  <c r="J2364" i="62"/>
  <c r="L2364" i="62"/>
  <c r="I2365" i="62"/>
  <c r="J2365" i="62"/>
  <c r="L2365" i="62"/>
  <c r="I2366" i="62"/>
  <c r="J2366" i="62"/>
  <c r="L2366" i="62"/>
  <c r="I2367" i="62"/>
  <c r="J2367" i="62"/>
  <c r="L2367" i="62"/>
  <c r="I2368" i="62"/>
  <c r="J2368" i="62"/>
  <c r="L2368" i="62"/>
  <c r="I2369" i="62"/>
  <c r="J2369" i="62"/>
  <c r="L2369" i="62"/>
  <c r="I2370" i="62"/>
  <c r="J2370" i="62"/>
  <c r="L2370" i="62"/>
  <c r="I2371" i="62"/>
  <c r="J2371" i="62"/>
  <c r="L2371" i="62"/>
  <c r="I2372" i="62"/>
  <c r="J2372" i="62"/>
  <c r="L2372" i="62"/>
  <c r="I2373" i="62"/>
  <c r="J2373" i="62"/>
  <c r="L2373" i="62"/>
  <c r="I2374" i="62"/>
  <c r="J2374" i="62"/>
  <c r="L2374" i="62"/>
  <c r="I2375" i="62"/>
  <c r="J2375" i="62"/>
  <c r="L2375" i="62"/>
  <c r="I2376" i="62"/>
  <c r="J2376" i="62"/>
  <c r="L2376" i="62"/>
  <c r="E2377" i="62"/>
  <c r="I2377" i="62"/>
  <c r="J2377" i="62"/>
  <c r="L2377" i="62"/>
  <c r="E2378" i="62"/>
  <c r="I2378" i="62"/>
  <c r="J2378" i="62"/>
  <c r="L2378" i="62"/>
  <c r="I2379" i="62"/>
  <c r="J2379" i="62"/>
  <c r="L2379" i="62"/>
  <c r="I2380" i="62"/>
  <c r="J2380" i="62"/>
  <c r="L2380" i="62"/>
  <c r="E2381" i="62"/>
  <c r="I2381" i="62"/>
  <c r="J2381" i="62"/>
  <c r="L2381" i="62"/>
  <c r="E2382" i="62"/>
  <c r="I2382" i="62"/>
  <c r="J2382" i="62"/>
  <c r="L2382" i="62"/>
  <c r="E2383" i="62"/>
  <c r="I2383" i="62"/>
  <c r="J2383" i="62"/>
  <c r="L2383" i="62"/>
  <c r="E2384" i="62"/>
  <c r="I2384" i="62"/>
  <c r="J2384" i="62"/>
  <c r="L2384" i="62"/>
  <c r="E2385" i="62"/>
  <c r="I2385" i="62"/>
  <c r="J2385" i="62"/>
  <c r="L2385" i="62"/>
  <c r="E2386" i="62"/>
  <c r="I2386" i="62"/>
  <c r="J2386" i="62"/>
  <c r="L2386" i="62"/>
  <c r="I2387" i="62"/>
  <c r="J2387" i="62"/>
  <c r="L2387" i="62"/>
  <c r="I2388" i="62"/>
  <c r="J2388" i="62"/>
  <c r="L2388" i="62"/>
  <c r="E2389" i="62"/>
  <c r="I2389" i="62"/>
  <c r="J2389" i="62"/>
  <c r="L2389" i="62"/>
  <c r="E2390" i="62"/>
  <c r="I2390" i="62"/>
  <c r="J2390" i="62"/>
  <c r="L2390" i="62"/>
  <c r="E2391" i="62"/>
  <c r="I2391" i="62"/>
  <c r="J2391" i="62"/>
  <c r="L2391" i="62"/>
  <c r="I2392" i="62"/>
  <c r="J2392" i="62"/>
  <c r="L2392" i="62"/>
  <c r="I2393" i="62"/>
  <c r="J2393" i="62"/>
  <c r="L2393" i="62"/>
  <c r="I2394" i="62"/>
  <c r="J2394" i="62"/>
  <c r="L2394" i="62"/>
  <c r="E2395" i="62"/>
  <c r="I2395" i="62"/>
  <c r="J2395" i="62"/>
  <c r="L2395" i="62"/>
  <c r="I2396" i="62"/>
  <c r="J2396" i="62"/>
  <c r="L2396" i="62"/>
  <c r="I2397" i="62"/>
  <c r="J2397" i="62"/>
  <c r="L2397" i="62"/>
  <c r="I2398" i="62"/>
  <c r="J2398" i="62"/>
  <c r="L2398" i="62"/>
  <c r="I2399" i="62"/>
  <c r="J2399" i="62"/>
  <c r="L2399" i="62"/>
  <c r="I2400" i="62"/>
  <c r="J2400" i="62"/>
  <c r="L2400" i="62"/>
  <c r="I2401" i="62"/>
  <c r="J2401" i="62"/>
  <c r="L2401" i="62"/>
  <c r="I2402" i="62"/>
  <c r="J2402" i="62"/>
  <c r="L2402" i="62"/>
  <c r="E2403" i="62"/>
  <c r="I2403" i="62"/>
  <c r="J2403" i="62"/>
  <c r="L2403" i="62"/>
  <c r="E2404" i="62"/>
  <c r="I2404" i="62"/>
  <c r="J2404" i="62"/>
  <c r="L2404" i="62"/>
  <c r="E2405" i="62"/>
  <c r="I2405" i="62"/>
  <c r="J2405" i="62"/>
  <c r="L2405" i="62"/>
  <c r="E2406" i="62"/>
  <c r="I2406" i="62"/>
  <c r="J2406" i="62"/>
  <c r="L2406" i="62"/>
  <c r="E2407" i="62"/>
  <c r="I2407" i="62"/>
  <c r="J2407" i="62"/>
  <c r="L2407" i="62"/>
  <c r="E2408" i="62"/>
  <c r="I2408" i="62"/>
  <c r="J2408" i="62"/>
  <c r="L2408" i="62"/>
  <c r="E2409" i="62"/>
  <c r="I2409" i="62"/>
  <c r="J2409" i="62"/>
  <c r="L2409" i="62"/>
  <c r="E2410" i="62"/>
  <c r="I2410" i="62"/>
  <c r="J2410" i="62"/>
  <c r="L2410" i="62"/>
  <c r="E2411" i="62"/>
  <c r="I2411" i="62"/>
  <c r="J2411" i="62"/>
  <c r="L2411" i="62"/>
  <c r="I2412" i="62"/>
  <c r="J2412" i="62"/>
  <c r="L2412" i="62"/>
  <c r="E2413" i="62"/>
  <c r="I2413" i="62"/>
  <c r="J2413" i="62"/>
  <c r="L2413" i="62"/>
  <c r="E2414" i="62"/>
  <c r="I2414" i="62"/>
  <c r="J2414" i="62"/>
  <c r="L2414" i="62"/>
  <c r="I2415" i="62"/>
  <c r="J2415" i="62"/>
  <c r="L2415" i="62"/>
  <c r="E2416" i="62"/>
  <c r="I2416" i="62"/>
  <c r="J2416" i="62"/>
  <c r="L2416" i="62"/>
  <c r="I2417" i="62"/>
  <c r="J2417" i="62"/>
  <c r="L2417" i="62"/>
  <c r="I2418" i="62"/>
  <c r="J2418" i="62"/>
  <c r="L2418" i="62"/>
  <c r="K2419" i="62"/>
  <c r="I2419" i="62"/>
  <c r="J2419" i="62"/>
  <c r="L2419" i="62"/>
  <c r="I2420" i="62"/>
  <c r="J2420" i="62"/>
  <c r="L2420" i="62"/>
  <c r="I2421" i="62"/>
  <c r="J2421" i="62"/>
  <c r="L2421" i="62"/>
  <c r="I2422" i="62"/>
  <c r="J2422" i="62"/>
  <c r="L2422" i="62"/>
  <c r="I2423" i="62"/>
  <c r="J2423" i="62"/>
  <c r="L2423" i="62"/>
  <c r="I2424" i="62"/>
  <c r="J2424" i="62"/>
  <c r="L2424" i="62"/>
  <c r="I2425" i="62"/>
  <c r="J2425" i="62"/>
  <c r="L2425" i="62"/>
  <c r="I2426" i="62"/>
  <c r="J2426" i="62"/>
  <c r="L2426" i="62"/>
  <c r="I2427" i="62"/>
  <c r="J2427" i="62"/>
  <c r="L2427" i="62"/>
  <c r="I2428" i="62"/>
  <c r="J2428" i="62"/>
  <c r="L2428" i="62"/>
  <c r="I2429" i="62"/>
  <c r="J2429" i="62"/>
  <c r="L2429" i="62"/>
  <c r="I2430" i="62"/>
  <c r="J2430" i="62"/>
  <c r="L2430" i="62"/>
  <c r="I2431" i="62"/>
  <c r="J2431" i="62"/>
  <c r="L2431" i="62"/>
  <c r="I2432" i="62"/>
  <c r="J2432" i="62"/>
  <c r="L2432" i="62"/>
  <c r="I2433" i="62"/>
  <c r="J2433" i="62"/>
  <c r="L2433" i="62"/>
  <c r="I2434" i="62"/>
  <c r="J2434" i="62"/>
  <c r="L2434" i="62"/>
  <c r="I2435" i="62"/>
  <c r="J2435" i="62"/>
  <c r="L2435" i="62"/>
  <c r="I2436" i="62"/>
  <c r="J2436" i="62"/>
  <c r="L2436" i="62"/>
  <c r="I2437" i="62"/>
  <c r="J2437" i="62"/>
  <c r="L2437" i="62"/>
  <c r="I2438" i="62"/>
  <c r="J2438" i="62"/>
  <c r="L2438" i="62"/>
  <c r="I2439" i="62"/>
  <c r="J2439" i="62"/>
  <c r="L2439" i="62"/>
  <c r="I2440" i="62"/>
  <c r="J2440" i="62"/>
  <c r="L2440" i="62"/>
  <c r="I2441" i="62"/>
  <c r="J2441" i="62"/>
  <c r="L2441" i="62"/>
  <c r="I2442" i="62"/>
  <c r="J2442" i="62"/>
  <c r="L2442" i="62"/>
  <c r="I2443" i="62"/>
  <c r="J2443" i="62"/>
  <c r="L2443" i="62"/>
  <c r="I2444" i="62"/>
  <c r="J2444" i="62"/>
  <c r="L2444" i="62"/>
  <c r="I2445" i="62"/>
  <c r="J2445" i="62"/>
  <c r="L2445" i="62"/>
  <c r="I2446" i="62"/>
  <c r="J2446" i="62"/>
  <c r="L2446" i="62"/>
  <c r="I2447" i="62"/>
  <c r="J2447" i="62"/>
  <c r="L2447" i="62"/>
  <c r="I2448" i="62"/>
  <c r="J2448" i="62"/>
  <c r="L2448" i="62"/>
  <c r="I2449" i="62"/>
  <c r="J2449" i="62"/>
  <c r="L2449" i="62"/>
  <c r="I2450" i="62"/>
  <c r="J2450" i="62"/>
  <c r="L2450" i="62"/>
  <c r="I2451" i="62"/>
  <c r="J2451" i="62"/>
  <c r="L2451" i="62"/>
  <c r="I2452" i="62"/>
  <c r="J2452" i="62"/>
  <c r="L2452" i="62"/>
  <c r="I2453" i="62"/>
  <c r="J2453" i="62"/>
  <c r="L2453" i="62"/>
  <c r="I2454" i="62"/>
  <c r="J2454" i="62"/>
  <c r="L2454" i="62"/>
  <c r="I2455" i="62"/>
  <c r="J2455" i="62"/>
  <c r="L2455" i="62"/>
  <c r="I2456" i="62"/>
  <c r="J2456" i="62"/>
  <c r="L2456" i="62"/>
  <c r="I2457" i="62"/>
  <c r="J2457" i="62"/>
  <c r="L2457" i="62"/>
  <c r="I2458" i="62"/>
  <c r="J2458" i="62"/>
  <c r="L2458" i="62"/>
  <c r="I2459" i="62"/>
  <c r="J2459" i="62"/>
  <c r="L2459" i="62"/>
  <c r="I2460" i="62"/>
  <c r="J2460" i="62"/>
  <c r="L2460" i="62"/>
  <c r="I2461" i="62"/>
  <c r="J2461" i="62"/>
  <c r="L2461" i="62"/>
  <c r="I2462" i="62"/>
  <c r="J2462" i="62"/>
  <c r="L2462" i="62"/>
  <c r="I2463" i="62"/>
  <c r="J2463" i="62"/>
  <c r="L2463" i="62"/>
  <c r="I2464" i="62"/>
  <c r="J2464" i="62"/>
  <c r="L2464" i="62"/>
  <c r="E2465" i="62"/>
  <c r="I2465" i="62"/>
  <c r="J2465" i="62"/>
  <c r="L2465" i="62"/>
  <c r="I2466" i="62"/>
  <c r="J2466" i="62"/>
  <c r="L2466" i="62"/>
  <c r="E2467" i="62"/>
  <c r="I2467" i="62"/>
  <c r="J2467" i="62"/>
  <c r="L2467" i="62"/>
  <c r="E2468" i="62"/>
  <c r="I2468" i="62"/>
  <c r="J2468" i="62"/>
  <c r="L2468" i="62"/>
  <c r="I2469" i="62"/>
  <c r="J2469" i="62"/>
  <c r="L2469" i="62"/>
  <c r="I2470" i="62"/>
  <c r="J2470" i="62"/>
  <c r="L2470" i="62"/>
  <c r="I2471" i="62"/>
  <c r="J2471" i="62"/>
  <c r="L2471" i="62"/>
  <c r="E2472" i="62"/>
  <c r="I2472" i="62"/>
  <c r="J2472" i="62"/>
  <c r="L2472" i="62"/>
  <c r="E2473" i="62"/>
  <c r="I2473" i="62"/>
  <c r="J2473" i="62"/>
  <c r="L2473" i="62"/>
  <c r="E2474" i="62"/>
  <c r="I2474" i="62"/>
  <c r="J2474" i="62"/>
  <c r="L2474" i="62"/>
  <c r="E2475" i="62"/>
  <c r="I2475" i="62"/>
  <c r="J2475" i="62"/>
  <c r="L2475" i="62"/>
  <c r="E2476" i="62"/>
  <c r="I2476" i="62"/>
  <c r="J2476" i="62"/>
  <c r="L2476" i="62"/>
  <c r="I2477" i="62"/>
  <c r="J2477" i="62"/>
  <c r="L2477" i="62"/>
  <c r="E2478" i="62"/>
  <c r="I2478" i="62"/>
  <c r="J2478" i="62"/>
  <c r="L2478" i="62"/>
  <c r="I2479" i="62"/>
  <c r="J2479" i="62"/>
  <c r="L2479" i="62"/>
  <c r="I2480" i="62"/>
  <c r="J2480" i="62"/>
  <c r="L2480" i="62"/>
  <c r="E2481" i="62"/>
  <c r="I2481" i="62"/>
  <c r="J2481" i="62"/>
  <c r="L2481" i="62"/>
  <c r="E2482" i="62"/>
  <c r="I2482" i="62"/>
  <c r="J2482" i="62"/>
  <c r="L2482" i="62"/>
  <c r="E2483" i="62"/>
  <c r="I2483" i="62"/>
  <c r="J2483" i="62"/>
  <c r="L2483" i="62"/>
  <c r="E2484" i="62"/>
  <c r="I2484" i="62"/>
  <c r="J2484" i="62"/>
  <c r="L2484" i="62"/>
  <c r="I2485" i="62"/>
  <c r="J2485" i="62"/>
  <c r="L2485" i="62"/>
  <c r="I2486" i="62"/>
  <c r="J2486" i="62"/>
  <c r="L2486" i="62"/>
  <c r="E2487" i="62"/>
  <c r="I2487" i="62"/>
  <c r="J2487" i="62"/>
  <c r="L2487" i="62"/>
  <c r="E2488" i="62"/>
  <c r="I2488" i="62"/>
  <c r="J2488" i="62"/>
  <c r="L2488" i="62"/>
  <c r="E2489" i="62"/>
  <c r="I2489" i="62"/>
  <c r="J2489" i="62"/>
  <c r="L2489" i="62"/>
  <c r="E2490" i="62"/>
  <c r="I2490" i="62"/>
  <c r="J2490" i="62"/>
  <c r="L2490" i="62"/>
  <c r="E2491" i="62"/>
  <c r="I2491" i="62"/>
  <c r="J2491" i="62"/>
  <c r="L2491" i="62"/>
  <c r="E2492" i="62"/>
  <c r="I2492" i="62"/>
  <c r="J2492" i="62"/>
  <c r="L2492" i="62"/>
  <c r="I2493" i="62"/>
  <c r="J2493" i="62"/>
  <c r="L2493" i="62"/>
  <c r="E2494" i="62"/>
  <c r="I2494" i="62"/>
  <c r="J2494" i="62"/>
  <c r="L2494" i="62"/>
  <c r="E2495" i="62"/>
  <c r="I2495" i="62"/>
  <c r="J2495" i="62"/>
  <c r="L2495" i="62"/>
  <c r="I2496" i="62"/>
  <c r="J2496" i="62"/>
  <c r="L2496" i="62"/>
  <c r="E2497" i="62"/>
  <c r="I2497" i="62"/>
  <c r="J2497" i="62"/>
  <c r="L2497" i="62"/>
  <c r="E2498" i="62"/>
  <c r="I2498" i="62"/>
  <c r="J2498" i="62"/>
  <c r="L2498" i="62"/>
  <c r="E2499" i="62"/>
  <c r="I2499" i="62"/>
  <c r="J2499" i="62"/>
  <c r="L2499" i="62"/>
  <c r="E2500" i="62"/>
  <c r="I2500" i="62"/>
  <c r="J2500" i="62"/>
  <c r="L2500" i="62"/>
  <c r="E2501" i="62"/>
  <c r="I2501" i="62"/>
  <c r="J2501" i="62"/>
  <c r="L2501" i="62"/>
  <c r="E2502" i="62"/>
  <c r="I2502" i="62"/>
  <c r="J2502" i="62"/>
  <c r="L2502" i="62"/>
  <c r="I2503" i="62"/>
  <c r="J2503" i="62"/>
  <c r="L2503" i="62"/>
  <c r="I2504" i="62"/>
  <c r="J2504" i="62"/>
  <c r="L2504" i="62"/>
  <c r="E2505" i="62"/>
  <c r="I2505" i="62"/>
  <c r="J2505" i="62"/>
  <c r="L2505" i="62"/>
  <c r="I2506" i="62"/>
  <c r="J2506" i="62"/>
  <c r="L2506" i="62"/>
  <c r="I2507" i="62"/>
  <c r="J2507" i="62"/>
  <c r="L2507" i="62"/>
  <c r="I2508" i="62"/>
  <c r="J2508" i="62"/>
  <c r="L2508" i="62"/>
  <c r="I2509" i="62"/>
  <c r="J2509" i="62"/>
  <c r="L2509" i="62"/>
  <c r="I2510" i="62"/>
  <c r="J2510" i="62"/>
  <c r="L2510" i="62"/>
  <c r="I2511" i="62"/>
  <c r="J2511" i="62"/>
  <c r="L2511" i="62"/>
  <c r="I2512" i="62"/>
  <c r="J2512" i="62"/>
  <c r="L2512" i="62"/>
  <c r="I2513" i="62"/>
  <c r="J2513" i="62"/>
  <c r="L2513" i="62"/>
  <c r="I2514" i="62"/>
  <c r="J2514" i="62"/>
  <c r="L2514" i="62"/>
  <c r="I2515" i="62"/>
  <c r="J2515" i="62"/>
  <c r="L2515" i="62"/>
  <c r="I2516" i="62"/>
  <c r="J2516" i="62"/>
  <c r="L2516" i="62"/>
  <c r="I2517" i="62"/>
  <c r="J2517" i="62"/>
  <c r="L2517" i="62"/>
  <c r="I2518" i="62"/>
  <c r="J2518" i="62"/>
  <c r="L2518" i="62"/>
  <c r="I2519" i="62"/>
  <c r="J2519" i="62"/>
  <c r="L2519" i="62"/>
  <c r="I2520" i="62"/>
  <c r="J2520" i="62"/>
  <c r="L2520" i="62"/>
  <c r="I2521" i="62"/>
  <c r="J2521" i="62"/>
  <c r="L2521" i="62"/>
  <c r="I2522" i="62"/>
  <c r="J2522" i="62"/>
  <c r="L2522" i="62"/>
  <c r="I2523" i="62"/>
  <c r="J2523" i="62"/>
  <c r="L2523" i="62"/>
  <c r="I2524" i="62"/>
  <c r="J2524" i="62"/>
  <c r="L2524" i="62"/>
  <c r="I2525" i="62"/>
  <c r="J2525" i="62"/>
  <c r="L2525" i="62"/>
  <c r="I2526" i="62"/>
  <c r="J2526" i="62"/>
  <c r="L2526" i="62"/>
  <c r="E2527" i="62"/>
  <c r="I2527" i="62"/>
  <c r="J2527" i="62"/>
  <c r="L2527" i="62"/>
  <c r="I2528" i="62"/>
  <c r="J2528" i="62"/>
  <c r="L2528" i="62"/>
  <c r="I2529" i="62"/>
  <c r="J2529" i="62"/>
  <c r="L2529" i="62"/>
  <c r="I2530" i="62"/>
  <c r="J2530" i="62"/>
  <c r="L2530" i="62"/>
  <c r="I2531" i="62"/>
  <c r="J2531" i="62"/>
  <c r="L2531" i="62"/>
  <c r="I2532" i="62"/>
  <c r="J2532" i="62"/>
  <c r="L2532" i="62"/>
  <c r="I2533" i="62"/>
  <c r="J2533" i="62"/>
  <c r="L2533" i="62"/>
  <c r="I2534" i="62"/>
  <c r="J2534" i="62"/>
  <c r="L2534" i="62"/>
  <c r="I2535" i="62"/>
  <c r="J2535" i="62"/>
  <c r="L2535" i="62"/>
  <c r="I2536" i="62"/>
  <c r="J2536" i="62"/>
  <c r="L2536" i="62"/>
  <c r="I2537" i="62"/>
  <c r="J2537" i="62"/>
  <c r="L2537" i="62"/>
  <c r="I2538" i="62"/>
  <c r="J2538" i="62"/>
  <c r="L2538" i="62"/>
  <c r="I2539" i="62"/>
  <c r="J2539" i="62"/>
  <c r="L2539" i="62"/>
  <c r="I2540" i="62"/>
  <c r="J2540" i="62"/>
  <c r="L2540" i="62"/>
  <c r="I2541" i="62"/>
  <c r="J2541" i="62"/>
  <c r="L2541" i="62"/>
  <c r="I2542" i="62"/>
  <c r="J2542" i="62"/>
  <c r="L2542" i="62"/>
  <c r="I2543" i="62"/>
  <c r="J2543" i="62"/>
  <c r="L2543" i="62"/>
  <c r="I2544" i="62"/>
  <c r="J2544" i="62"/>
  <c r="L2544" i="62"/>
  <c r="I2545" i="62"/>
  <c r="J2545" i="62"/>
  <c r="L2545" i="62"/>
  <c r="I2546" i="62"/>
  <c r="J2546" i="62"/>
  <c r="L2546" i="62"/>
  <c r="I2547" i="62"/>
  <c r="J2547" i="62"/>
  <c r="L2547" i="62"/>
  <c r="I2548" i="62"/>
  <c r="J2548" i="62"/>
  <c r="L2548" i="62"/>
  <c r="I2549" i="62"/>
  <c r="J2549" i="62"/>
  <c r="L2549" i="62"/>
  <c r="I2550" i="62"/>
  <c r="J2550" i="62"/>
  <c r="L2550" i="62"/>
  <c r="I2551" i="62"/>
  <c r="J2551" i="62"/>
  <c r="L2551" i="62"/>
  <c r="I2552" i="62"/>
  <c r="J2552" i="62"/>
  <c r="L2552" i="62"/>
  <c r="I2553" i="62"/>
  <c r="J2553" i="62"/>
  <c r="L2553" i="62"/>
  <c r="I2554" i="62"/>
  <c r="J2554" i="62"/>
  <c r="L2554" i="62"/>
  <c r="I2555" i="62"/>
  <c r="J2555" i="62"/>
  <c r="L2555" i="62"/>
  <c r="I2556" i="62"/>
  <c r="J2556" i="62"/>
  <c r="L2556" i="62"/>
  <c r="I2557" i="62"/>
  <c r="J2557" i="62"/>
  <c r="L2557" i="62"/>
  <c r="I2558" i="62"/>
  <c r="J2558" i="62"/>
  <c r="L2558" i="62"/>
  <c r="E2559" i="62"/>
  <c r="I2559" i="62"/>
  <c r="J2559" i="62"/>
  <c r="L2559" i="62"/>
  <c r="E2560" i="62"/>
  <c r="I2560" i="62"/>
  <c r="J2560" i="62"/>
  <c r="L2560" i="62"/>
  <c r="E2561" i="62"/>
  <c r="I2561" i="62"/>
  <c r="J2561" i="62"/>
  <c r="L2561" i="62"/>
  <c r="I2562" i="62"/>
  <c r="J2562" i="62"/>
  <c r="L2562" i="62"/>
  <c r="E2563" i="62"/>
  <c r="I2563" i="62"/>
  <c r="J2563" i="62"/>
  <c r="L2563" i="62"/>
  <c r="I2564" i="62"/>
  <c r="J2564" i="62"/>
  <c r="L2564" i="62"/>
  <c r="I2565" i="62"/>
  <c r="J2565" i="62"/>
  <c r="L2565" i="62"/>
  <c r="I2566" i="62"/>
  <c r="J2566" i="62"/>
  <c r="L2566" i="62"/>
  <c r="I2567" i="62"/>
  <c r="J2567" i="62"/>
  <c r="L2567" i="62"/>
  <c r="E2568" i="62"/>
  <c r="I2568" i="62"/>
  <c r="J2568" i="62"/>
  <c r="L2568" i="62"/>
  <c r="I2569" i="62"/>
  <c r="J2569" i="62"/>
  <c r="L2569" i="62"/>
  <c r="I2570" i="62"/>
  <c r="J2570" i="62"/>
  <c r="L2570" i="62"/>
  <c r="I2571" i="62"/>
  <c r="J2571" i="62"/>
  <c r="L2571" i="62"/>
  <c r="I2572" i="62"/>
  <c r="J2572" i="62"/>
  <c r="L2572" i="62"/>
  <c r="I2573" i="62"/>
  <c r="J2573" i="62"/>
  <c r="L2573" i="62"/>
  <c r="I2574" i="62"/>
  <c r="J2574" i="62"/>
  <c r="L2574" i="62"/>
  <c r="I2575" i="62"/>
  <c r="J2575" i="62"/>
  <c r="L2575" i="62"/>
  <c r="I2576" i="62"/>
  <c r="J2576" i="62"/>
  <c r="L2576" i="62"/>
  <c r="I2577" i="62"/>
  <c r="J2577" i="62"/>
  <c r="L2577" i="62"/>
  <c r="I2578" i="62"/>
  <c r="J2578" i="62"/>
  <c r="L2578" i="62"/>
  <c r="I2579" i="62"/>
  <c r="J2579" i="62"/>
  <c r="L2579" i="62"/>
  <c r="I2580" i="62"/>
  <c r="J2580" i="62"/>
  <c r="L2580" i="62"/>
  <c r="I2581" i="62"/>
  <c r="J2581" i="62"/>
  <c r="L2581" i="62"/>
  <c r="I2582" i="62"/>
  <c r="J2582" i="62"/>
  <c r="K2582" i="62"/>
  <c r="L2582" i="62"/>
  <c r="I2583" i="62"/>
  <c r="J2583" i="62"/>
  <c r="K2583" i="62"/>
  <c r="L2583" i="62"/>
  <c r="I2584" i="62"/>
  <c r="J2584" i="62"/>
  <c r="L2584" i="62"/>
  <c r="I2585" i="62"/>
  <c r="J2585" i="62"/>
  <c r="L2585" i="62"/>
  <c r="I2586" i="62"/>
  <c r="J2586" i="62"/>
  <c r="L2586" i="62"/>
  <c r="I2587" i="62"/>
  <c r="J2587" i="62"/>
  <c r="L2587" i="62"/>
  <c r="E2588" i="62"/>
  <c r="I2588" i="62"/>
  <c r="J2588" i="62"/>
  <c r="L2588" i="62"/>
  <c r="I2589" i="62"/>
  <c r="J2589" i="62"/>
  <c r="L2589" i="62"/>
  <c r="I2590" i="62"/>
  <c r="J2590" i="62"/>
  <c r="L2590" i="62"/>
  <c r="I2591" i="62"/>
  <c r="J2591" i="62"/>
  <c r="L2591" i="62"/>
  <c r="I2592" i="62"/>
  <c r="J2592" i="62"/>
  <c r="L2592" i="62"/>
  <c r="I2593" i="62"/>
  <c r="J2593" i="62"/>
  <c r="L2593" i="62"/>
  <c r="I2594" i="62"/>
  <c r="J2594" i="62"/>
  <c r="L2594" i="62"/>
  <c r="I2595" i="62"/>
  <c r="J2595" i="62"/>
  <c r="L2595" i="62"/>
  <c r="I2596" i="62"/>
  <c r="J2596" i="62"/>
  <c r="L2596" i="62"/>
  <c r="I2597" i="62"/>
  <c r="J2597" i="62"/>
  <c r="L2597" i="62"/>
  <c r="I2598" i="62"/>
  <c r="J2598" i="62"/>
  <c r="L2598" i="62"/>
  <c r="I2599" i="62"/>
  <c r="J2599" i="62"/>
  <c r="L2599" i="62"/>
  <c r="I2600" i="62"/>
  <c r="J2600" i="62"/>
  <c r="L2600" i="62"/>
  <c r="I2601" i="62"/>
  <c r="J2601" i="62"/>
  <c r="L2601" i="62"/>
  <c r="I2602" i="62"/>
  <c r="J2602" i="62"/>
  <c r="L2602" i="62"/>
  <c r="I2603" i="62"/>
  <c r="J2603" i="62"/>
  <c r="L2603" i="62"/>
  <c r="I2604" i="62"/>
  <c r="J2604" i="62"/>
  <c r="L2604" i="62"/>
  <c r="I2605" i="62"/>
  <c r="J2605" i="62"/>
  <c r="L2605" i="62"/>
  <c r="I2606" i="62"/>
  <c r="J2606" i="62"/>
  <c r="L2606" i="62"/>
  <c r="I2607" i="62"/>
  <c r="J2607" i="62"/>
  <c r="L2607" i="62"/>
  <c r="I2608" i="62"/>
  <c r="J2608" i="62"/>
  <c r="L2608" i="62"/>
  <c r="I2609" i="62"/>
  <c r="J2609" i="62"/>
  <c r="L2609" i="62"/>
  <c r="I2610" i="62"/>
  <c r="J2610" i="62"/>
  <c r="L2610" i="62"/>
  <c r="I2611" i="62"/>
  <c r="J2611" i="62"/>
  <c r="L2611" i="62"/>
  <c r="I2612" i="62"/>
  <c r="J2612" i="62"/>
  <c r="L2612" i="62"/>
  <c r="I2613" i="62"/>
  <c r="J2613" i="62"/>
  <c r="L2613" i="62"/>
  <c r="I2614" i="62"/>
  <c r="J2614" i="62"/>
  <c r="L2614" i="62"/>
  <c r="I2615" i="62"/>
  <c r="J2615" i="62"/>
  <c r="L2615" i="62"/>
  <c r="I2616" i="62"/>
  <c r="J2616" i="62"/>
  <c r="L2616" i="62"/>
  <c r="I2617" i="62"/>
  <c r="J2617" i="62"/>
  <c r="L2617" i="62"/>
  <c r="I2618" i="62"/>
  <c r="J2618" i="62"/>
  <c r="L2618" i="62"/>
  <c r="I2619" i="62"/>
  <c r="J2619" i="62"/>
  <c r="L2619" i="62"/>
  <c r="I2620" i="62"/>
  <c r="J2620" i="62"/>
  <c r="L2620" i="62"/>
  <c r="E2621" i="62"/>
  <c r="I2621" i="62"/>
  <c r="J2621" i="62"/>
  <c r="L2621" i="62"/>
  <c r="I2622" i="62"/>
  <c r="J2622" i="62"/>
  <c r="L2622" i="62"/>
  <c r="I2623" i="62"/>
  <c r="J2623" i="62"/>
  <c r="L2623" i="62"/>
  <c r="I2624" i="62"/>
  <c r="J2624" i="62"/>
  <c r="L2624" i="62"/>
  <c r="I2625" i="62"/>
  <c r="J2625" i="62"/>
  <c r="L2625" i="62"/>
  <c r="E2626" i="62"/>
  <c r="I2626" i="62"/>
  <c r="J2626" i="62"/>
  <c r="L2626" i="62"/>
  <c r="I2627" i="62"/>
  <c r="J2627" i="62"/>
  <c r="L2627" i="62"/>
  <c r="I2628" i="62"/>
  <c r="J2628" i="62"/>
  <c r="L2628" i="62"/>
  <c r="I2629" i="62"/>
  <c r="J2629" i="62"/>
  <c r="L2629" i="62"/>
  <c r="I2630" i="62"/>
  <c r="J2630" i="62"/>
  <c r="L2630" i="62"/>
  <c r="I2631" i="62"/>
  <c r="J2631" i="62"/>
  <c r="L2631" i="62"/>
  <c r="I2632" i="62"/>
  <c r="J2632" i="62"/>
  <c r="L2632" i="62"/>
  <c r="I2633" i="62"/>
  <c r="J2633" i="62"/>
  <c r="L2633" i="62"/>
  <c r="I2634" i="62"/>
  <c r="J2634" i="62"/>
  <c r="L2634" i="62"/>
  <c r="I2635" i="62"/>
  <c r="J2635" i="62"/>
  <c r="L2635" i="62"/>
  <c r="E2636" i="62"/>
  <c r="I2636" i="62"/>
  <c r="J2636" i="62"/>
  <c r="L2636" i="62"/>
  <c r="I2637" i="62"/>
  <c r="J2637" i="62"/>
  <c r="L2637" i="62"/>
  <c r="I2638" i="62"/>
  <c r="J2638" i="62"/>
  <c r="L2638" i="62"/>
  <c r="I2639" i="62"/>
  <c r="J2639" i="62"/>
  <c r="L2639" i="62"/>
  <c r="I2640" i="62"/>
  <c r="J2640" i="62"/>
  <c r="L2640" i="62"/>
  <c r="E2641" i="62"/>
  <c r="I2641" i="62"/>
  <c r="J2641" i="62"/>
  <c r="L2641" i="62"/>
  <c r="E2642" i="62"/>
  <c r="I2642" i="62"/>
  <c r="J2642" i="62"/>
  <c r="L2642" i="62"/>
  <c r="E2643" i="62"/>
  <c r="I2643" i="62"/>
  <c r="J2643" i="62"/>
  <c r="L2643" i="62"/>
  <c r="E2644" i="62"/>
  <c r="I2644" i="62"/>
  <c r="J2644" i="62"/>
  <c r="L2644" i="62"/>
  <c r="E2645" i="62"/>
  <c r="I2645" i="62"/>
  <c r="J2645" i="62"/>
  <c r="L2645" i="62"/>
  <c r="I2646" i="62"/>
  <c r="J2646" i="62"/>
  <c r="L2646" i="62"/>
  <c r="I2647" i="62"/>
  <c r="J2647" i="62"/>
  <c r="L2647" i="62"/>
  <c r="I2648" i="62"/>
  <c r="J2648" i="62"/>
  <c r="L2648" i="62"/>
  <c r="I2649" i="62"/>
  <c r="J2649" i="62"/>
  <c r="L2649" i="62"/>
  <c r="I2650" i="62"/>
  <c r="J2650" i="62"/>
  <c r="L2650" i="62"/>
  <c r="I2651" i="62"/>
  <c r="J2651" i="62"/>
  <c r="L2651" i="62"/>
  <c r="I2652" i="62"/>
  <c r="J2652" i="62"/>
  <c r="L2652" i="62"/>
  <c r="I2653" i="62"/>
  <c r="J2653" i="62"/>
  <c r="L2653" i="62"/>
  <c r="I2654" i="62"/>
  <c r="J2654" i="62"/>
  <c r="L2654" i="62"/>
  <c r="I2655" i="62"/>
  <c r="J2655" i="62"/>
  <c r="L2655" i="62"/>
  <c r="I2656" i="62"/>
  <c r="J2656" i="62"/>
  <c r="L2656" i="62"/>
  <c r="I2657" i="62"/>
  <c r="J2657" i="62"/>
  <c r="L2657" i="62"/>
  <c r="E2658" i="62"/>
  <c r="I2658" i="62"/>
  <c r="J2658" i="62"/>
  <c r="L2658" i="62"/>
  <c r="I2659" i="62"/>
  <c r="J2659" i="62"/>
  <c r="L2659" i="62"/>
  <c r="I2660" i="62"/>
  <c r="J2660" i="62"/>
  <c r="L2660" i="62"/>
  <c r="I2661" i="62"/>
  <c r="J2661" i="62"/>
  <c r="L2661" i="62"/>
  <c r="I2662" i="62"/>
  <c r="J2662" i="62"/>
  <c r="L2662" i="62"/>
  <c r="I2663" i="62"/>
  <c r="J2663" i="62"/>
  <c r="L2663" i="62"/>
  <c r="I2664" i="62"/>
  <c r="J2664" i="62"/>
  <c r="L2664" i="62"/>
  <c r="I2665" i="62"/>
  <c r="J2665" i="62"/>
  <c r="L2665" i="62"/>
  <c r="I2666" i="62"/>
  <c r="J2666" i="62"/>
  <c r="L2666" i="62"/>
  <c r="I2667" i="62"/>
  <c r="J2667" i="62"/>
  <c r="L2667" i="62"/>
  <c r="I2668" i="62"/>
  <c r="J2668" i="62"/>
  <c r="L2668" i="62"/>
  <c r="I2669" i="62"/>
  <c r="J2669" i="62"/>
  <c r="L2669" i="62"/>
  <c r="I2670" i="62"/>
  <c r="J2670" i="62"/>
  <c r="L2670" i="62"/>
  <c r="I2671" i="62"/>
  <c r="J2671" i="62"/>
  <c r="L2671" i="62"/>
  <c r="I2672" i="62"/>
  <c r="J2672" i="62"/>
  <c r="L2672" i="62"/>
  <c r="I2673" i="62"/>
  <c r="J2673" i="62"/>
  <c r="L2673" i="62"/>
  <c r="I2674" i="62"/>
  <c r="J2674" i="62"/>
  <c r="L2674" i="62"/>
  <c r="I2675" i="62"/>
  <c r="J2675" i="62"/>
  <c r="L2675" i="62"/>
  <c r="I2676" i="62"/>
  <c r="J2676" i="62"/>
  <c r="L2676" i="62"/>
  <c r="I2677" i="62"/>
  <c r="J2677" i="62"/>
  <c r="L2677" i="62"/>
  <c r="I2678" i="62"/>
  <c r="J2678" i="62"/>
  <c r="L2678" i="62"/>
  <c r="I2679" i="62"/>
  <c r="J2679" i="62"/>
  <c r="L2679" i="62"/>
  <c r="I2680" i="62"/>
  <c r="J2680" i="62"/>
  <c r="L2680" i="62"/>
  <c r="I2681" i="62"/>
  <c r="J2681" i="62"/>
  <c r="L2681" i="62"/>
  <c r="I2682" i="62"/>
  <c r="J2682" i="62"/>
  <c r="L2682" i="62"/>
  <c r="I2683" i="62"/>
  <c r="J2683" i="62"/>
  <c r="L2683" i="62"/>
  <c r="I2684" i="62"/>
  <c r="J2684" i="62"/>
  <c r="L2684" i="62"/>
  <c r="I2685" i="62"/>
  <c r="J2685" i="62"/>
  <c r="L2685" i="62"/>
  <c r="I2686" i="62"/>
  <c r="J2686" i="62"/>
  <c r="L2686" i="62"/>
  <c r="I2687" i="62"/>
  <c r="J2687" i="62"/>
  <c r="L2687" i="62"/>
  <c r="I2688" i="62"/>
  <c r="J2688" i="62"/>
  <c r="L2688" i="62"/>
  <c r="I2689" i="62"/>
  <c r="J2689" i="62"/>
  <c r="L2689" i="62"/>
  <c r="I2690" i="62"/>
  <c r="J2690" i="62"/>
  <c r="L2690" i="62"/>
  <c r="I2691" i="62"/>
  <c r="J2691" i="62"/>
  <c r="L2691" i="62"/>
  <c r="I2692" i="62"/>
  <c r="J2692" i="62"/>
  <c r="L2692" i="62"/>
  <c r="I2693" i="62"/>
  <c r="J2693" i="62"/>
  <c r="L2693" i="62"/>
  <c r="I2694" i="62"/>
  <c r="J2694" i="62"/>
  <c r="L2694" i="62"/>
  <c r="I2695" i="62"/>
  <c r="J2695" i="62"/>
  <c r="L2695" i="62"/>
  <c r="I2696" i="62"/>
  <c r="J2696" i="62"/>
  <c r="L2696" i="62"/>
  <c r="I2697" i="62"/>
  <c r="J2697" i="62"/>
  <c r="L2697" i="62"/>
  <c r="I2698" i="62"/>
  <c r="J2698" i="62"/>
  <c r="L2698" i="62"/>
  <c r="I2699" i="62"/>
  <c r="J2699" i="62"/>
  <c r="L2699" i="62"/>
  <c r="I2700" i="62"/>
  <c r="J2700" i="62"/>
  <c r="L2700" i="62"/>
  <c r="I2701" i="62"/>
  <c r="J2701" i="62"/>
  <c r="L2701" i="62"/>
  <c r="I2702" i="62"/>
  <c r="J2702" i="62"/>
  <c r="L2702" i="62"/>
  <c r="I2703" i="62"/>
  <c r="J2703" i="62"/>
  <c r="L2703" i="62"/>
  <c r="I2704" i="62"/>
  <c r="J2704" i="62"/>
  <c r="L2704" i="62"/>
  <c r="I2705" i="62"/>
  <c r="J2705" i="62"/>
  <c r="L2705" i="62"/>
  <c r="I2706" i="62"/>
  <c r="J2706" i="62"/>
  <c r="L2706" i="62"/>
  <c r="I2707" i="62"/>
  <c r="J2707" i="62"/>
  <c r="L2707" i="62"/>
  <c r="I2708" i="62"/>
  <c r="J2708" i="62"/>
  <c r="L2708" i="62"/>
  <c r="I2709" i="62"/>
  <c r="J2709" i="62"/>
  <c r="L2709" i="62"/>
  <c r="I2710" i="62"/>
  <c r="J2710" i="62"/>
  <c r="L2710" i="62"/>
  <c r="I2711" i="62"/>
  <c r="J2711" i="62"/>
  <c r="L2711" i="62"/>
  <c r="I2712" i="62"/>
  <c r="J2712" i="62"/>
  <c r="L2712" i="62"/>
  <c r="I2713" i="62"/>
  <c r="J2713" i="62"/>
  <c r="L2713" i="62"/>
  <c r="I2714" i="62"/>
  <c r="J2714" i="62"/>
  <c r="L2714" i="62"/>
  <c r="I2715" i="62"/>
  <c r="J2715" i="62"/>
  <c r="L2715" i="62"/>
  <c r="I2716" i="62"/>
  <c r="J2716" i="62"/>
  <c r="L2716" i="62"/>
  <c r="I2717" i="62"/>
  <c r="J2717" i="62"/>
  <c r="L2717" i="62"/>
  <c r="I2718" i="62"/>
  <c r="J2718" i="62"/>
  <c r="L2718" i="62"/>
  <c r="I2719" i="62"/>
  <c r="J2719" i="62"/>
  <c r="L2719" i="62"/>
  <c r="I2720" i="62"/>
  <c r="J2720" i="62"/>
  <c r="L2720" i="62"/>
  <c r="I2721" i="62"/>
  <c r="J2721" i="62"/>
  <c r="L2721" i="62"/>
  <c r="I2722" i="62"/>
  <c r="J2722" i="62"/>
  <c r="L2722" i="62"/>
  <c r="I2723" i="62"/>
  <c r="J2723" i="62"/>
  <c r="L2723" i="62"/>
  <c r="I2724" i="62"/>
  <c r="J2724" i="62"/>
  <c r="L2724" i="62"/>
  <c r="I2725" i="62"/>
  <c r="J2725" i="62"/>
  <c r="L2725" i="62"/>
  <c r="I2726" i="62"/>
  <c r="J2726" i="62"/>
  <c r="L2726" i="62"/>
  <c r="I2727" i="62"/>
  <c r="J2727" i="62"/>
  <c r="L2727" i="62"/>
  <c r="I2728" i="62"/>
  <c r="J2728" i="62"/>
  <c r="L2728" i="62"/>
  <c r="E2729" i="62"/>
  <c r="I2729" i="62"/>
  <c r="J2729" i="62"/>
  <c r="L2729" i="62"/>
  <c r="E2730" i="62"/>
  <c r="I2730" i="62"/>
  <c r="J2730" i="62"/>
  <c r="L2730" i="62"/>
  <c r="J2731" i="62"/>
  <c r="L2731" i="62"/>
  <c r="I2732" i="62"/>
  <c r="J2732" i="62"/>
  <c r="L2732" i="62"/>
  <c r="I2733" i="62"/>
  <c r="J2733" i="62"/>
  <c r="L2733" i="62"/>
  <c r="I2734" i="62"/>
  <c r="J2734" i="62"/>
  <c r="L2734" i="62"/>
  <c r="I2735" i="62"/>
  <c r="J2735" i="62"/>
  <c r="L2735" i="62"/>
  <c r="I2736" i="62"/>
  <c r="J2736" i="62"/>
  <c r="L2736" i="62"/>
  <c r="I2737" i="62"/>
  <c r="J2737" i="62"/>
  <c r="L2737" i="62"/>
  <c r="I2738" i="62"/>
  <c r="J2738" i="62"/>
  <c r="L2738" i="62"/>
  <c r="I2739" i="62"/>
  <c r="J2739" i="62"/>
  <c r="L2739" i="62"/>
  <c r="I2740" i="62"/>
  <c r="J2740" i="62"/>
  <c r="L2740" i="62"/>
  <c r="I2741" i="62"/>
  <c r="J2741" i="62"/>
  <c r="L2741" i="62"/>
  <c r="I2742" i="62"/>
  <c r="J2742" i="62"/>
  <c r="L2742" i="62"/>
  <c r="I2743" i="62"/>
  <c r="J2743" i="62"/>
  <c r="L2743" i="62"/>
  <c r="I2744" i="62"/>
  <c r="J2744" i="62"/>
  <c r="L2744" i="62"/>
  <c r="I2745" i="62"/>
  <c r="J2745" i="62"/>
  <c r="L2745" i="62"/>
  <c r="E2746" i="62"/>
  <c r="I2746" i="62"/>
  <c r="J2746" i="62"/>
  <c r="L2746" i="62"/>
  <c r="E2747" i="62"/>
  <c r="I2747" i="62"/>
  <c r="J2747" i="62"/>
  <c r="L2747" i="62"/>
  <c r="I2748" i="62"/>
  <c r="J2748" i="62"/>
  <c r="L2748" i="62"/>
  <c r="I2749" i="62"/>
  <c r="J2749" i="62"/>
  <c r="L2749" i="62"/>
  <c r="E2750" i="62"/>
  <c r="I2750" i="62"/>
  <c r="J2750" i="62"/>
  <c r="L2750" i="62"/>
  <c r="I2751" i="62"/>
  <c r="J2751" i="62"/>
  <c r="L2751" i="62"/>
  <c r="E2752" i="62"/>
  <c r="I2752" i="62"/>
  <c r="J2752" i="62"/>
  <c r="L2752" i="62"/>
  <c r="I2753" i="62"/>
  <c r="J2753" i="62"/>
  <c r="L2753" i="62"/>
  <c r="I2754" i="62"/>
  <c r="J2754" i="62"/>
  <c r="L2754" i="62"/>
  <c r="I2755" i="62"/>
  <c r="J2755" i="62"/>
  <c r="L2755" i="62"/>
  <c r="I2756" i="62"/>
  <c r="J2756" i="62"/>
  <c r="L2756" i="62"/>
  <c r="I2757" i="62"/>
  <c r="J2757" i="62"/>
  <c r="L2757" i="62"/>
  <c r="J2758" i="62"/>
  <c r="L2758" i="62"/>
  <c r="I2759" i="62"/>
  <c r="J2759" i="62"/>
  <c r="L2759" i="62"/>
  <c r="I2760" i="62"/>
  <c r="J2760" i="62"/>
  <c r="L2760" i="62"/>
  <c r="I2761" i="62"/>
  <c r="J2761" i="62"/>
  <c r="L2761" i="62"/>
  <c r="I2762" i="62"/>
  <c r="J2762" i="62"/>
  <c r="L2762" i="62"/>
  <c r="E2763" i="62"/>
  <c r="I2763" i="62"/>
  <c r="J2763" i="62"/>
  <c r="L2763" i="62"/>
  <c r="E2764" i="62"/>
  <c r="I2764" i="62"/>
  <c r="J2764" i="62"/>
  <c r="L2764" i="62"/>
  <c r="E2765" i="62"/>
  <c r="I2765" i="62"/>
  <c r="J2765" i="62"/>
  <c r="L2765" i="62"/>
  <c r="E2766" i="62"/>
  <c r="I2766" i="62"/>
  <c r="J2766" i="62"/>
  <c r="L2766" i="62"/>
  <c r="I2767" i="62"/>
  <c r="J2767" i="62"/>
  <c r="L2767" i="62"/>
  <c r="I2768" i="62"/>
  <c r="J2768" i="62"/>
  <c r="L2768" i="62"/>
  <c r="I2769" i="62"/>
  <c r="J2769" i="62"/>
  <c r="L2769" i="62"/>
  <c r="E2770" i="62"/>
  <c r="I2770" i="62"/>
  <c r="J2770" i="62"/>
  <c r="L2770" i="62"/>
  <c r="I2771" i="62"/>
  <c r="J2771" i="62"/>
  <c r="L2771" i="62"/>
  <c r="I2772" i="62"/>
  <c r="J2772" i="62"/>
  <c r="L2772" i="62"/>
  <c r="E2773" i="62"/>
  <c r="I2773" i="62"/>
  <c r="J2773" i="62"/>
  <c r="L2773" i="62"/>
  <c r="I2774" i="62"/>
  <c r="J2774" i="62"/>
  <c r="L2774" i="62"/>
  <c r="E2775" i="62"/>
  <c r="I2775" i="62"/>
  <c r="J2775" i="62"/>
  <c r="L2775" i="62"/>
  <c r="E2776" i="62"/>
  <c r="I2776" i="62"/>
  <c r="J2776" i="62"/>
  <c r="L2776" i="62"/>
  <c r="I2777" i="62"/>
  <c r="J2777" i="62"/>
  <c r="L2777" i="62"/>
  <c r="E2778" i="62"/>
  <c r="I2778" i="62"/>
  <c r="J2778" i="62"/>
  <c r="L2778" i="62"/>
  <c r="E2779" i="62"/>
  <c r="I2779" i="62"/>
  <c r="J2779" i="62"/>
  <c r="L2779" i="62"/>
  <c r="E2780" i="62"/>
  <c r="I2780" i="62"/>
  <c r="J2780" i="62"/>
  <c r="L2780" i="62"/>
  <c r="I2781" i="62"/>
  <c r="J2781" i="62"/>
  <c r="L2781" i="62"/>
  <c r="E2782" i="62"/>
  <c r="I2782" i="62"/>
  <c r="J2782" i="62"/>
  <c r="L2782" i="62"/>
  <c r="I2783" i="62"/>
  <c r="J2783" i="62"/>
  <c r="L2783" i="62"/>
  <c r="I2784" i="62"/>
  <c r="J2784" i="62"/>
  <c r="L2784" i="62"/>
  <c r="I2785" i="62"/>
  <c r="J2785" i="62"/>
  <c r="L2785" i="62"/>
  <c r="I2786" i="62"/>
  <c r="J2786" i="62"/>
  <c r="L2786" i="62"/>
  <c r="I2787" i="62"/>
  <c r="J2787" i="62"/>
  <c r="L2787" i="62"/>
  <c r="I2788" i="62"/>
  <c r="J2788" i="62"/>
  <c r="L2788" i="62"/>
  <c r="I2789" i="62"/>
  <c r="J2789" i="62"/>
  <c r="L2789" i="62"/>
  <c r="I2790" i="62"/>
  <c r="J2790" i="62"/>
  <c r="L2790" i="62"/>
  <c r="I2791" i="62"/>
  <c r="J2791" i="62"/>
  <c r="L2791" i="62"/>
  <c r="E2792" i="62"/>
  <c r="I2792" i="62"/>
  <c r="J2792" i="62"/>
  <c r="L2792" i="62"/>
  <c r="E2793" i="62"/>
  <c r="I2793" i="62"/>
  <c r="J2793" i="62"/>
  <c r="L2793" i="62"/>
  <c r="I2794" i="62"/>
  <c r="J2794" i="62"/>
  <c r="L2794" i="62"/>
  <c r="I2795" i="62"/>
  <c r="J2795" i="62"/>
  <c r="L2795" i="62"/>
  <c r="I2796" i="62"/>
  <c r="J2796" i="62"/>
  <c r="L2796" i="62"/>
  <c r="I2797" i="62"/>
  <c r="J2797" i="62"/>
  <c r="L2797" i="62"/>
  <c r="I2798" i="62"/>
  <c r="J2798" i="62"/>
  <c r="L2798" i="62"/>
  <c r="E2799" i="62"/>
  <c r="I2799" i="62"/>
  <c r="J2799" i="62"/>
  <c r="L2799" i="62"/>
  <c r="I2800" i="62"/>
  <c r="J2800" i="62"/>
  <c r="K2800" i="62"/>
  <c r="L2800" i="62"/>
  <c r="I2801" i="62"/>
  <c r="J2801" i="62"/>
  <c r="K2801" i="62"/>
  <c r="L2801" i="62"/>
  <c r="I2802" i="62"/>
  <c r="J2802" i="62"/>
  <c r="K2802" i="62"/>
  <c r="L2802" i="62"/>
  <c r="I2803" i="62"/>
  <c r="J2803" i="62"/>
  <c r="L2803" i="62"/>
  <c r="I2804" i="62"/>
  <c r="J2804" i="62"/>
  <c r="L2804" i="62"/>
  <c r="I2805" i="62"/>
  <c r="J2805" i="62"/>
  <c r="L2805" i="62"/>
  <c r="I2806" i="62"/>
  <c r="J2806" i="62"/>
  <c r="L2806" i="62"/>
  <c r="I2807" i="62"/>
  <c r="J2807" i="62"/>
  <c r="L2807" i="62"/>
  <c r="I2808" i="62"/>
  <c r="J2808" i="62"/>
  <c r="L2808" i="62"/>
  <c r="I2809" i="62"/>
  <c r="J2809" i="62"/>
  <c r="L2809" i="62"/>
  <c r="I2810" i="62"/>
  <c r="J2810" i="62"/>
  <c r="L2810" i="62"/>
  <c r="I2811" i="62"/>
  <c r="J2811" i="62"/>
  <c r="L2811" i="62"/>
  <c r="I2812" i="62"/>
  <c r="J2812" i="62"/>
  <c r="L2812" i="62"/>
  <c r="E2813" i="62"/>
  <c r="I2813" i="62"/>
  <c r="J2813" i="62"/>
  <c r="L2813" i="62"/>
  <c r="E2814" i="62"/>
  <c r="I2814" i="62"/>
  <c r="J2814" i="62"/>
  <c r="L2814" i="62"/>
  <c r="E2815" i="62"/>
  <c r="I2815" i="62"/>
  <c r="J2815" i="62"/>
  <c r="L2815" i="62"/>
  <c r="E2816" i="62"/>
  <c r="I2816" i="62"/>
  <c r="J2816" i="62"/>
  <c r="L2816" i="62"/>
  <c r="E2817" i="62"/>
  <c r="I2817" i="62"/>
  <c r="J2817" i="62"/>
  <c r="L2817" i="62"/>
  <c r="I2818" i="62"/>
  <c r="J2818" i="62"/>
  <c r="L2818" i="62"/>
  <c r="I2819" i="62"/>
  <c r="J2819" i="62"/>
  <c r="L2819" i="62"/>
  <c r="I2820" i="62"/>
  <c r="J2820" i="62"/>
  <c r="L2820" i="62"/>
  <c r="E2821" i="62"/>
  <c r="I2821" i="62"/>
  <c r="J2821" i="62"/>
  <c r="L2821" i="62"/>
  <c r="E2822" i="62"/>
  <c r="I2822" i="62"/>
  <c r="J2822" i="62"/>
  <c r="L2822" i="62"/>
  <c r="E2823" i="62"/>
  <c r="I2823" i="62"/>
  <c r="J2823" i="62"/>
  <c r="L2823" i="62"/>
  <c r="I2824" i="62"/>
  <c r="J2824" i="62"/>
  <c r="L2824" i="62"/>
  <c r="I2825" i="62"/>
  <c r="J2825" i="62"/>
  <c r="L2825" i="62"/>
  <c r="E2826" i="62"/>
  <c r="I2826" i="62"/>
  <c r="J2826" i="62"/>
  <c r="L2826" i="62"/>
  <c r="I2827" i="62"/>
  <c r="J2827" i="62"/>
  <c r="L2827" i="62"/>
  <c r="E2828" i="62"/>
  <c r="I2828" i="62"/>
  <c r="J2828" i="62"/>
  <c r="L2828" i="62"/>
  <c r="I2829" i="62"/>
  <c r="J2829" i="62"/>
  <c r="L2829" i="62"/>
  <c r="I2830" i="62"/>
  <c r="J2830" i="62"/>
  <c r="L2830" i="62"/>
  <c r="I2831" i="62"/>
  <c r="J2831" i="62"/>
  <c r="L2831" i="62"/>
  <c r="I2832" i="62"/>
  <c r="J2832" i="62"/>
  <c r="L2832" i="62"/>
  <c r="E2833" i="62"/>
  <c r="I2833" i="62"/>
  <c r="J2833" i="62"/>
  <c r="L2833" i="62"/>
  <c r="I2834" i="62"/>
  <c r="J2834" i="62"/>
  <c r="L2834" i="62"/>
  <c r="I2835" i="62"/>
  <c r="J2835" i="62"/>
  <c r="L2835" i="62"/>
  <c r="I2836" i="62"/>
  <c r="J2836" i="62"/>
  <c r="L2836" i="62"/>
  <c r="E2837" i="62"/>
  <c r="I2837" i="62"/>
  <c r="J2837" i="62"/>
  <c r="L2837" i="62"/>
  <c r="E2838" i="62"/>
  <c r="I2838" i="62"/>
  <c r="J2838" i="62"/>
  <c r="L2838" i="62"/>
  <c r="E2839" i="62"/>
  <c r="I2839" i="62"/>
  <c r="J2839" i="62"/>
  <c r="L2839" i="62"/>
  <c r="E2840" i="62"/>
  <c r="I2840" i="62"/>
  <c r="J2840" i="62"/>
  <c r="L2840" i="62"/>
  <c r="E2841" i="62"/>
  <c r="I2841" i="62"/>
  <c r="J2841" i="62"/>
  <c r="L2841" i="62"/>
  <c r="E2842" i="62"/>
  <c r="I2842" i="62"/>
  <c r="J2842" i="62"/>
  <c r="L2842" i="62"/>
  <c r="E2843" i="62"/>
  <c r="I2843" i="62"/>
  <c r="J2843" i="62"/>
  <c r="L2843" i="62"/>
  <c r="E2844" i="62"/>
  <c r="I2844" i="62"/>
  <c r="J2844" i="62"/>
  <c r="L2844" i="62"/>
  <c r="E2845" i="62"/>
  <c r="I2845" i="62"/>
  <c r="J2845" i="62"/>
  <c r="L2845" i="62"/>
  <c r="E2846" i="62"/>
  <c r="I2846" i="62"/>
  <c r="J2846" i="62"/>
  <c r="L2846" i="62"/>
  <c r="E2847" i="62"/>
  <c r="I2847" i="62"/>
  <c r="J2847" i="62"/>
  <c r="L2847" i="62"/>
  <c r="E2848" i="62"/>
  <c r="I2848" i="62"/>
  <c r="J2848" i="62"/>
  <c r="L2848" i="62"/>
  <c r="I2849" i="62"/>
  <c r="J2849" i="62"/>
  <c r="L2849" i="62"/>
  <c r="I2850" i="62"/>
  <c r="J2850" i="62"/>
  <c r="L2850" i="62"/>
  <c r="I2851" i="62"/>
  <c r="J2851" i="62"/>
  <c r="L2851" i="62"/>
  <c r="I2852" i="62"/>
  <c r="J2852" i="62"/>
  <c r="L2852" i="62"/>
  <c r="I2853" i="62"/>
  <c r="J2853" i="62"/>
  <c r="L2853" i="62"/>
  <c r="I2854" i="62"/>
  <c r="J2854" i="62"/>
  <c r="L2854" i="62"/>
  <c r="I2855" i="62"/>
  <c r="J2855" i="62"/>
  <c r="L2855" i="62"/>
  <c r="I2856" i="62"/>
  <c r="J2856" i="62"/>
  <c r="L2856" i="62"/>
  <c r="I2857" i="62"/>
  <c r="J2857" i="62"/>
  <c r="L2857" i="62"/>
  <c r="I2858" i="62"/>
  <c r="J2858" i="62"/>
  <c r="L2858" i="62"/>
  <c r="I2859" i="62"/>
  <c r="J2859" i="62"/>
  <c r="L2859" i="62"/>
  <c r="I2860" i="62"/>
  <c r="J2860" i="62"/>
  <c r="L2860" i="62"/>
  <c r="I2861" i="62"/>
  <c r="J2861" i="62"/>
  <c r="L2861" i="62"/>
  <c r="I2862" i="62"/>
  <c r="J2862" i="62"/>
  <c r="L2862" i="62"/>
  <c r="I2863" i="62"/>
  <c r="J2863" i="62"/>
  <c r="L2863" i="62"/>
  <c r="I2864" i="62"/>
  <c r="J2864" i="62"/>
  <c r="L2864" i="62"/>
  <c r="I2865" i="62"/>
  <c r="J2865" i="62"/>
  <c r="L2865" i="62"/>
  <c r="I2866" i="62"/>
  <c r="J2866" i="62"/>
  <c r="L2866" i="62"/>
  <c r="I2867" i="62"/>
  <c r="J2867" i="62"/>
  <c r="L2867" i="62"/>
  <c r="I2868" i="62"/>
  <c r="J2868" i="62"/>
  <c r="L2868" i="62"/>
  <c r="I2869" i="62"/>
  <c r="J2869" i="62"/>
  <c r="L2869" i="62"/>
  <c r="I2870" i="62"/>
  <c r="J2870" i="62"/>
  <c r="L2870" i="62"/>
  <c r="I2871" i="62"/>
  <c r="J2871" i="62"/>
  <c r="L2871" i="62"/>
  <c r="E2872" i="62"/>
  <c r="I2872" i="62"/>
  <c r="J2872" i="62"/>
  <c r="L2872" i="62"/>
  <c r="I2873" i="62"/>
  <c r="J2873" i="62"/>
  <c r="L2873" i="62"/>
  <c r="I2874" i="62"/>
  <c r="J2874" i="62"/>
  <c r="L2874" i="62"/>
  <c r="E2875" i="62"/>
  <c r="I2875" i="62"/>
  <c r="J2875" i="62"/>
  <c r="L2875" i="62"/>
  <c r="E2876" i="62"/>
  <c r="I2876" i="62"/>
  <c r="J2876" i="62"/>
  <c r="L2876" i="62"/>
  <c r="E2877" i="62"/>
  <c r="I2877" i="62"/>
  <c r="J2877" i="62"/>
  <c r="L2877" i="62"/>
  <c r="E2878" i="62"/>
  <c r="I2878" i="62"/>
  <c r="J2878" i="62"/>
  <c r="L2878" i="62"/>
  <c r="E2879" i="62"/>
  <c r="I2879" i="62"/>
  <c r="J2879" i="62"/>
  <c r="L2879" i="62"/>
  <c r="E2880" i="62"/>
  <c r="I2880" i="62"/>
  <c r="J2880" i="62"/>
  <c r="L2880" i="62"/>
  <c r="I2881" i="62"/>
  <c r="J2881" i="62"/>
  <c r="L2881" i="62"/>
  <c r="E2882" i="62"/>
  <c r="I2882" i="62"/>
  <c r="J2882" i="62"/>
  <c r="L2882" i="62"/>
  <c r="I2883" i="62"/>
  <c r="J2883" i="62"/>
  <c r="L2883" i="62"/>
  <c r="I2884" i="62"/>
  <c r="J2884" i="62"/>
  <c r="L2884" i="62"/>
  <c r="I2885" i="62"/>
  <c r="J2885" i="62"/>
  <c r="L2885" i="62"/>
  <c r="I2886" i="62"/>
  <c r="J2886" i="62"/>
  <c r="L2886" i="62"/>
  <c r="I2887" i="62"/>
  <c r="J2887" i="62"/>
  <c r="L2887" i="62"/>
  <c r="I2888" i="62"/>
  <c r="J2888" i="62"/>
  <c r="L2888" i="62"/>
  <c r="I2889" i="62"/>
  <c r="J2889" i="62"/>
  <c r="L2889" i="62"/>
  <c r="I2890" i="62"/>
  <c r="J2890" i="62"/>
  <c r="L2890" i="62"/>
  <c r="I2891" i="62"/>
  <c r="J2891" i="62"/>
  <c r="L2891" i="62"/>
  <c r="I2892" i="62"/>
  <c r="J2892" i="62"/>
  <c r="L2892" i="62"/>
  <c r="I2893" i="62"/>
  <c r="J2893" i="62"/>
  <c r="L2893" i="62"/>
  <c r="E2894" i="62"/>
  <c r="I2894" i="62"/>
  <c r="J2894" i="62"/>
  <c r="L2894" i="62"/>
  <c r="E2895" i="62"/>
  <c r="I2895" i="62"/>
  <c r="J2895" i="62"/>
  <c r="L2895" i="62"/>
  <c r="I2896" i="62"/>
  <c r="J2896" i="62"/>
  <c r="L2896" i="62"/>
  <c r="E2897" i="62"/>
  <c r="I2897" i="62"/>
  <c r="J2897" i="62"/>
  <c r="L2897" i="62"/>
  <c r="E2898" i="62"/>
  <c r="I2898" i="62"/>
  <c r="J2898" i="62"/>
  <c r="L2898" i="62"/>
  <c r="E2899" i="62"/>
  <c r="I2899" i="62"/>
  <c r="J2899" i="62"/>
  <c r="L2899" i="62"/>
  <c r="E2900" i="62"/>
  <c r="I2900" i="62"/>
  <c r="J2900" i="62"/>
  <c r="L2900" i="62"/>
  <c r="E2901" i="62"/>
  <c r="I2901" i="62"/>
  <c r="J2901" i="62"/>
  <c r="L2901" i="62"/>
  <c r="I2902" i="62"/>
  <c r="J2902" i="62"/>
  <c r="L2902" i="62"/>
  <c r="E2903" i="62"/>
  <c r="I2903" i="62"/>
  <c r="J2903" i="62"/>
  <c r="L2903" i="62"/>
  <c r="E2904" i="62"/>
  <c r="I2904" i="62"/>
  <c r="J2904" i="62"/>
  <c r="L2904" i="62"/>
  <c r="E2905" i="62"/>
  <c r="I2905" i="62"/>
  <c r="J2905" i="62"/>
  <c r="L2905" i="62"/>
  <c r="I2906" i="62"/>
  <c r="J2906" i="62"/>
  <c r="L2906" i="62"/>
  <c r="E2907" i="62"/>
  <c r="I2907" i="62"/>
  <c r="J2907" i="62"/>
  <c r="L2907" i="62"/>
  <c r="E2908" i="62"/>
  <c r="I2908" i="62"/>
  <c r="J2908" i="62"/>
  <c r="L2908" i="62"/>
  <c r="E2909" i="62"/>
  <c r="I2909" i="62"/>
  <c r="J2909" i="62"/>
  <c r="L2909" i="62"/>
  <c r="I2910" i="62"/>
  <c r="J2910" i="62"/>
  <c r="L2910" i="62"/>
  <c r="I2911" i="62"/>
  <c r="J2911" i="62"/>
  <c r="L2911" i="62"/>
  <c r="I2912" i="62"/>
  <c r="J2912" i="62"/>
  <c r="L2912" i="62"/>
  <c r="I2913" i="62"/>
  <c r="J2913" i="62"/>
  <c r="L2913" i="62"/>
  <c r="I2914" i="62"/>
  <c r="J2914" i="62"/>
  <c r="L2914" i="62"/>
  <c r="I2915" i="62"/>
  <c r="J2915" i="62"/>
  <c r="L2915" i="62"/>
  <c r="I2916" i="62"/>
  <c r="J2916" i="62"/>
  <c r="L2916" i="62"/>
  <c r="I2917" i="62"/>
  <c r="J2917" i="62"/>
  <c r="L2917" i="62"/>
  <c r="I2918" i="62"/>
  <c r="J2918" i="62"/>
  <c r="L2918" i="62"/>
  <c r="I2919" i="62"/>
  <c r="J2919" i="62"/>
  <c r="L2919" i="62"/>
  <c r="I2920" i="62"/>
  <c r="J2920" i="62"/>
  <c r="L2920" i="62"/>
  <c r="I2921" i="62"/>
  <c r="J2921" i="62"/>
  <c r="L2921" i="62"/>
  <c r="I2922" i="62"/>
  <c r="J2922" i="62"/>
  <c r="L2922" i="62"/>
  <c r="I2923" i="62"/>
  <c r="J2923" i="62"/>
  <c r="L2923" i="62"/>
  <c r="I2924" i="62"/>
  <c r="J2924" i="62"/>
  <c r="L2924" i="62"/>
  <c r="I2925" i="62"/>
  <c r="J2925" i="62"/>
  <c r="L2925" i="62"/>
  <c r="I2926" i="62"/>
  <c r="J2926" i="62"/>
  <c r="L2926" i="62"/>
  <c r="I2927" i="62"/>
  <c r="J2927" i="62"/>
  <c r="L2927" i="62"/>
  <c r="I2928" i="62"/>
  <c r="J2928" i="62"/>
  <c r="L2928" i="62"/>
  <c r="I2929" i="62"/>
  <c r="J2929" i="62"/>
  <c r="L2929" i="62"/>
  <c r="I2930" i="62"/>
  <c r="J2930" i="62"/>
  <c r="L2930" i="62"/>
  <c r="I2931" i="62"/>
  <c r="J2931" i="62"/>
  <c r="L2931" i="62"/>
  <c r="I2932" i="62"/>
  <c r="J2932" i="62"/>
  <c r="L2932" i="62"/>
  <c r="I2933" i="62"/>
  <c r="J2933" i="62"/>
  <c r="L2933" i="62"/>
  <c r="I2934" i="62"/>
  <c r="J2934" i="62"/>
  <c r="L2934" i="62"/>
  <c r="I2935" i="62"/>
  <c r="J2935" i="62"/>
  <c r="L2935" i="62"/>
  <c r="I2936" i="62"/>
  <c r="J2936" i="62"/>
  <c r="L2936" i="62"/>
  <c r="I2937" i="62"/>
  <c r="J2937" i="62"/>
  <c r="L2937" i="62"/>
  <c r="I2938" i="62"/>
  <c r="J2938" i="62"/>
  <c r="L2938" i="62"/>
  <c r="I2939" i="62"/>
  <c r="J2939" i="62"/>
  <c r="L2939" i="62"/>
  <c r="I2940" i="62"/>
  <c r="J2940" i="62"/>
  <c r="L2940" i="62"/>
  <c r="I2941" i="62"/>
  <c r="J2941" i="62"/>
  <c r="L2941" i="62"/>
  <c r="I2942" i="62"/>
  <c r="J2942" i="62"/>
  <c r="L2942" i="62"/>
  <c r="J2943" i="62"/>
  <c r="L2943" i="62"/>
  <c r="I2944" i="62"/>
  <c r="J2944" i="62"/>
  <c r="L2944" i="62"/>
  <c r="I2945" i="62"/>
  <c r="J2945" i="62"/>
  <c r="L2945" i="62"/>
  <c r="I2946" i="62"/>
  <c r="J2946" i="62"/>
  <c r="L2946" i="62"/>
  <c r="E2947" i="62"/>
  <c r="I2947" i="62"/>
  <c r="J2947" i="62"/>
  <c r="L2947" i="62"/>
  <c r="E2948" i="62"/>
  <c r="I2948" i="62"/>
  <c r="J2948" i="62"/>
  <c r="L2948" i="62"/>
  <c r="E2949" i="62"/>
  <c r="I2949" i="62"/>
  <c r="J2949" i="62"/>
  <c r="L2949" i="62"/>
  <c r="E2950" i="62"/>
  <c r="I2950" i="62"/>
  <c r="J2950" i="62"/>
  <c r="L2950" i="62"/>
  <c r="E2951" i="62"/>
  <c r="I2951" i="62"/>
  <c r="J2951" i="62"/>
  <c r="L2951" i="62"/>
  <c r="E2952" i="62"/>
  <c r="I2952" i="62"/>
  <c r="J2952" i="62"/>
  <c r="L2952" i="62"/>
  <c r="I2953" i="62"/>
  <c r="J2953" i="62"/>
  <c r="L2953" i="62"/>
  <c r="I2954" i="62"/>
  <c r="J2954" i="62"/>
  <c r="L2954" i="62"/>
  <c r="I2955" i="62"/>
  <c r="J2955" i="62"/>
  <c r="L2955" i="62"/>
  <c r="I2956" i="62"/>
  <c r="J2956" i="62"/>
  <c r="L2956" i="62"/>
  <c r="I2957" i="62"/>
  <c r="J2957" i="62"/>
  <c r="L2957" i="62"/>
  <c r="I2958" i="62"/>
  <c r="J2958" i="62"/>
  <c r="L2958" i="62"/>
  <c r="I2959" i="62"/>
  <c r="J2959" i="62"/>
  <c r="L2959" i="62"/>
  <c r="I2960" i="62"/>
  <c r="J2960" i="62"/>
  <c r="L2960" i="62"/>
  <c r="I2961" i="62"/>
  <c r="J2961" i="62"/>
  <c r="L2961" i="62"/>
  <c r="I2962" i="62"/>
  <c r="J2962" i="62"/>
  <c r="L2962" i="62"/>
  <c r="I2963" i="62"/>
  <c r="J2963" i="62"/>
  <c r="L2963" i="62"/>
  <c r="I2964" i="62"/>
  <c r="J2964" i="62"/>
  <c r="L2964" i="62"/>
  <c r="I2965" i="62"/>
  <c r="J2965" i="62"/>
  <c r="L2965" i="62"/>
  <c r="I2966" i="62"/>
  <c r="J2966" i="62"/>
  <c r="L2966" i="62"/>
  <c r="I2967" i="62"/>
  <c r="J2967" i="62"/>
  <c r="L2967" i="62"/>
  <c r="I2968" i="62"/>
  <c r="J2968" i="62"/>
  <c r="L2968" i="62"/>
  <c r="I2969" i="62"/>
  <c r="J2969" i="62"/>
  <c r="L2969" i="62"/>
  <c r="I2970" i="62"/>
  <c r="J2970" i="62"/>
  <c r="L2970" i="62"/>
  <c r="I2971" i="62"/>
  <c r="J2971" i="62"/>
  <c r="L2971" i="62"/>
  <c r="I2972" i="62"/>
  <c r="J2972" i="62"/>
  <c r="L2972" i="62"/>
  <c r="I2973" i="62"/>
  <c r="J2973" i="62"/>
  <c r="L2973" i="62"/>
  <c r="I2974" i="62"/>
  <c r="J2974" i="62"/>
  <c r="L2974" i="62"/>
  <c r="I2975" i="62"/>
  <c r="J2975" i="62"/>
  <c r="L2975" i="62"/>
  <c r="I2976" i="62"/>
  <c r="J2976" i="62"/>
  <c r="L2976" i="62"/>
  <c r="I2977" i="62"/>
  <c r="J2977" i="62"/>
  <c r="L2977" i="62"/>
  <c r="I2978" i="62"/>
  <c r="J2978" i="62"/>
  <c r="L2978" i="62"/>
  <c r="I2979" i="62"/>
  <c r="J2979" i="62"/>
  <c r="L2979" i="62"/>
  <c r="I2980" i="62"/>
  <c r="J2980" i="62"/>
  <c r="L2980" i="62"/>
  <c r="I2981" i="62"/>
  <c r="J2981" i="62"/>
  <c r="L2981" i="62"/>
  <c r="I2982" i="62"/>
  <c r="J2982" i="62"/>
  <c r="L2982" i="62"/>
  <c r="I2983" i="62"/>
  <c r="J2983" i="62"/>
  <c r="L2983" i="62"/>
  <c r="I2984" i="62"/>
  <c r="J2984" i="62"/>
  <c r="L2984" i="62"/>
  <c r="I2985" i="62"/>
  <c r="J2985" i="62"/>
  <c r="L2985" i="62"/>
  <c r="I2986" i="62"/>
  <c r="J2986" i="62"/>
  <c r="L2986" i="62"/>
  <c r="I2987" i="62"/>
  <c r="J2987" i="62"/>
  <c r="L2987" i="62"/>
  <c r="E2988" i="62"/>
  <c r="I2988" i="62"/>
  <c r="J2988" i="62"/>
  <c r="L2988" i="62"/>
  <c r="E2989" i="62"/>
  <c r="I2989" i="62"/>
  <c r="J2989" i="62"/>
  <c r="L2989" i="62"/>
  <c r="E2990" i="62"/>
  <c r="I2990" i="62"/>
  <c r="J2990" i="62"/>
  <c r="L2990" i="62"/>
  <c r="E2991" i="62"/>
  <c r="I2991" i="62"/>
  <c r="J2991" i="62"/>
  <c r="L2991" i="62"/>
  <c r="E2992" i="62"/>
  <c r="I2992" i="62"/>
  <c r="J2992" i="62"/>
  <c r="L2992" i="62"/>
  <c r="E2993" i="62"/>
  <c r="I2993" i="62"/>
  <c r="J2993" i="62"/>
  <c r="L2993" i="62"/>
  <c r="I2994" i="62"/>
  <c r="J2994" i="62"/>
  <c r="L2994" i="62"/>
  <c r="I2995" i="62"/>
  <c r="J2995" i="62"/>
  <c r="L2995" i="62"/>
  <c r="I2996" i="62"/>
  <c r="J2996" i="62"/>
  <c r="L2996" i="62"/>
  <c r="I2997" i="62"/>
  <c r="J2997" i="62"/>
  <c r="L2997" i="62"/>
  <c r="I2998" i="62"/>
  <c r="J2998" i="62"/>
  <c r="L2998" i="62"/>
  <c r="I2999" i="62"/>
  <c r="J2999" i="62"/>
  <c r="L2999" i="62"/>
  <c r="I3000" i="62"/>
  <c r="J3000" i="62"/>
  <c r="L3000" i="62"/>
  <c r="I3001" i="62"/>
  <c r="J3001" i="62"/>
  <c r="L3001" i="62"/>
  <c r="I3002" i="62"/>
  <c r="J3002" i="62"/>
  <c r="L3002" i="62"/>
  <c r="I3003" i="62"/>
  <c r="J3003" i="62"/>
  <c r="L3003" i="62"/>
  <c r="I3004" i="62"/>
  <c r="J3004" i="62"/>
  <c r="L3004" i="62"/>
  <c r="I3005" i="62"/>
  <c r="J3005" i="62"/>
  <c r="L3005" i="62"/>
  <c r="I3006" i="62"/>
  <c r="J3006" i="62"/>
  <c r="L3006" i="62"/>
  <c r="I3007" i="62"/>
  <c r="J3007" i="62"/>
  <c r="L3007" i="62"/>
  <c r="I3008" i="62"/>
  <c r="J3008" i="62"/>
  <c r="L3008" i="62"/>
  <c r="I3009" i="62"/>
  <c r="J3009" i="62"/>
  <c r="L3009" i="62"/>
  <c r="I3010" i="62"/>
  <c r="J3010" i="62"/>
  <c r="L3010" i="62"/>
  <c r="I3011" i="62"/>
  <c r="J3011" i="62"/>
  <c r="L3011" i="62"/>
  <c r="I3012" i="62"/>
  <c r="J3012" i="62"/>
  <c r="L3012" i="62"/>
  <c r="I3013" i="62"/>
  <c r="J3013" i="62"/>
  <c r="L3013" i="62"/>
  <c r="I3014" i="62"/>
  <c r="J3014" i="62"/>
  <c r="L3014" i="62"/>
  <c r="I3015" i="62"/>
  <c r="J3015" i="62"/>
  <c r="L3015" i="62"/>
  <c r="I3016" i="62"/>
  <c r="J3016" i="62"/>
  <c r="L3016" i="62"/>
  <c r="I3017" i="62"/>
  <c r="J3017" i="62"/>
  <c r="L3017" i="62"/>
  <c r="I3018" i="62"/>
  <c r="J3018" i="62"/>
  <c r="L3018" i="62"/>
  <c r="I3019" i="62"/>
  <c r="J3019" i="62"/>
  <c r="L3019" i="62"/>
  <c r="I3020" i="62"/>
  <c r="J3020" i="62"/>
  <c r="L3020" i="62"/>
  <c r="I3021" i="62"/>
  <c r="J3021" i="62"/>
  <c r="L3021" i="62"/>
  <c r="I3022" i="62"/>
  <c r="J3022" i="62"/>
  <c r="L3022" i="62"/>
  <c r="E3023" i="62"/>
  <c r="I3023" i="62"/>
  <c r="J3023" i="62"/>
  <c r="L3023" i="62"/>
  <c r="I3024" i="62"/>
  <c r="J3024" i="62"/>
  <c r="L3024" i="62"/>
  <c r="I3025" i="62"/>
  <c r="J3025" i="62"/>
  <c r="L3025" i="62"/>
  <c r="I3026" i="62"/>
  <c r="J3026" i="62"/>
  <c r="L3026" i="62"/>
  <c r="I3027" i="62"/>
  <c r="J3027" i="62"/>
  <c r="L3027" i="62"/>
  <c r="I3028" i="62"/>
  <c r="J3028" i="62"/>
  <c r="L3028" i="62"/>
  <c r="I3029" i="62"/>
  <c r="J3029" i="62"/>
  <c r="L3029" i="62"/>
  <c r="E3030" i="62"/>
  <c r="I3030" i="62"/>
  <c r="J3030" i="62"/>
  <c r="L3030" i="62"/>
  <c r="I3031" i="62"/>
  <c r="J3031" i="62"/>
  <c r="L3031" i="62"/>
  <c r="I3032" i="62"/>
  <c r="J3032" i="62"/>
  <c r="L3032" i="62"/>
  <c r="I3033" i="62"/>
  <c r="J3033" i="62"/>
  <c r="L3033" i="62"/>
  <c r="I3034" i="62"/>
  <c r="J3034" i="62"/>
  <c r="L3034" i="62"/>
  <c r="I3035" i="62"/>
  <c r="J3035" i="62"/>
  <c r="L3035" i="62"/>
  <c r="I3036" i="62"/>
  <c r="J3036" i="62"/>
  <c r="L3036" i="62"/>
  <c r="I3037" i="62"/>
  <c r="J3037" i="62"/>
  <c r="L3037" i="62"/>
  <c r="I3038" i="62"/>
  <c r="J3038" i="62"/>
  <c r="L3038" i="62"/>
  <c r="E3039" i="62"/>
  <c r="I3039" i="62"/>
  <c r="J3039" i="62"/>
  <c r="L3039" i="62"/>
  <c r="I3040" i="62"/>
  <c r="J3040" i="62"/>
  <c r="L3040" i="62"/>
  <c r="I3041" i="62"/>
  <c r="J3041" i="62"/>
  <c r="L3041" i="62"/>
  <c r="I3042" i="62"/>
  <c r="J3042" i="62"/>
  <c r="L3042" i="62"/>
  <c r="I3043" i="62"/>
  <c r="J3043" i="62"/>
  <c r="L3043" i="62"/>
  <c r="I3044" i="62"/>
  <c r="J3044" i="62"/>
  <c r="L3044" i="62"/>
  <c r="I3045" i="62"/>
  <c r="J3045" i="62"/>
  <c r="L3045" i="62"/>
  <c r="I3046" i="62"/>
  <c r="J3046" i="62"/>
  <c r="L3046" i="62"/>
  <c r="E3047" i="62"/>
  <c r="I3047" i="62"/>
  <c r="J3047" i="62"/>
  <c r="L3047" i="62"/>
  <c r="E3048" i="62"/>
  <c r="I3048" i="62"/>
  <c r="J3048" i="62"/>
  <c r="L3048" i="62"/>
  <c r="I3049" i="62"/>
  <c r="J3049" i="62"/>
  <c r="L3049" i="62"/>
  <c r="I3050" i="62"/>
  <c r="J3050" i="62"/>
  <c r="L3050" i="62"/>
  <c r="I3051" i="62"/>
  <c r="J3051" i="62"/>
  <c r="L3051" i="62"/>
  <c r="I3052" i="62"/>
  <c r="J3052" i="62"/>
  <c r="L3052" i="62"/>
  <c r="I3053" i="62"/>
  <c r="J3053" i="62"/>
  <c r="L3053" i="62"/>
  <c r="I3054" i="62"/>
  <c r="J3054" i="62"/>
  <c r="L3054" i="62"/>
  <c r="I3055" i="62"/>
  <c r="J3055" i="62"/>
  <c r="L3055" i="62"/>
  <c r="I3056" i="62"/>
  <c r="J3056" i="62"/>
  <c r="L3056" i="62"/>
  <c r="I3057" i="62"/>
  <c r="J3057" i="62"/>
  <c r="L3057" i="62"/>
  <c r="I3058" i="62"/>
  <c r="J3058" i="62"/>
  <c r="L3058" i="62"/>
  <c r="I3059" i="62"/>
  <c r="J3059" i="62"/>
  <c r="L3059" i="62"/>
  <c r="I3060" i="62"/>
  <c r="J3060" i="62"/>
  <c r="L3060" i="62"/>
  <c r="E3061" i="62"/>
  <c r="I3061" i="62"/>
  <c r="J3061" i="62"/>
  <c r="L3061" i="62"/>
  <c r="L3062" i="62"/>
  <c r="I3" i="61"/>
  <c r="J3" i="61"/>
  <c r="K3" i="61"/>
  <c r="L3" i="61"/>
  <c r="I4" i="61"/>
  <c r="J4" i="61"/>
  <c r="K4" i="61"/>
  <c r="L4" i="61"/>
  <c r="I5" i="61"/>
  <c r="J5" i="61"/>
  <c r="L5" i="61"/>
  <c r="I6" i="61"/>
  <c r="J6" i="61"/>
  <c r="L6" i="61"/>
  <c r="I7" i="61"/>
  <c r="J7" i="61"/>
  <c r="L7" i="61"/>
  <c r="I8" i="61"/>
  <c r="J8" i="61"/>
  <c r="L8" i="61"/>
  <c r="E9" i="61"/>
  <c r="I9" i="61"/>
  <c r="J9" i="61"/>
  <c r="L9" i="61"/>
  <c r="I10" i="61"/>
  <c r="J10" i="61"/>
  <c r="L10" i="61"/>
  <c r="I11" i="61"/>
  <c r="J11" i="61"/>
  <c r="L11" i="61"/>
  <c r="I12" i="61"/>
  <c r="J12" i="61"/>
  <c r="L12" i="61"/>
  <c r="I13" i="61"/>
  <c r="J13" i="61"/>
  <c r="L13" i="61"/>
  <c r="I14" i="61"/>
  <c r="J14" i="61"/>
  <c r="L14" i="61"/>
  <c r="I15" i="61"/>
  <c r="J15" i="61"/>
  <c r="L15" i="61"/>
  <c r="I16" i="61"/>
  <c r="J16" i="61"/>
  <c r="L16" i="61"/>
  <c r="I17" i="61"/>
  <c r="J17" i="61"/>
  <c r="L17" i="61"/>
  <c r="I18" i="61"/>
  <c r="J18" i="61"/>
  <c r="L18" i="61"/>
  <c r="I19" i="61"/>
  <c r="J19" i="61"/>
  <c r="L19" i="61"/>
  <c r="I20" i="61"/>
  <c r="J20" i="61"/>
  <c r="L20" i="61"/>
  <c r="I21" i="61"/>
  <c r="J21" i="61"/>
  <c r="L21" i="61"/>
  <c r="I22" i="61"/>
  <c r="J22" i="61"/>
  <c r="L22" i="61"/>
  <c r="I23" i="61"/>
  <c r="J23" i="61"/>
  <c r="L23" i="61"/>
  <c r="I24" i="61"/>
  <c r="J24" i="61"/>
  <c r="L24" i="61"/>
  <c r="I25" i="61"/>
  <c r="J25" i="61"/>
  <c r="L25" i="61"/>
  <c r="I26" i="61"/>
  <c r="J26" i="61"/>
  <c r="L26" i="61"/>
  <c r="I27" i="61"/>
  <c r="J27" i="61"/>
  <c r="L27" i="61"/>
  <c r="I28" i="61"/>
  <c r="J28" i="61"/>
  <c r="L28" i="61"/>
  <c r="I29" i="61"/>
  <c r="J29" i="61"/>
  <c r="L29" i="61"/>
  <c r="I30" i="61"/>
  <c r="J30" i="61"/>
  <c r="L30" i="61"/>
  <c r="I31" i="61"/>
  <c r="J31" i="61"/>
  <c r="L31" i="61"/>
  <c r="I32" i="61"/>
  <c r="J32" i="61"/>
  <c r="L32" i="61"/>
  <c r="I33" i="61"/>
  <c r="J33" i="61"/>
  <c r="L33" i="61"/>
  <c r="I34" i="61"/>
  <c r="J34" i="61"/>
  <c r="L34" i="61"/>
  <c r="I35" i="61"/>
  <c r="J35" i="61"/>
  <c r="L35" i="61"/>
  <c r="I36" i="61"/>
  <c r="J36" i="61"/>
  <c r="L36" i="61"/>
  <c r="I37" i="61"/>
  <c r="J37" i="61"/>
  <c r="L37" i="61"/>
  <c r="I38" i="61"/>
  <c r="J38" i="61"/>
  <c r="L38" i="61"/>
  <c r="I39" i="61"/>
  <c r="J39" i="61"/>
  <c r="L39" i="61"/>
  <c r="I40" i="61"/>
  <c r="J40" i="61"/>
  <c r="L40" i="61"/>
  <c r="I41" i="61"/>
  <c r="J41" i="61"/>
  <c r="L41" i="61"/>
  <c r="I42" i="61"/>
  <c r="J42" i="61"/>
  <c r="L42" i="61"/>
  <c r="I43" i="61"/>
  <c r="J43" i="61"/>
  <c r="L43" i="61"/>
  <c r="I44" i="61"/>
  <c r="J44" i="61"/>
  <c r="L44" i="61"/>
  <c r="I45" i="61"/>
  <c r="J45" i="61"/>
  <c r="L45" i="61"/>
  <c r="I46" i="61"/>
  <c r="J46" i="61"/>
  <c r="L46" i="61"/>
  <c r="E47" i="61"/>
  <c r="I47" i="61"/>
  <c r="J47" i="61"/>
  <c r="L47" i="61"/>
  <c r="I48" i="61"/>
  <c r="J48" i="61"/>
  <c r="L48" i="61"/>
  <c r="J49" i="61"/>
  <c r="L49" i="61"/>
  <c r="I50" i="61"/>
  <c r="J50" i="61"/>
  <c r="L50" i="61"/>
  <c r="I51" i="61"/>
  <c r="J51" i="61"/>
  <c r="L51" i="61"/>
  <c r="I52" i="61"/>
  <c r="J52" i="61"/>
  <c r="L52" i="61"/>
  <c r="I53" i="61"/>
  <c r="J53" i="61"/>
  <c r="L53" i="61"/>
  <c r="I54" i="61"/>
  <c r="J54" i="61"/>
  <c r="L54" i="61"/>
  <c r="I55" i="61"/>
  <c r="J55" i="61"/>
  <c r="L55" i="61"/>
  <c r="I56" i="61"/>
  <c r="J56" i="61"/>
  <c r="L56" i="61"/>
  <c r="I57" i="61"/>
  <c r="J57" i="61"/>
  <c r="L57" i="61"/>
  <c r="I58" i="61"/>
  <c r="J58" i="61"/>
  <c r="L58" i="61"/>
  <c r="I59" i="61"/>
  <c r="J59" i="61"/>
  <c r="L59" i="61"/>
  <c r="I60" i="61"/>
  <c r="J60" i="61"/>
  <c r="L60" i="61"/>
  <c r="I61" i="61"/>
  <c r="J61" i="61"/>
  <c r="L61" i="61"/>
  <c r="I62" i="61"/>
  <c r="J62" i="61"/>
  <c r="L62" i="61"/>
  <c r="I63" i="61"/>
  <c r="J63" i="61"/>
  <c r="L63" i="61"/>
  <c r="I64" i="61"/>
  <c r="J64" i="61"/>
  <c r="L64" i="61"/>
  <c r="I65" i="61"/>
  <c r="J65" i="61"/>
  <c r="L65" i="61"/>
  <c r="I66" i="61"/>
  <c r="J66" i="61"/>
  <c r="L66" i="61"/>
  <c r="E67" i="61"/>
  <c r="I67" i="61"/>
  <c r="J67" i="61"/>
  <c r="L67" i="61"/>
  <c r="I68" i="61"/>
  <c r="J68" i="61"/>
  <c r="L68" i="61"/>
  <c r="I69" i="61"/>
  <c r="J69" i="61"/>
  <c r="L69" i="61"/>
  <c r="I70" i="61"/>
  <c r="J70" i="61"/>
  <c r="L70" i="61"/>
  <c r="I71" i="61"/>
  <c r="J71" i="61"/>
  <c r="L71" i="61"/>
  <c r="I72" i="61"/>
  <c r="J72" i="61"/>
  <c r="L72" i="61"/>
  <c r="I73" i="61"/>
  <c r="J73" i="61"/>
  <c r="L73" i="61"/>
  <c r="I74" i="61"/>
  <c r="J74" i="61"/>
  <c r="L74" i="61"/>
  <c r="I75" i="61"/>
  <c r="J75" i="61"/>
  <c r="L75" i="61"/>
  <c r="I76" i="61"/>
  <c r="J76" i="61"/>
  <c r="L76" i="61"/>
  <c r="I77" i="61"/>
  <c r="J77" i="61"/>
  <c r="L77" i="61"/>
  <c r="I78" i="61"/>
  <c r="J78" i="61"/>
  <c r="L78" i="61"/>
  <c r="I79" i="61"/>
  <c r="J79" i="61"/>
  <c r="L79" i="61"/>
  <c r="I80" i="61"/>
  <c r="J80" i="61"/>
  <c r="L80" i="61"/>
  <c r="I81" i="61"/>
  <c r="J81" i="61"/>
  <c r="L81" i="61"/>
  <c r="I82" i="61"/>
  <c r="J82" i="61"/>
  <c r="L82" i="61"/>
  <c r="I83" i="61"/>
  <c r="J83" i="61"/>
  <c r="L83" i="61"/>
  <c r="I84" i="61"/>
  <c r="J84" i="61"/>
  <c r="L84" i="61"/>
  <c r="I85" i="61"/>
  <c r="J85" i="61"/>
  <c r="L85" i="61"/>
  <c r="I86" i="61"/>
  <c r="J86" i="61"/>
  <c r="L86" i="61"/>
  <c r="I87" i="61"/>
  <c r="J87" i="61"/>
  <c r="L87" i="61"/>
  <c r="I88" i="61"/>
  <c r="J88" i="61"/>
  <c r="K88" i="61"/>
  <c r="L88" i="61"/>
  <c r="I89" i="61"/>
  <c r="J89" i="61"/>
  <c r="L89" i="61"/>
  <c r="I90" i="61"/>
  <c r="J90" i="61"/>
  <c r="L90" i="61"/>
  <c r="I91" i="61"/>
  <c r="J91" i="61"/>
  <c r="L91" i="61"/>
  <c r="E92" i="61"/>
  <c r="I92" i="61"/>
  <c r="J92" i="61"/>
  <c r="L92" i="61"/>
  <c r="I93" i="61"/>
  <c r="J93" i="61"/>
  <c r="L93" i="61"/>
  <c r="I94" i="61"/>
  <c r="J94" i="61"/>
  <c r="L94" i="61"/>
  <c r="I95" i="61"/>
  <c r="J95" i="61"/>
  <c r="L95" i="61"/>
  <c r="I96" i="61"/>
  <c r="J96" i="61"/>
  <c r="L96" i="61"/>
  <c r="I97" i="61"/>
  <c r="J97" i="61"/>
  <c r="L97" i="61"/>
  <c r="I98" i="61"/>
  <c r="J98" i="61"/>
  <c r="L98" i="61"/>
  <c r="I99" i="61"/>
  <c r="J99" i="61"/>
  <c r="L99" i="61"/>
  <c r="I100" i="61"/>
  <c r="J100" i="61"/>
  <c r="L100" i="61"/>
  <c r="I101" i="61"/>
  <c r="J101" i="61"/>
  <c r="L101" i="61"/>
  <c r="I102" i="61"/>
  <c r="J102" i="61"/>
  <c r="L102" i="61"/>
  <c r="I103" i="61"/>
  <c r="J103" i="61"/>
  <c r="L103" i="61"/>
  <c r="I104" i="61"/>
  <c r="J104" i="61"/>
  <c r="L104" i="61"/>
  <c r="I105" i="61"/>
  <c r="J105" i="61"/>
  <c r="L105" i="61"/>
  <c r="I106" i="61"/>
  <c r="J106" i="61"/>
  <c r="L106" i="61"/>
  <c r="I107" i="61"/>
  <c r="J107" i="61"/>
  <c r="L107" i="61"/>
  <c r="I108" i="61"/>
  <c r="J108" i="61"/>
  <c r="L108" i="61"/>
  <c r="I109" i="61"/>
  <c r="J109" i="61"/>
  <c r="L109" i="61"/>
  <c r="I110" i="61"/>
  <c r="J110" i="61"/>
  <c r="L110" i="61"/>
  <c r="I111" i="61"/>
  <c r="J111" i="61"/>
  <c r="L111" i="61"/>
  <c r="I112" i="61"/>
  <c r="J112" i="61"/>
  <c r="L112" i="61"/>
  <c r="I113" i="61"/>
  <c r="J113" i="61"/>
  <c r="L113" i="61"/>
  <c r="I114" i="61"/>
  <c r="J114" i="61"/>
  <c r="L114" i="61"/>
  <c r="I115" i="61"/>
  <c r="J115" i="61"/>
  <c r="L115" i="61"/>
  <c r="I116" i="61"/>
  <c r="J116" i="61"/>
  <c r="L116" i="61"/>
  <c r="I117" i="61"/>
  <c r="J117" i="61"/>
  <c r="L117" i="61"/>
  <c r="I118" i="61"/>
  <c r="J118" i="61"/>
  <c r="L118" i="61"/>
  <c r="I119" i="61"/>
  <c r="J119" i="61"/>
  <c r="L119" i="61"/>
  <c r="I120" i="61"/>
  <c r="J120" i="61"/>
  <c r="L120" i="61"/>
  <c r="I121" i="61"/>
  <c r="J121" i="61"/>
  <c r="L121" i="61"/>
  <c r="I122" i="61"/>
  <c r="J122" i="61"/>
  <c r="L122" i="61"/>
  <c r="I123" i="61"/>
  <c r="J123" i="61"/>
  <c r="L123" i="61"/>
  <c r="I124" i="61"/>
  <c r="J124" i="61"/>
  <c r="L124" i="61"/>
  <c r="I125" i="61"/>
  <c r="J125" i="61"/>
  <c r="L125" i="61"/>
  <c r="I126" i="61"/>
  <c r="J126" i="61"/>
  <c r="L126" i="61"/>
  <c r="I127" i="61"/>
  <c r="J127" i="61"/>
  <c r="L127" i="61"/>
  <c r="I128" i="61"/>
  <c r="J128" i="61"/>
  <c r="L128" i="61"/>
  <c r="I129" i="61"/>
  <c r="J129" i="61"/>
  <c r="L129" i="61"/>
  <c r="I130" i="61"/>
  <c r="J130" i="61"/>
  <c r="L130" i="61"/>
  <c r="I131" i="61"/>
  <c r="J131" i="61"/>
  <c r="L131" i="61"/>
  <c r="I132" i="61"/>
  <c r="J132" i="61"/>
  <c r="L132" i="61"/>
  <c r="I133" i="61"/>
  <c r="J133" i="61"/>
  <c r="L133" i="61"/>
  <c r="I134" i="61"/>
  <c r="J134" i="61"/>
  <c r="L134" i="61"/>
  <c r="I135" i="61"/>
  <c r="J135" i="61"/>
  <c r="L135" i="61"/>
  <c r="I136" i="61"/>
  <c r="J136" i="61"/>
  <c r="L136" i="61"/>
  <c r="I137" i="61"/>
  <c r="J137" i="61"/>
  <c r="L137" i="61"/>
  <c r="I138" i="61"/>
  <c r="J138" i="61"/>
  <c r="L138" i="61"/>
  <c r="I139" i="61"/>
  <c r="J139" i="61"/>
  <c r="L139" i="61"/>
  <c r="I140" i="61"/>
  <c r="J140" i="61"/>
  <c r="L140" i="61"/>
  <c r="I141" i="61"/>
  <c r="J141" i="61"/>
  <c r="L141" i="61"/>
  <c r="I142" i="61"/>
  <c r="J142" i="61"/>
  <c r="L142" i="61"/>
  <c r="I143" i="61"/>
  <c r="J143" i="61"/>
  <c r="L143" i="61"/>
  <c r="I144" i="61"/>
  <c r="J144" i="61"/>
  <c r="L144" i="61"/>
  <c r="I145" i="61"/>
  <c r="J145" i="61"/>
  <c r="L145" i="61"/>
  <c r="I146" i="61"/>
  <c r="J146" i="61"/>
  <c r="L146" i="61"/>
  <c r="I147" i="61"/>
  <c r="J147" i="61"/>
  <c r="L147" i="61"/>
  <c r="I148" i="61"/>
  <c r="J148" i="61"/>
  <c r="L148" i="61"/>
  <c r="I149" i="61"/>
  <c r="J149" i="61"/>
  <c r="L149" i="61"/>
  <c r="I150" i="61"/>
  <c r="J150" i="61"/>
  <c r="L150" i="61"/>
  <c r="I151" i="61"/>
  <c r="J151" i="61"/>
  <c r="L151" i="61"/>
  <c r="I152" i="61"/>
  <c r="J152" i="61"/>
  <c r="L152" i="61"/>
  <c r="E153" i="61"/>
  <c r="I153" i="61"/>
  <c r="J153" i="61"/>
  <c r="L153" i="61"/>
  <c r="E154" i="61"/>
  <c r="I154" i="61"/>
  <c r="J154" i="61"/>
  <c r="L154" i="61"/>
  <c r="E155" i="61"/>
  <c r="I155" i="61"/>
  <c r="J155" i="61"/>
  <c r="L155" i="61"/>
  <c r="J156" i="61"/>
  <c r="L156" i="61"/>
  <c r="I157" i="61"/>
  <c r="J157" i="61"/>
  <c r="L157" i="61"/>
  <c r="I158" i="61"/>
  <c r="J158" i="61"/>
  <c r="L158" i="61"/>
  <c r="E159" i="61"/>
  <c r="I159" i="61"/>
  <c r="J159" i="61"/>
  <c r="L159" i="61"/>
  <c r="I160" i="61"/>
  <c r="J160" i="61"/>
  <c r="L160" i="61"/>
  <c r="I161" i="61"/>
  <c r="J161" i="61"/>
  <c r="L161" i="61"/>
  <c r="E162" i="61"/>
  <c r="I162" i="61"/>
  <c r="J162" i="61"/>
  <c r="L162" i="61"/>
  <c r="E163" i="61"/>
  <c r="I163" i="61"/>
  <c r="J163" i="61"/>
  <c r="L163" i="61"/>
  <c r="I164" i="61"/>
  <c r="J164" i="61"/>
  <c r="L164" i="61"/>
  <c r="E165" i="61"/>
  <c r="I165" i="61"/>
  <c r="J165" i="61"/>
  <c r="L165" i="61"/>
  <c r="I166" i="61"/>
  <c r="J166" i="61"/>
  <c r="L166" i="61"/>
  <c r="E167" i="61"/>
  <c r="I167" i="61"/>
  <c r="J167" i="61"/>
  <c r="L167" i="61"/>
  <c r="E168" i="61"/>
  <c r="I168" i="61"/>
  <c r="J168" i="61"/>
  <c r="L168" i="61"/>
  <c r="I169" i="61"/>
  <c r="J169" i="61"/>
  <c r="L169" i="61"/>
  <c r="E170" i="61"/>
  <c r="I170" i="61"/>
  <c r="J170" i="61"/>
  <c r="L170" i="61"/>
  <c r="I171" i="61"/>
  <c r="J171" i="61"/>
  <c r="L171" i="61"/>
  <c r="I172" i="61"/>
  <c r="J172" i="61"/>
  <c r="L172" i="61"/>
  <c r="I173" i="61"/>
  <c r="J173" i="61"/>
  <c r="L173" i="61"/>
  <c r="I174" i="61"/>
  <c r="J174" i="61"/>
  <c r="L174" i="61"/>
  <c r="I175" i="61"/>
  <c r="J175" i="61"/>
  <c r="L175" i="61"/>
  <c r="I176" i="61"/>
  <c r="J176" i="61"/>
  <c r="L176" i="61"/>
  <c r="I177" i="61"/>
  <c r="J177" i="61"/>
  <c r="L177" i="61"/>
  <c r="J178" i="61"/>
  <c r="L178" i="61"/>
  <c r="I179" i="61"/>
  <c r="J179" i="61"/>
  <c r="L179" i="61"/>
  <c r="I180" i="61"/>
  <c r="J180" i="61"/>
  <c r="L180" i="61"/>
  <c r="I181" i="61"/>
  <c r="J181" i="61"/>
  <c r="L181" i="61"/>
  <c r="I182" i="61"/>
  <c r="J182" i="61"/>
  <c r="L182" i="61"/>
  <c r="J183" i="61"/>
  <c r="L183" i="61"/>
  <c r="I184" i="61"/>
  <c r="J184" i="61"/>
  <c r="L184" i="61"/>
  <c r="I185" i="61"/>
  <c r="J185" i="61"/>
  <c r="L185" i="61"/>
  <c r="I186" i="61"/>
  <c r="J186" i="61"/>
  <c r="L186" i="61"/>
  <c r="I187" i="61"/>
  <c r="J187" i="61"/>
  <c r="L187" i="61"/>
  <c r="E188" i="61"/>
  <c r="I188" i="61"/>
  <c r="J188" i="61"/>
  <c r="L188" i="61"/>
  <c r="E189" i="61"/>
  <c r="I189" i="61"/>
  <c r="J189" i="61"/>
  <c r="L189" i="61"/>
  <c r="E190" i="61"/>
  <c r="I190" i="61"/>
  <c r="J190" i="61"/>
  <c r="L190" i="61"/>
  <c r="E191" i="61"/>
  <c r="I191" i="61"/>
  <c r="J191" i="61"/>
  <c r="L191" i="61"/>
  <c r="I192" i="61"/>
  <c r="J192" i="61"/>
  <c r="L192" i="61"/>
  <c r="E193" i="61"/>
  <c r="I193" i="61"/>
  <c r="J193" i="61"/>
  <c r="L193" i="61"/>
  <c r="I194" i="61"/>
  <c r="J194" i="61"/>
  <c r="L194" i="61"/>
  <c r="I195" i="61"/>
  <c r="J195" i="61"/>
  <c r="L195" i="61"/>
  <c r="E196" i="61"/>
  <c r="I196" i="61"/>
  <c r="J196" i="61"/>
  <c r="L196" i="61"/>
  <c r="I197" i="61"/>
  <c r="J197" i="61"/>
  <c r="L197" i="61"/>
  <c r="I198" i="61"/>
  <c r="J198" i="61"/>
  <c r="L198" i="61"/>
  <c r="I199" i="61"/>
  <c r="J199" i="61"/>
  <c r="L199" i="61"/>
  <c r="I200" i="61"/>
  <c r="J200" i="61"/>
  <c r="L200" i="61"/>
  <c r="E201" i="61"/>
  <c r="I201" i="61"/>
  <c r="J201" i="61"/>
  <c r="L201" i="61"/>
  <c r="E202" i="61"/>
  <c r="I202" i="61"/>
  <c r="J202" i="61"/>
  <c r="L202" i="61"/>
  <c r="E203" i="61"/>
  <c r="I203" i="61"/>
  <c r="J203" i="61"/>
  <c r="L203" i="61"/>
  <c r="E204" i="61"/>
  <c r="I204" i="61"/>
  <c r="J204" i="61"/>
  <c r="L204" i="61"/>
  <c r="E205" i="61"/>
  <c r="I205" i="61"/>
  <c r="J205" i="61"/>
  <c r="L205" i="61"/>
  <c r="E206" i="61"/>
  <c r="I206" i="61"/>
  <c r="J206" i="61"/>
  <c r="L206" i="61"/>
  <c r="I207" i="61"/>
  <c r="J207" i="61"/>
  <c r="L207" i="61"/>
  <c r="I208" i="61"/>
  <c r="J208" i="61"/>
  <c r="L208" i="61"/>
  <c r="I209" i="61"/>
  <c r="J209" i="61"/>
  <c r="L209" i="61"/>
  <c r="I210" i="61"/>
  <c r="J210" i="61"/>
  <c r="L210" i="61"/>
  <c r="I211" i="61"/>
  <c r="J211" i="61"/>
  <c r="L211" i="61"/>
  <c r="I212" i="61"/>
  <c r="J212" i="61"/>
  <c r="L212" i="61"/>
  <c r="I213" i="61"/>
  <c r="J213" i="61"/>
  <c r="L213" i="61"/>
  <c r="I214" i="61"/>
  <c r="J214" i="61"/>
  <c r="L214" i="61"/>
  <c r="I215" i="61"/>
  <c r="J215" i="61"/>
  <c r="L215" i="61"/>
  <c r="I216" i="61"/>
  <c r="J216" i="61"/>
  <c r="L216" i="61"/>
  <c r="I217" i="61"/>
  <c r="J217" i="61"/>
  <c r="L217" i="61"/>
  <c r="E218" i="61"/>
  <c r="I218" i="61"/>
  <c r="J218" i="61"/>
  <c r="L218" i="61"/>
  <c r="E219" i="61"/>
  <c r="I219" i="61"/>
  <c r="J219" i="61"/>
  <c r="L219" i="61"/>
  <c r="E220" i="61"/>
  <c r="I220" i="61"/>
  <c r="J220" i="61"/>
  <c r="L220" i="61"/>
  <c r="I221" i="61"/>
  <c r="J221" i="61"/>
  <c r="L221" i="61"/>
  <c r="I222" i="61"/>
  <c r="J222" i="61"/>
  <c r="L222" i="61"/>
  <c r="I223" i="61"/>
  <c r="J223" i="61"/>
  <c r="L223" i="61"/>
  <c r="I224" i="61"/>
  <c r="J224" i="61"/>
  <c r="L224" i="61"/>
  <c r="I225" i="61"/>
  <c r="J225" i="61"/>
  <c r="L225" i="61"/>
  <c r="I226" i="61"/>
  <c r="J226" i="61"/>
  <c r="L226" i="61"/>
  <c r="I227" i="61"/>
  <c r="J227" i="61"/>
  <c r="L227" i="61"/>
  <c r="I228" i="61"/>
  <c r="J228" i="61"/>
  <c r="L228" i="61"/>
  <c r="I229" i="61"/>
  <c r="J229" i="61"/>
  <c r="L229" i="61"/>
  <c r="E230" i="61"/>
  <c r="I230" i="61"/>
  <c r="J230" i="61"/>
  <c r="L230" i="61"/>
  <c r="I231" i="61"/>
  <c r="J231" i="61"/>
  <c r="L231" i="61"/>
  <c r="I232" i="61"/>
  <c r="J232" i="61"/>
  <c r="L232" i="61"/>
  <c r="I233" i="61"/>
  <c r="J233" i="61"/>
  <c r="L233" i="61"/>
  <c r="I234" i="61"/>
  <c r="J234" i="61"/>
  <c r="L234" i="61"/>
  <c r="I235" i="61"/>
  <c r="J235" i="61"/>
  <c r="L235" i="61"/>
  <c r="I236" i="61"/>
  <c r="J236" i="61"/>
  <c r="L236" i="61"/>
  <c r="I237" i="61"/>
  <c r="J237" i="61"/>
  <c r="L237" i="61"/>
  <c r="I238" i="61"/>
  <c r="J238" i="61"/>
  <c r="L238" i="61"/>
  <c r="I239" i="61"/>
  <c r="J239" i="61"/>
  <c r="L239" i="61"/>
  <c r="E240" i="61"/>
  <c r="I240" i="61"/>
  <c r="J240" i="61"/>
  <c r="L240" i="61"/>
  <c r="E241" i="61"/>
  <c r="I241" i="61"/>
  <c r="J241" i="61"/>
  <c r="L241" i="61"/>
  <c r="E242" i="61"/>
  <c r="I242" i="61"/>
  <c r="J242" i="61"/>
  <c r="L242" i="61"/>
  <c r="E243" i="61"/>
  <c r="I243" i="61"/>
  <c r="J243" i="61"/>
  <c r="L243" i="61"/>
  <c r="E244" i="61"/>
  <c r="I244" i="61"/>
  <c r="J244" i="61"/>
  <c r="L244" i="61"/>
  <c r="E245" i="61"/>
  <c r="I245" i="61"/>
  <c r="J245" i="61"/>
  <c r="L245" i="61"/>
  <c r="E246" i="61"/>
  <c r="I246" i="61"/>
  <c r="J246" i="61"/>
  <c r="L246" i="61"/>
  <c r="E247" i="61"/>
  <c r="I247" i="61"/>
  <c r="J247" i="61"/>
  <c r="L247" i="61"/>
  <c r="I248" i="61"/>
  <c r="J248" i="61"/>
  <c r="L248" i="61"/>
  <c r="I249" i="61"/>
  <c r="J249" i="61"/>
  <c r="L249" i="61"/>
  <c r="I250" i="61"/>
  <c r="J250" i="61"/>
  <c r="L250" i="61"/>
  <c r="I251" i="61"/>
  <c r="J251" i="61"/>
  <c r="L251" i="61"/>
  <c r="E252" i="61"/>
  <c r="I252" i="61"/>
  <c r="J252" i="61"/>
  <c r="L252" i="61"/>
  <c r="E253" i="61"/>
  <c r="I253" i="61"/>
  <c r="J253" i="61"/>
  <c r="L253" i="61"/>
  <c r="I254" i="61"/>
  <c r="J254" i="61"/>
  <c r="L254" i="61"/>
  <c r="I255" i="61"/>
  <c r="J255" i="61"/>
  <c r="L255" i="61"/>
  <c r="I256" i="61"/>
  <c r="J256" i="61"/>
  <c r="L256" i="61"/>
  <c r="I257" i="61"/>
  <c r="J257" i="61"/>
  <c r="L257" i="61"/>
  <c r="I258" i="61"/>
  <c r="J258" i="61"/>
  <c r="L258" i="61"/>
  <c r="I259" i="61"/>
  <c r="J259" i="61"/>
  <c r="L259" i="61"/>
  <c r="I260" i="61"/>
  <c r="J260" i="61"/>
  <c r="L260" i="61"/>
  <c r="I261" i="61"/>
  <c r="J261" i="61"/>
  <c r="L261" i="61"/>
  <c r="E262" i="61"/>
  <c r="I262" i="61"/>
  <c r="J262" i="61"/>
  <c r="L262" i="61"/>
  <c r="E263" i="61"/>
  <c r="I263" i="61"/>
  <c r="J263" i="61"/>
  <c r="L263" i="61"/>
  <c r="E264" i="61"/>
  <c r="I264" i="61"/>
  <c r="J264" i="61"/>
  <c r="L264" i="61"/>
  <c r="E265" i="61"/>
  <c r="I265" i="61"/>
  <c r="J265" i="61"/>
  <c r="L265" i="61"/>
  <c r="E266" i="61"/>
  <c r="I266" i="61"/>
  <c r="J266" i="61"/>
  <c r="L266" i="61"/>
  <c r="E267" i="61"/>
  <c r="I267" i="61"/>
  <c r="J267" i="61"/>
  <c r="L267" i="61"/>
  <c r="E268" i="61"/>
  <c r="I268" i="61"/>
  <c r="J268" i="61"/>
  <c r="L268" i="61"/>
  <c r="E269" i="61"/>
  <c r="I269" i="61"/>
  <c r="J269" i="61"/>
  <c r="L269" i="61"/>
  <c r="E270" i="61"/>
  <c r="I270" i="61"/>
  <c r="J270" i="61"/>
  <c r="L270" i="61"/>
  <c r="I271" i="61"/>
  <c r="J271" i="61"/>
  <c r="L271" i="61"/>
  <c r="I272" i="61"/>
  <c r="J272" i="61"/>
  <c r="L272" i="61"/>
  <c r="E273" i="61"/>
  <c r="I273" i="61"/>
  <c r="J273" i="61"/>
  <c r="L273" i="61"/>
  <c r="E274" i="61"/>
  <c r="I274" i="61"/>
  <c r="J274" i="61"/>
  <c r="L274" i="61"/>
  <c r="I275" i="61"/>
  <c r="J275" i="61"/>
  <c r="L275" i="61"/>
  <c r="I276" i="61"/>
  <c r="J276" i="61"/>
  <c r="L276" i="61"/>
  <c r="I277" i="61"/>
  <c r="J277" i="61"/>
  <c r="L277" i="61"/>
  <c r="I278" i="61"/>
  <c r="J278" i="61"/>
  <c r="L278" i="61"/>
  <c r="I279" i="61"/>
  <c r="J279" i="61"/>
  <c r="L279" i="61"/>
  <c r="I280" i="61"/>
  <c r="J280" i="61"/>
  <c r="L280" i="61"/>
  <c r="I281" i="61"/>
  <c r="J281" i="61"/>
  <c r="L281" i="61"/>
  <c r="I282" i="61"/>
  <c r="J282" i="61"/>
  <c r="L282" i="61"/>
  <c r="I283" i="61"/>
  <c r="J283" i="61"/>
  <c r="L283" i="61"/>
  <c r="I284" i="61"/>
  <c r="J284" i="61"/>
  <c r="L284" i="61"/>
  <c r="I285" i="61"/>
  <c r="J285" i="61"/>
  <c r="L285" i="61"/>
  <c r="I286" i="61"/>
  <c r="J286" i="61"/>
  <c r="L286" i="61"/>
  <c r="I287" i="61"/>
  <c r="J287" i="61"/>
  <c r="L287" i="61"/>
  <c r="I288" i="61"/>
  <c r="J288" i="61"/>
  <c r="L288" i="61"/>
  <c r="I289" i="61"/>
  <c r="J289" i="61"/>
  <c r="L289" i="61"/>
  <c r="I290" i="61"/>
  <c r="J290" i="61"/>
  <c r="L290" i="61"/>
  <c r="E291" i="61"/>
  <c r="I291" i="61"/>
  <c r="J291" i="61"/>
  <c r="L291" i="61"/>
  <c r="E292" i="61"/>
  <c r="I292" i="61"/>
  <c r="J292" i="61"/>
  <c r="L292" i="61"/>
  <c r="E293" i="61"/>
  <c r="I293" i="61"/>
  <c r="J293" i="61"/>
  <c r="L293" i="61"/>
  <c r="I294" i="61"/>
  <c r="J294" i="61"/>
  <c r="L294" i="61"/>
  <c r="I295" i="61"/>
  <c r="J295" i="61"/>
  <c r="L295" i="61"/>
  <c r="I296" i="61"/>
  <c r="J296" i="61"/>
  <c r="L296" i="61"/>
  <c r="I297" i="61"/>
  <c r="J297" i="61"/>
  <c r="L297" i="61"/>
  <c r="I298" i="61"/>
  <c r="J298" i="61"/>
  <c r="L298" i="61"/>
  <c r="I299" i="61"/>
  <c r="J299" i="61"/>
  <c r="L299" i="61"/>
  <c r="E300" i="61"/>
  <c r="I300" i="61"/>
  <c r="J300" i="61"/>
  <c r="L300" i="61"/>
  <c r="I301" i="61"/>
  <c r="J301" i="61"/>
  <c r="L301" i="61"/>
  <c r="I302" i="61"/>
  <c r="J302" i="61"/>
  <c r="L302" i="61"/>
  <c r="I303" i="61"/>
  <c r="J303" i="61"/>
  <c r="L303" i="61"/>
  <c r="I304" i="61"/>
  <c r="J304" i="61"/>
  <c r="L304" i="61"/>
  <c r="I305" i="61"/>
  <c r="J305" i="61"/>
  <c r="L305" i="61"/>
  <c r="E306" i="61"/>
  <c r="I306" i="61"/>
  <c r="J306" i="61"/>
  <c r="L306" i="61"/>
  <c r="E307" i="61"/>
  <c r="I307" i="61"/>
  <c r="J307" i="61"/>
  <c r="L307" i="61"/>
  <c r="E308" i="61"/>
  <c r="I308" i="61"/>
  <c r="J308" i="61"/>
  <c r="L308" i="61"/>
  <c r="E309" i="61"/>
  <c r="I309" i="61"/>
  <c r="J309" i="61"/>
  <c r="L309" i="61"/>
  <c r="E310" i="61"/>
  <c r="I310" i="61"/>
  <c r="J310" i="61"/>
  <c r="L310" i="61"/>
  <c r="E311" i="61"/>
  <c r="I311" i="61"/>
  <c r="J311" i="61"/>
  <c r="L311" i="61"/>
  <c r="I312" i="61"/>
  <c r="J312" i="61"/>
  <c r="L312" i="61"/>
  <c r="I313" i="61"/>
  <c r="J313" i="61"/>
  <c r="L313" i="61"/>
  <c r="E314" i="61"/>
  <c r="I314" i="61"/>
  <c r="J314" i="61"/>
  <c r="L314" i="61"/>
  <c r="E315" i="61"/>
  <c r="I315" i="61"/>
  <c r="J315" i="61"/>
  <c r="L315" i="61"/>
  <c r="I316" i="61"/>
  <c r="J316" i="61"/>
  <c r="L316" i="61"/>
  <c r="I317" i="61"/>
  <c r="J317" i="61"/>
  <c r="L317" i="61"/>
  <c r="I318" i="61"/>
  <c r="J318" i="61"/>
  <c r="L318" i="61"/>
  <c r="I319" i="61"/>
  <c r="J319" i="61"/>
  <c r="L319" i="61"/>
  <c r="I320" i="61"/>
  <c r="J320" i="61"/>
  <c r="L320" i="61"/>
  <c r="I321" i="61"/>
  <c r="J321" i="61"/>
  <c r="L321" i="61"/>
  <c r="I322" i="61"/>
  <c r="J322" i="61"/>
  <c r="L322" i="61"/>
  <c r="I323" i="61"/>
  <c r="J323" i="61"/>
  <c r="L323" i="61"/>
  <c r="I324" i="61"/>
  <c r="J324" i="61"/>
  <c r="L324" i="61"/>
  <c r="I325" i="61"/>
  <c r="J325" i="61"/>
  <c r="L325" i="61"/>
  <c r="I326" i="61"/>
  <c r="J326" i="61"/>
  <c r="L326" i="61"/>
  <c r="E327" i="61"/>
  <c r="I327" i="61"/>
  <c r="J327" i="61"/>
  <c r="L327" i="61"/>
  <c r="I328" i="61"/>
  <c r="J328" i="61"/>
  <c r="L328" i="61"/>
  <c r="E329" i="61"/>
  <c r="I329" i="61"/>
  <c r="J329" i="61"/>
  <c r="L329" i="61"/>
  <c r="E330" i="61"/>
  <c r="I330" i="61"/>
  <c r="J330" i="61"/>
  <c r="L330" i="61"/>
  <c r="E331" i="61"/>
  <c r="I331" i="61"/>
  <c r="J331" i="61"/>
  <c r="L331" i="61"/>
  <c r="E332" i="61"/>
  <c r="I332" i="61"/>
  <c r="J332" i="61"/>
  <c r="L332" i="61"/>
  <c r="I333" i="61"/>
  <c r="J333" i="61"/>
  <c r="L333" i="61"/>
  <c r="I334" i="61"/>
  <c r="J334" i="61"/>
  <c r="L334" i="61"/>
  <c r="E335" i="61"/>
  <c r="I335" i="61"/>
  <c r="J335" i="61"/>
  <c r="L335" i="61"/>
  <c r="I336" i="61"/>
  <c r="J336" i="61"/>
  <c r="L336" i="61"/>
  <c r="E337" i="61"/>
  <c r="I337" i="61"/>
  <c r="J337" i="61"/>
  <c r="L337" i="61"/>
  <c r="E338" i="61"/>
  <c r="I338" i="61"/>
  <c r="J338" i="61"/>
  <c r="L338" i="61"/>
  <c r="E339" i="61"/>
  <c r="I339" i="61"/>
  <c r="J339" i="61"/>
  <c r="L339" i="61"/>
  <c r="E340" i="61"/>
  <c r="I340" i="61"/>
  <c r="J340" i="61"/>
  <c r="L340" i="61"/>
  <c r="E341" i="61"/>
  <c r="I341" i="61"/>
  <c r="J341" i="61"/>
  <c r="L341" i="61"/>
  <c r="I342" i="61"/>
  <c r="J342" i="61"/>
  <c r="L342" i="61"/>
  <c r="I343" i="61"/>
  <c r="J343" i="61"/>
  <c r="L343" i="61"/>
  <c r="E344" i="61"/>
  <c r="I344" i="61"/>
  <c r="J344" i="61"/>
  <c r="L344" i="61"/>
  <c r="E345" i="61"/>
  <c r="I345" i="61"/>
  <c r="J345" i="61"/>
  <c r="L345" i="61"/>
  <c r="E346" i="61"/>
  <c r="I346" i="61"/>
  <c r="J346" i="61"/>
  <c r="L346" i="61"/>
  <c r="E347" i="61"/>
  <c r="I347" i="61"/>
  <c r="J347" i="61"/>
  <c r="L347" i="61"/>
  <c r="E348" i="61"/>
  <c r="I348" i="61"/>
  <c r="J348" i="61"/>
  <c r="L348" i="61"/>
  <c r="E349" i="61"/>
  <c r="I349" i="61"/>
  <c r="J349" i="61"/>
  <c r="L349" i="61"/>
  <c r="E350" i="61"/>
  <c r="I350" i="61"/>
  <c r="J350" i="61"/>
  <c r="L350" i="61"/>
  <c r="I351" i="61"/>
  <c r="J351" i="61"/>
  <c r="L351" i="61"/>
  <c r="I352" i="61"/>
  <c r="J352" i="61"/>
  <c r="L352" i="61"/>
  <c r="I353" i="61"/>
  <c r="J353" i="61"/>
  <c r="L353" i="61"/>
  <c r="I354" i="61"/>
  <c r="J354" i="61"/>
  <c r="L354" i="61"/>
  <c r="I355" i="61"/>
  <c r="J355" i="61"/>
  <c r="L355" i="61"/>
  <c r="I356" i="61"/>
  <c r="J356" i="61"/>
  <c r="L356" i="61"/>
  <c r="I357" i="61"/>
  <c r="J357" i="61"/>
  <c r="L357" i="61"/>
  <c r="I358" i="61"/>
  <c r="J358" i="61"/>
  <c r="L358" i="61"/>
  <c r="I359" i="61"/>
  <c r="J359" i="61"/>
  <c r="L359" i="61"/>
  <c r="I360" i="61"/>
  <c r="J360" i="61"/>
  <c r="L360" i="61"/>
  <c r="I361" i="61"/>
  <c r="J361" i="61"/>
  <c r="L361" i="61"/>
  <c r="I362" i="61"/>
  <c r="J362" i="61"/>
  <c r="L362" i="61"/>
  <c r="I363" i="61"/>
  <c r="J363" i="61"/>
  <c r="L363" i="61"/>
  <c r="I364" i="61"/>
  <c r="J364" i="61"/>
  <c r="L364" i="61"/>
  <c r="I365" i="61"/>
  <c r="J365" i="61"/>
  <c r="L365" i="61"/>
  <c r="I366" i="61"/>
  <c r="J366" i="61"/>
  <c r="L366" i="61"/>
  <c r="I367" i="61"/>
  <c r="J367" i="61"/>
  <c r="L367" i="61"/>
  <c r="I368" i="61"/>
  <c r="J368" i="61"/>
  <c r="L368" i="61"/>
  <c r="I369" i="61"/>
  <c r="J369" i="61"/>
  <c r="L369" i="61"/>
  <c r="I370" i="61"/>
  <c r="J370" i="61"/>
  <c r="L370" i="61"/>
  <c r="I371" i="61"/>
  <c r="J371" i="61"/>
  <c r="L371" i="61"/>
  <c r="I372" i="61"/>
  <c r="J372" i="61"/>
  <c r="L372" i="61"/>
  <c r="I373" i="61"/>
  <c r="J373" i="61"/>
  <c r="L373" i="61"/>
  <c r="I374" i="61"/>
  <c r="J374" i="61"/>
  <c r="L374" i="61"/>
  <c r="E375" i="61"/>
  <c r="I375" i="61"/>
  <c r="J375" i="61"/>
  <c r="L375" i="61"/>
  <c r="I376" i="61"/>
  <c r="J376" i="61"/>
  <c r="L376" i="61"/>
  <c r="I377" i="61"/>
  <c r="J377" i="61"/>
  <c r="L377" i="61"/>
  <c r="I378" i="61"/>
  <c r="J378" i="61"/>
  <c r="L378" i="61"/>
  <c r="I379" i="61"/>
  <c r="J379" i="61"/>
  <c r="L379" i="61"/>
  <c r="I380" i="61"/>
  <c r="J380" i="61"/>
  <c r="L380" i="61"/>
  <c r="I381" i="61"/>
  <c r="J381" i="61"/>
  <c r="L381" i="61"/>
  <c r="I382" i="61"/>
  <c r="J382" i="61"/>
  <c r="L382" i="61"/>
  <c r="I383" i="61"/>
  <c r="J383" i="61"/>
  <c r="L383" i="61"/>
  <c r="I384" i="61"/>
  <c r="J384" i="61"/>
  <c r="L384" i="61"/>
  <c r="I385" i="61"/>
  <c r="J385" i="61"/>
  <c r="L385" i="61"/>
  <c r="I386" i="61"/>
  <c r="J386" i="61"/>
  <c r="L386" i="61"/>
  <c r="I387" i="61"/>
  <c r="J387" i="61"/>
  <c r="L387" i="61"/>
  <c r="I388" i="61"/>
  <c r="J388" i="61"/>
  <c r="L388" i="61"/>
  <c r="E389" i="61"/>
  <c r="I389" i="61"/>
  <c r="J389" i="61"/>
  <c r="L389" i="61"/>
  <c r="E390" i="61"/>
  <c r="I390" i="61"/>
  <c r="J390" i="61"/>
  <c r="L390" i="61"/>
  <c r="E391" i="61"/>
  <c r="I391" i="61"/>
  <c r="J391" i="61"/>
  <c r="L391" i="61"/>
  <c r="E392" i="61"/>
  <c r="I392" i="61"/>
  <c r="J392" i="61"/>
  <c r="L392" i="61"/>
  <c r="E393" i="61"/>
  <c r="I393" i="61"/>
  <c r="J393" i="61"/>
  <c r="L393" i="61"/>
  <c r="E394" i="61"/>
  <c r="I394" i="61"/>
  <c r="J394" i="61"/>
  <c r="L394" i="61"/>
  <c r="E395" i="61"/>
  <c r="I395" i="61"/>
  <c r="J395" i="61"/>
  <c r="L395" i="61"/>
  <c r="E396" i="61"/>
  <c r="I396" i="61"/>
  <c r="J396" i="61"/>
  <c r="L396" i="61"/>
  <c r="I397" i="61"/>
  <c r="J397" i="61"/>
  <c r="L397" i="61"/>
  <c r="I398" i="61"/>
  <c r="J398" i="61"/>
  <c r="L398" i="61"/>
  <c r="E399" i="61"/>
  <c r="I399" i="61"/>
  <c r="J399" i="61"/>
  <c r="L399" i="61"/>
  <c r="I400" i="61"/>
  <c r="J400" i="61"/>
  <c r="L400" i="61"/>
  <c r="E401" i="61"/>
  <c r="I401" i="61"/>
  <c r="J401" i="61"/>
  <c r="L401" i="61"/>
  <c r="E402" i="61"/>
  <c r="I402" i="61"/>
  <c r="J402" i="61"/>
  <c r="L402" i="61"/>
  <c r="I403" i="61"/>
  <c r="J403" i="61"/>
  <c r="L403" i="61"/>
  <c r="E404" i="61"/>
  <c r="I404" i="61"/>
  <c r="J404" i="61"/>
  <c r="L404" i="61"/>
  <c r="I405" i="61"/>
  <c r="J405" i="61"/>
  <c r="L405" i="61"/>
  <c r="I406" i="61"/>
  <c r="J406" i="61"/>
  <c r="L406" i="61"/>
  <c r="I407" i="61"/>
  <c r="J407" i="61"/>
  <c r="L407" i="61"/>
  <c r="E408" i="61"/>
  <c r="I408" i="61"/>
  <c r="J408" i="61"/>
  <c r="L408" i="61"/>
  <c r="I409" i="61"/>
  <c r="J409" i="61"/>
  <c r="L409" i="61"/>
  <c r="I410" i="61"/>
  <c r="J410" i="61"/>
  <c r="L410" i="61"/>
  <c r="I411" i="61"/>
  <c r="J411" i="61"/>
  <c r="L411" i="61"/>
  <c r="E412" i="61"/>
  <c r="I412" i="61"/>
  <c r="J412" i="61"/>
  <c r="L412" i="61"/>
  <c r="E413" i="61"/>
  <c r="I413" i="61"/>
  <c r="J413" i="61"/>
  <c r="L413" i="61"/>
  <c r="E414" i="61"/>
  <c r="I414" i="61"/>
  <c r="J414" i="61"/>
  <c r="L414" i="61"/>
  <c r="I415" i="61"/>
  <c r="J415" i="61"/>
  <c r="L415" i="61"/>
  <c r="I416" i="61"/>
  <c r="J416" i="61"/>
  <c r="L416" i="61"/>
  <c r="E417" i="61"/>
  <c r="I417" i="61"/>
  <c r="J417" i="61"/>
  <c r="L417" i="61"/>
  <c r="E418" i="61"/>
  <c r="I418" i="61"/>
  <c r="J418" i="61"/>
  <c r="L418" i="61"/>
  <c r="E419" i="61"/>
  <c r="I419" i="61"/>
  <c r="J419" i="61"/>
  <c r="L419" i="61"/>
  <c r="E420" i="61"/>
  <c r="I420" i="61"/>
  <c r="J420" i="61"/>
  <c r="L420" i="61"/>
  <c r="E421" i="61"/>
  <c r="I421" i="61"/>
  <c r="J421" i="61"/>
  <c r="L421" i="61"/>
  <c r="E422" i="61"/>
  <c r="I422" i="61"/>
  <c r="J422" i="61"/>
  <c r="L422" i="61"/>
  <c r="E423" i="61"/>
  <c r="I423" i="61"/>
  <c r="J423" i="61"/>
  <c r="L423" i="61"/>
  <c r="E424" i="61"/>
  <c r="I424" i="61"/>
  <c r="J424" i="61"/>
  <c r="L424" i="61"/>
  <c r="I425" i="61"/>
  <c r="J425" i="61"/>
  <c r="L425" i="61"/>
  <c r="I426" i="61"/>
  <c r="J426" i="61"/>
  <c r="L426" i="61"/>
  <c r="I427" i="61"/>
  <c r="J427" i="61"/>
  <c r="L427" i="61"/>
  <c r="E428" i="61"/>
  <c r="I428" i="61"/>
  <c r="J428" i="61"/>
  <c r="L428" i="61"/>
  <c r="E429" i="61"/>
  <c r="I429" i="61"/>
  <c r="J429" i="61"/>
  <c r="L429" i="61"/>
  <c r="I430" i="61"/>
  <c r="J430" i="61"/>
  <c r="L430" i="61"/>
  <c r="I431" i="61"/>
  <c r="J431" i="61"/>
  <c r="L431" i="61"/>
  <c r="I432" i="61"/>
  <c r="J432" i="61"/>
  <c r="L432" i="61"/>
  <c r="I433" i="61"/>
  <c r="J433" i="61"/>
  <c r="L433" i="61"/>
  <c r="E434" i="61"/>
  <c r="I434" i="61"/>
  <c r="J434" i="61"/>
  <c r="L434" i="61"/>
  <c r="I435" i="61"/>
  <c r="J435" i="61"/>
  <c r="L435" i="61"/>
  <c r="I436" i="61"/>
  <c r="J436" i="61"/>
  <c r="L436" i="61"/>
  <c r="I437" i="61"/>
  <c r="J437" i="61"/>
  <c r="L437" i="61"/>
  <c r="I438" i="61"/>
  <c r="J438" i="61"/>
  <c r="L438" i="61"/>
  <c r="I439" i="61"/>
  <c r="J439" i="61"/>
  <c r="L439" i="61"/>
  <c r="I440" i="61"/>
  <c r="J440" i="61"/>
  <c r="L440" i="61"/>
  <c r="I441" i="61"/>
  <c r="J441" i="61"/>
  <c r="L441" i="61"/>
  <c r="I442" i="61"/>
  <c r="J442" i="61"/>
  <c r="L442" i="61"/>
  <c r="I443" i="61"/>
  <c r="J443" i="61"/>
  <c r="L443" i="61"/>
  <c r="I444" i="61"/>
  <c r="J444" i="61"/>
  <c r="L444" i="61"/>
  <c r="I445" i="61"/>
  <c r="J445" i="61"/>
  <c r="L445" i="61"/>
  <c r="I446" i="61"/>
  <c r="J446" i="61"/>
  <c r="L446" i="61"/>
  <c r="I447" i="61"/>
  <c r="J447" i="61"/>
  <c r="L447" i="61"/>
  <c r="I448" i="61"/>
  <c r="J448" i="61"/>
  <c r="L448" i="61"/>
  <c r="I449" i="61"/>
  <c r="J449" i="61"/>
  <c r="L449" i="61"/>
  <c r="I450" i="61"/>
  <c r="J450" i="61"/>
  <c r="L450" i="61"/>
  <c r="I451" i="61"/>
  <c r="J451" i="61"/>
  <c r="L451" i="61"/>
  <c r="I452" i="61"/>
  <c r="J452" i="61"/>
  <c r="L452" i="61"/>
  <c r="I453" i="61"/>
  <c r="J453" i="61"/>
  <c r="L453" i="61"/>
  <c r="I454" i="61"/>
  <c r="J454" i="61"/>
  <c r="L454" i="61"/>
  <c r="I455" i="61"/>
  <c r="J455" i="61"/>
  <c r="L455" i="61"/>
  <c r="I456" i="61"/>
  <c r="J456" i="61"/>
  <c r="L456" i="61"/>
  <c r="I457" i="61"/>
  <c r="J457" i="61"/>
  <c r="L457" i="61"/>
  <c r="I458" i="61"/>
  <c r="J458" i="61"/>
  <c r="L458" i="61"/>
  <c r="I459" i="61"/>
  <c r="J459" i="61"/>
  <c r="L459" i="61"/>
  <c r="I460" i="61"/>
  <c r="J460" i="61"/>
  <c r="L460" i="61"/>
  <c r="I461" i="61"/>
  <c r="J461" i="61"/>
  <c r="L461" i="61"/>
  <c r="I462" i="61"/>
  <c r="J462" i="61"/>
  <c r="L462" i="61"/>
  <c r="I463" i="61"/>
  <c r="J463" i="61"/>
  <c r="L463" i="61"/>
  <c r="I464" i="61"/>
  <c r="J464" i="61"/>
  <c r="L464" i="61"/>
  <c r="I465" i="61"/>
  <c r="J465" i="61"/>
  <c r="L465" i="61"/>
  <c r="I466" i="61"/>
  <c r="J466" i="61"/>
  <c r="L466" i="61"/>
  <c r="I467" i="61"/>
  <c r="J467" i="61"/>
  <c r="L467" i="61"/>
  <c r="I468" i="61"/>
  <c r="J468" i="61"/>
  <c r="L468" i="61"/>
  <c r="I469" i="61"/>
  <c r="J469" i="61"/>
  <c r="L469" i="61"/>
  <c r="I470" i="61"/>
  <c r="J470" i="61"/>
  <c r="L470" i="61"/>
  <c r="I471" i="61"/>
  <c r="J471" i="61"/>
  <c r="L471" i="61"/>
  <c r="I472" i="61"/>
  <c r="J472" i="61"/>
  <c r="L472" i="61"/>
  <c r="I473" i="61"/>
  <c r="J473" i="61"/>
  <c r="L473" i="61"/>
  <c r="I474" i="61"/>
  <c r="J474" i="61"/>
  <c r="L474" i="61"/>
  <c r="I475" i="61"/>
  <c r="J475" i="61"/>
  <c r="L475" i="61"/>
  <c r="E476" i="61"/>
  <c r="I476" i="61"/>
  <c r="J476" i="61"/>
  <c r="L476" i="61"/>
  <c r="E477" i="61"/>
  <c r="I477" i="61"/>
  <c r="J477" i="61"/>
  <c r="L477" i="61"/>
  <c r="E478" i="61"/>
  <c r="I478" i="61"/>
  <c r="J478" i="61"/>
  <c r="L478" i="61"/>
  <c r="E479" i="61"/>
  <c r="I479" i="61"/>
  <c r="J479" i="61"/>
  <c r="L479" i="61"/>
  <c r="E480" i="61"/>
  <c r="I480" i="61"/>
  <c r="J480" i="61"/>
  <c r="L480" i="61"/>
  <c r="E481" i="61"/>
  <c r="I481" i="61"/>
  <c r="J481" i="61"/>
  <c r="L481" i="61"/>
  <c r="E482" i="61"/>
  <c r="I482" i="61"/>
  <c r="J482" i="61"/>
  <c r="L482" i="61"/>
  <c r="I483" i="61"/>
  <c r="J483" i="61"/>
  <c r="L483" i="61"/>
  <c r="I484" i="61"/>
  <c r="J484" i="61"/>
  <c r="L484" i="61"/>
  <c r="E485" i="61"/>
  <c r="I485" i="61"/>
  <c r="J485" i="61"/>
  <c r="L485" i="61"/>
  <c r="I486" i="61"/>
  <c r="J486" i="61"/>
  <c r="L486" i="61"/>
  <c r="E487" i="61"/>
  <c r="I487" i="61"/>
  <c r="J487" i="61"/>
  <c r="L487" i="61"/>
  <c r="I488" i="61"/>
  <c r="J488" i="61"/>
  <c r="L488" i="61"/>
  <c r="E489" i="61"/>
  <c r="I489" i="61"/>
  <c r="J489" i="61"/>
  <c r="L489" i="61"/>
  <c r="I490" i="61"/>
  <c r="J490" i="61"/>
  <c r="L490" i="61"/>
  <c r="I491" i="61"/>
  <c r="J491" i="61"/>
  <c r="L491" i="61"/>
  <c r="I492" i="61"/>
  <c r="J492" i="61"/>
  <c r="L492" i="61"/>
  <c r="I493" i="61"/>
  <c r="J493" i="61"/>
  <c r="L493" i="61"/>
  <c r="E494" i="61"/>
  <c r="I494" i="61"/>
  <c r="J494" i="61"/>
  <c r="L494" i="61"/>
  <c r="E495" i="61"/>
  <c r="I495" i="61"/>
  <c r="J495" i="61"/>
  <c r="L495" i="61"/>
  <c r="I496" i="61"/>
  <c r="J496" i="61"/>
  <c r="L496" i="61"/>
  <c r="E497" i="61"/>
  <c r="I497" i="61"/>
  <c r="J497" i="61"/>
  <c r="L497" i="61"/>
  <c r="I498" i="61"/>
  <c r="J498" i="61"/>
  <c r="L498" i="61"/>
  <c r="I499" i="61"/>
  <c r="J499" i="61"/>
  <c r="L499" i="61"/>
  <c r="I500" i="61"/>
  <c r="J500" i="61"/>
  <c r="L500" i="61"/>
  <c r="L501" i="61"/>
  <c r="O169" i="61"/>
  <c r="N169" i="61"/>
  <c r="O166" i="61"/>
  <c r="N166" i="61"/>
  <c r="I3" i="60"/>
  <c r="J3" i="60"/>
  <c r="K3" i="60"/>
  <c r="L3" i="60"/>
  <c r="I4" i="60"/>
  <c r="J4" i="60"/>
  <c r="K4" i="60"/>
  <c r="L4" i="60"/>
  <c r="I5" i="60"/>
  <c r="J5" i="60"/>
  <c r="L5" i="60"/>
  <c r="I6" i="60"/>
  <c r="J6" i="60"/>
  <c r="L6" i="60"/>
  <c r="I7" i="60"/>
  <c r="J7" i="60"/>
  <c r="L7" i="60"/>
  <c r="I8" i="60"/>
  <c r="J8" i="60"/>
  <c r="L8" i="60"/>
  <c r="I9" i="60"/>
  <c r="J9" i="60"/>
  <c r="L9" i="60"/>
  <c r="E10" i="60"/>
  <c r="I10" i="60"/>
  <c r="J10" i="60"/>
  <c r="L10" i="60"/>
  <c r="E11" i="60"/>
  <c r="I11" i="60"/>
  <c r="J11" i="60"/>
  <c r="L11" i="60"/>
  <c r="E12" i="60"/>
  <c r="I12" i="60"/>
  <c r="J12" i="60"/>
  <c r="L12" i="60"/>
  <c r="I13" i="60"/>
  <c r="J13" i="60"/>
  <c r="L13" i="60"/>
  <c r="I14" i="60"/>
  <c r="J14" i="60"/>
  <c r="L14" i="60"/>
  <c r="I15" i="60"/>
  <c r="J15" i="60"/>
  <c r="L15" i="60"/>
  <c r="I16" i="60"/>
  <c r="J16" i="60"/>
  <c r="L16" i="60"/>
  <c r="E17" i="60"/>
  <c r="I17" i="60"/>
  <c r="J17" i="60"/>
  <c r="L17" i="60"/>
  <c r="E18" i="60"/>
  <c r="I18" i="60"/>
  <c r="J18" i="60"/>
  <c r="L18" i="60"/>
  <c r="I19" i="60"/>
  <c r="J19" i="60"/>
  <c r="L19" i="60"/>
  <c r="I20" i="60"/>
  <c r="J20" i="60"/>
  <c r="L20" i="60"/>
  <c r="I21" i="60"/>
  <c r="J21" i="60"/>
  <c r="L21" i="60"/>
  <c r="I22" i="60"/>
  <c r="J22" i="60"/>
  <c r="L22" i="60"/>
  <c r="I23" i="60"/>
  <c r="J23" i="60"/>
  <c r="L23" i="60"/>
  <c r="I24" i="60"/>
  <c r="J24" i="60"/>
  <c r="L24" i="60"/>
  <c r="I25" i="60"/>
  <c r="J25" i="60"/>
  <c r="L25" i="60"/>
  <c r="I26" i="60"/>
  <c r="J26" i="60"/>
  <c r="L26" i="60"/>
  <c r="I27" i="60"/>
  <c r="J27" i="60"/>
  <c r="L27" i="60"/>
  <c r="E28" i="60"/>
  <c r="I28" i="60"/>
  <c r="J28" i="60"/>
  <c r="L28" i="60"/>
  <c r="I29" i="60"/>
  <c r="J29" i="60"/>
  <c r="L29" i="60"/>
  <c r="I30" i="60"/>
  <c r="J30" i="60"/>
  <c r="L30" i="60"/>
  <c r="I31" i="60"/>
  <c r="J31" i="60"/>
  <c r="L31" i="60"/>
  <c r="I32" i="60"/>
  <c r="J32" i="60"/>
  <c r="L32" i="60"/>
  <c r="I33" i="60"/>
  <c r="J33" i="60"/>
  <c r="L33" i="60"/>
  <c r="I34" i="60"/>
  <c r="J34" i="60"/>
  <c r="L34" i="60"/>
  <c r="E35" i="60"/>
  <c r="I35" i="60"/>
  <c r="J35" i="60"/>
  <c r="L35" i="60"/>
  <c r="I36" i="60"/>
  <c r="J36" i="60"/>
  <c r="L36" i="60"/>
  <c r="I37" i="60"/>
  <c r="J37" i="60"/>
  <c r="L37" i="60"/>
  <c r="I38" i="60"/>
  <c r="J38" i="60"/>
  <c r="L38" i="60"/>
  <c r="I39" i="60"/>
  <c r="J39" i="60"/>
  <c r="L39" i="60"/>
  <c r="I40" i="60"/>
  <c r="J40" i="60"/>
  <c r="L40" i="60"/>
  <c r="I41" i="60"/>
  <c r="J41" i="60"/>
  <c r="L41" i="60"/>
  <c r="I42" i="60"/>
  <c r="J42" i="60"/>
  <c r="L42" i="60"/>
  <c r="I43" i="60"/>
  <c r="J43" i="60"/>
  <c r="L43" i="60"/>
  <c r="I44" i="60"/>
  <c r="J44" i="60"/>
  <c r="L44" i="60"/>
  <c r="I45" i="60"/>
  <c r="J45" i="60"/>
  <c r="L45" i="60"/>
  <c r="I46" i="60"/>
  <c r="J46" i="60"/>
  <c r="L46" i="60"/>
  <c r="I47" i="60"/>
  <c r="J47" i="60"/>
  <c r="L47" i="60"/>
  <c r="I48" i="60"/>
  <c r="J48" i="60"/>
  <c r="L48" i="60"/>
  <c r="I49" i="60"/>
  <c r="J49" i="60"/>
  <c r="L49" i="60"/>
  <c r="I50" i="60"/>
  <c r="J50" i="60"/>
  <c r="L50" i="60"/>
  <c r="I51" i="60"/>
  <c r="J51" i="60"/>
  <c r="L51" i="60"/>
  <c r="I52" i="60"/>
  <c r="J52" i="60"/>
  <c r="L52" i="60"/>
  <c r="E53" i="60"/>
  <c r="I53" i="60"/>
  <c r="J53" i="60"/>
  <c r="L53" i="60"/>
  <c r="I54" i="60"/>
  <c r="J54" i="60"/>
  <c r="L54" i="60"/>
  <c r="J55" i="60"/>
  <c r="L55" i="60"/>
  <c r="I56" i="60"/>
  <c r="J56" i="60"/>
  <c r="L56" i="60"/>
  <c r="I57" i="60"/>
  <c r="J57" i="60"/>
  <c r="L57" i="60"/>
  <c r="I58" i="60"/>
  <c r="J58" i="60"/>
  <c r="L58" i="60"/>
  <c r="I59" i="60"/>
  <c r="J59" i="60"/>
  <c r="L59" i="60"/>
  <c r="I60" i="60"/>
  <c r="J60" i="60"/>
  <c r="L60" i="60"/>
  <c r="I61" i="60"/>
  <c r="J61" i="60"/>
  <c r="L61" i="60"/>
  <c r="I62" i="60"/>
  <c r="J62" i="60"/>
  <c r="L62" i="60"/>
  <c r="I63" i="60"/>
  <c r="J63" i="60"/>
  <c r="L63" i="60"/>
  <c r="I64" i="60"/>
  <c r="J64" i="60"/>
  <c r="L64" i="60"/>
  <c r="I65" i="60"/>
  <c r="J65" i="60"/>
  <c r="L65" i="60"/>
  <c r="I66" i="60"/>
  <c r="J66" i="60"/>
  <c r="L66" i="60"/>
  <c r="I67" i="60"/>
  <c r="J67" i="60"/>
  <c r="L67" i="60"/>
  <c r="I68" i="60"/>
  <c r="J68" i="60"/>
  <c r="L68" i="60"/>
  <c r="I69" i="60"/>
  <c r="J69" i="60"/>
  <c r="L69" i="60"/>
  <c r="E70" i="60"/>
  <c r="I70" i="60"/>
  <c r="J70" i="60"/>
  <c r="L70" i="60"/>
  <c r="I71" i="60"/>
  <c r="J71" i="60"/>
  <c r="L71" i="60"/>
  <c r="I72" i="60"/>
  <c r="J72" i="60"/>
  <c r="L72" i="60"/>
  <c r="E73" i="60"/>
  <c r="I73" i="60"/>
  <c r="J73" i="60"/>
  <c r="L73" i="60"/>
  <c r="I74" i="60"/>
  <c r="J74" i="60"/>
  <c r="L74" i="60"/>
  <c r="I75" i="60"/>
  <c r="J75" i="60"/>
  <c r="L75" i="60"/>
  <c r="E76" i="60"/>
  <c r="I76" i="60"/>
  <c r="J76" i="60"/>
  <c r="L76" i="60"/>
  <c r="I77" i="60"/>
  <c r="J77" i="60"/>
  <c r="L77" i="60"/>
  <c r="I78" i="60"/>
  <c r="J78" i="60"/>
  <c r="L78" i="60"/>
  <c r="I79" i="60"/>
  <c r="J79" i="60"/>
  <c r="L79" i="60"/>
  <c r="I80" i="60"/>
  <c r="J80" i="60"/>
  <c r="L80" i="60"/>
  <c r="I81" i="60"/>
  <c r="J81" i="60"/>
  <c r="L81" i="60"/>
  <c r="E82" i="60"/>
  <c r="I82" i="60"/>
  <c r="J82" i="60"/>
  <c r="L82" i="60"/>
  <c r="E83" i="60"/>
  <c r="I83" i="60"/>
  <c r="J83" i="60"/>
  <c r="L83" i="60"/>
  <c r="E84" i="60"/>
  <c r="I84" i="60"/>
  <c r="J84" i="60"/>
  <c r="L84" i="60"/>
  <c r="E85" i="60"/>
  <c r="I85" i="60"/>
  <c r="J85" i="60"/>
  <c r="L85" i="60"/>
  <c r="I86" i="60"/>
  <c r="J86" i="60"/>
  <c r="L86" i="60"/>
  <c r="E87" i="60"/>
  <c r="I87" i="60"/>
  <c r="J87" i="60"/>
  <c r="L87" i="60"/>
  <c r="I88" i="60"/>
  <c r="J88" i="60"/>
  <c r="L88" i="60"/>
  <c r="I89" i="60"/>
  <c r="J89" i="60"/>
  <c r="L89" i="60"/>
  <c r="I90" i="60"/>
  <c r="J90" i="60"/>
  <c r="L90" i="60"/>
  <c r="I91" i="60"/>
  <c r="J91" i="60"/>
  <c r="L91" i="60"/>
  <c r="I92" i="60"/>
  <c r="J92" i="60"/>
  <c r="L92" i="60"/>
  <c r="E93" i="60"/>
  <c r="I93" i="60"/>
  <c r="J93" i="60"/>
  <c r="L93" i="60"/>
  <c r="E94" i="60"/>
  <c r="I94" i="60"/>
  <c r="J94" i="60"/>
  <c r="L94" i="60"/>
  <c r="E95" i="60"/>
  <c r="I95" i="60"/>
  <c r="J95" i="60"/>
  <c r="L95" i="60"/>
  <c r="I96" i="60"/>
  <c r="J96" i="60"/>
  <c r="L96" i="60"/>
  <c r="I97" i="60"/>
  <c r="J97" i="60"/>
  <c r="L97" i="60"/>
  <c r="I98" i="60"/>
  <c r="J98" i="60"/>
  <c r="L98" i="60"/>
  <c r="I99" i="60"/>
  <c r="J99" i="60"/>
  <c r="L99" i="60"/>
  <c r="I100" i="60"/>
  <c r="J100" i="60"/>
  <c r="L100" i="60"/>
  <c r="I101" i="60"/>
  <c r="J101" i="60"/>
  <c r="L101" i="60"/>
  <c r="I102" i="60"/>
  <c r="J102" i="60"/>
  <c r="L102" i="60"/>
  <c r="I103" i="60"/>
  <c r="J103" i="60"/>
  <c r="L103" i="60"/>
  <c r="I104" i="60"/>
  <c r="J104" i="60"/>
  <c r="L104" i="60"/>
  <c r="I105" i="60"/>
  <c r="J105" i="60"/>
  <c r="L105" i="60"/>
  <c r="I106" i="60"/>
  <c r="J106" i="60"/>
  <c r="L106" i="60"/>
  <c r="I107" i="60"/>
  <c r="J107" i="60"/>
  <c r="L107" i="60"/>
  <c r="I108" i="60"/>
  <c r="J108" i="60"/>
  <c r="L108" i="60"/>
  <c r="I109" i="60"/>
  <c r="J109" i="60"/>
  <c r="L109" i="60"/>
  <c r="I110" i="60"/>
  <c r="J110" i="60"/>
  <c r="L110" i="60"/>
  <c r="I111" i="60"/>
  <c r="J111" i="60"/>
  <c r="L111" i="60"/>
  <c r="I112" i="60"/>
  <c r="J112" i="60"/>
  <c r="L112" i="60"/>
  <c r="I113" i="60"/>
  <c r="J113" i="60"/>
  <c r="L113" i="60"/>
  <c r="I114" i="60"/>
  <c r="J114" i="60"/>
  <c r="L114" i="60"/>
  <c r="I115" i="60"/>
  <c r="J115" i="60"/>
  <c r="L115" i="60"/>
  <c r="I116" i="60"/>
  <c r="J116" i="60"/>
  <c r="L116" i="60"/>
  <c r="I117" i="60"/>
  <c r="J117" i="60"/>
  <c r="L117" i="60"/>
  <c r="I118" i="60"/>
  <c r="J118" i="60"/>
  <c r="L118" i="60"/>
  <c r="I119" i="60"/>
  <c r="J119" i="60"/>
  <c r="L119" i="60"/>
  <c r="I120" i="60"/>
  <c r="J120" i="60"/>
  <c r="L120" i="60"/>
  <c r="I121" i="60"/>
  <c r="J121" i="60"/>
  <c r="L121" i="60"/>
  <c r="I122" i="60"/>
  <c r="J122" i="60"/>
  <c r="L122" i="60"/>
  <c r="I123" i="60"/>
  <c r="J123" i="60"/>
  <c r="L123" i="60"/>
  <c r="I124" i="60"/>
  <c r="J124" i="60"/>
  <c r="L124" i="60"/>
  <c r="I125" i="60"/>
  <c r="J125" i="60"/>
  <c r="L125" i="60"/>
  <c r="I126" i="60"/>
  <c r="J126" i="60"/>
  <c r="L126" i="60"/>
  <c r="I127" i="60"/>
  <c r="J127" i="60"/>
  <c r="L127" i="60"/>
  <c r="I128" i="60"/>
  <c r="J128" i="60"/>
  <c r="L128" i="60"/>
  <c r="I129" i="60"/>
  <c r="J129" i="60"/>
  <c r="L129" i="60"/>
  <c r="I130" i="60"/>
  <c r="J130" i="60"/>
  <c r="L130" i="60"/>
  <c r="I131" i="60"/>
  <c r="J131" i="60"/>
  <c r="L131" i="60"/>
  <c r="I132" i="60"/>
  <c r="J132" i="60"/>
  <c r="L132" i="60"/>
  <c r="I133" i="60"/>
  <c r="J133" i="60"/>
  <c r="L133" i="60"/>
  <c r="I134" i="60"/>
  <c r="J134" i="60"/>
  <c r="L134" i="60"/>
  <c r="I135" i="60"/>
  <c r="J135" i="60"/>
  <c r="L135" i="60"/>
  <c r="I136" i="60"/>
  <c r="J136" i="60"/>
  <c r="L136" i="60"/>
  <c r="I137" i="60"/>
  <c r="J137" i="60"/>
  <c r="L137" i="60"/>
  <c r="I138" i="60"/>
  <c r="J138" i="60"/>
  <c r="L138" i="60"/>
  <c r="I139" i="60"/>
  <c r="J139" i="60"/>
  <c r="L139" i="60"/>
  <c r="I140" i="60"/>
  <c r="J140" i="60"/>
  <c r="L140" i="60"/>
  <c r="I141" i="60"/>
  <c r="J141" i="60"/>
  <c r="L141" i="60"/>
  <c r="I142" i="60"/>
  <c r="J142" i="60"/>
  <c r="L142" i="60"/>
  <c r="I143" i="60"/>
  <c r="J143" i="60"/>
  <c r="L143" i="60"/>
  <c r="I144" i="60"/>
  <c r="J144" i="60"/>
  <c r="L144" i="60"/>
  <c r="I145" i="60"/>
  <c r="J145" i="60"/>
  <c r="L145" i="60"/>
  <c r="I146" i="60"/>
  <c r="J146" i="60"/>
  <c r="L146" i="60"/>
  <c r="I147" i="60"/>
  <c r="J147" i="60"/>
  <c r="L147" i="60"/>
  <c r="I148" i="60"/>
  <c r="J148" i="60"/>
  <c r="L148" i="60"/>
  <c r="I149" i="60"/>
  <c r="J149" i="60"/>
  <c r="L149" i="60"/>
  <c r="E150" i="60"/>
  <c r="I150" i="60"/>
  <c r="J150" i="60"/>
  <c r="L150" i="60"/>
  <c r="E151" i="60"/>
  <c r="I151" i="60"/>
  <c r="J151" i="60"/>
  <c r="L151" i="60"/>
  <c r="E152" i="60"/>
  <c r="I152" i="60"/>
  <c r="J152" i="60"/>
  <c r="L152" i="60"/>
  <c r="E153" i="60"/>
  <c r="I153" i="60"/>
  <c r="J153" i="60"/>
  <c r="L153" i="60"/>
  <c r="J154" i="60"/>
  <c r="L154" i="60"/>
  <c r="I155" i="60"/>
  <c r="J155" i="60"/>
  <c r="L155" i="60"/>
  <c r="E156" i="60"/>
  <c r="I156" i="60"/>
  <c r="J156" i="60"/>
  <c r="L156" i="60"/>
  <c r="I157" i="60"/>
  <c r="J157" i="60"/>
  <c r="L157" i="60"/>
  <c r="I158" i="60"/>
  <c r="J158" i="60"/>
  <c r="L158" i="60"/>
  <c r="E159" i="60"/>
  <c r="I159" i="60"/>
  <c r="J159" i="60"/>
  <c r="L159" i="60"/>
  <c r="E160" i="60"/>
  <c r="I160" i="60"/>
  <c r="J160" i="60"/>
  <c r="L160" i="60"/>
  <c r="I161" i="60"/>
  <c r="J161" i="60"/>
  <c r="L161" i="60"/>
  <c r="E162" i="60"/>
  <c r="I162" i="60"/>
  <c r="J162" i="60"/>
  <c r="L162" i="60"/>
  <c r="I163" i="60"/>
  <c r="J163" i="60"/>
  <c r="L163" i="60"/>
  <c r="E164" i="60"/>
  <c r="I164" i="60"/>
  <c r="J164" i="60"/>
  <c r="L164" i="60"/>
  <c r="E165" i="60"/>
  <c r="I165" i="60"/>
  <c r="J165" i="60"/>
  <c r="L165" i="60"/>
  <c r="I166" i="60"/>
  <c r="J166" i="60"/>
  <c r="L166" i="60"/>
  <c r="E167" i="60"/>
  <c r="I167" i="60"/>
  <c r="J167" i="60"/>
  <c r="L167" i="60"/>
  <c r="I168" i="60"/>
  <c r="J168" i="60"/>
  <c r="L168" i="60"/>
  <c r="I169" i="60"/>
  <c r="J169" i="60"/>
  <c r="L169" i="60"/>
  <c r="I170" i="60"/>
  <c r="J170" i="60"/>
  <c r="L170" i="60"/>
  <c r="I171" i="60"/>
  <c r="J171" i="60"/>
  <c r="L171" i="60"/>
  <c r="I172" i="60"/>
  <c r="J172" i="60"/>
  <c r="L172" i="60"/>
  <c r="I173" i="60"/>
  <c r="J173" i="60"/>
  <c r="L173" i="60"/>
  <c r="I174" i="60"/>
  <c r="J174" i="60"/>
  <c r="L174" i="60"/>
  <c r="J175" i="60"/>
  <c r="L175" i="60"/>
  <c r="I176" i="60"/>
  <c r="J176" i="60"/>
  <c r="L176" i="60"/>
  <c r="I177" i="60"/>
  <c r="J177" i="60"/>
  <c r="L177" i="60"/>
  <c r="I178" i="60"/>
  <c r="J178" i="60"/>
  <c r="L178" i="60"/>
  <c r="I179" i="60"/>
  <c r="J179" i="60"/>
  <c r="L179" i="60"/>
  <c r="I180" i="60"/>
  <c r="J180" i="60"/>
  <c r="L180" i="60"/>
  <c r="J181" i="60"/>
  <c r="L181" i="60"/>
  <c r="I182" i="60"/>
  <c r="J182" i="60"/>
  <c r="L182" i="60"/>
  <c r="I183" i="60"/>
  <c r="J183" i="60"/>
  <c r="L183" i="60"/>
  <c r="I184" i="60"/>
  <c r="J184" i="60"/>
  <c r="L184" i="60"/>
  <c r="I185" i="60"/>
  <c r="J185" i="60"/>
  <c r="L185" i="60"/>
  <c r="E186" i="60"/>
  <c r="I186" i="60"/>
  <c r="J186" i="60"/>
  <c r="L186" i="60"/>
  <c r="E187" i="60"/>
  <c r="I187" i="60"/>
  <c r="J187" i="60"/>
  <c r="L187" i="60"/>
  <c r="E188" i="60"/>
  <c r="I188" i="60"/>
  <c r="J188" i="60"/>
  <c r="L188" i="60"/>
  <c r="E189" i="60"/>
  <c r="I189" i="60"/>
  <c r="J189" i="60"/>
  <c r="L189" i="60"/>
  <c r="E190" i="60"/>
  <c r="I190" i="60"/>
  <c r="J190" i="60"/>
  <c r="L190" i="60"/>
  <c r="I191" i="60"/>
  <c r="J191" i="60"/>
  <c r="L191" i="60"/>
  <c r="E192" i="60"/>
  <c r="I192" i="60"/>
  <c r="J192" i="60"/>
  <c r="L192" i="60"/>
  <c r="I193" i="60"/>
  <c r="J193" i="60"/>
  <c r="L193" i="60"/>
  <c r="I194" i="60"/>
  <c r="J194" i="60"/>
  <c r="L194" i="60"/>
  <c r="E195" i="60"/>
  <c r="I195" i="60"/>
  <c r="J195" i="60"/>
  <c r="L195" i="60"/>
  <c r="I196" i="60"/>
  <c r="J196" i="60"/>
  <c r="L196" i="60"/>
  <c r="I197" i="60"/>
  <c r="J197" i="60"/>
  <c r="L197" i="60"/>
  <c r="I198" i="60"/>
  <c r="J198" i="60"/>
  <c r="L198" i="60"/>
  <c r="I199" i="60"/>
  <c r="J199" i="60"/>
  <c r="L199" i="60"/>
  <c r="E200" i="60"/>
  <c r="I200" i="60"/>
  <c r="J200" i="60"/>
  <c r="L200" i="60"/>
  <c r="E201" i="60"/>
  <c r="I201" i="60"/>
  <c r="J201" i="60"/>
  <c r="L201" i="60"/>
  <c r="E202" i="60"/>
  <c r="I202" i="60"/>
  <c r="J202" i="60"/>
  <c r="L202" i="60"/>
  <c r="E203" i="60"/>
  <c r="I203" i="60"/>
  <c r="J203" i="60"/>
  <c r="L203" i="60"/>
  <c r="E204" i="60"/>
  <c r="I204" i="60"/>
  <c r="J204" i="60"/>
  <c r="L204" i="60"/>
  <c r="I205" i="60"/>
  <c r="J205" i="60"/>
  <c r="L205" i="60"/>
  <c r="I206" i="60"/>
  <c r="J206" i="60"/>
  <c r="L206" i="60"/>
  <c r="I207" i="60"/>
  <c r="J207" i="60"/>
  <c r="L207" i="60"/>
  <c r="I208" i="60"/>
  <c r="J208" i="60"/>
  <c r="L208" i="60"/>
  <c r="I209" i="60"/>
  <c r="J209" i="60"/>
  <c r="L209" i="60"/>
  <c r="I210" i="60"/>
  <c r="J210" i="60"/>
  <c r="L210" i="60"/>
  <c r="I211" i="60"/>
  <c r="J211" i="60"/>
  <c r="L211" i="60"/>
  <c r="I212" i="60"/>
  <c r="J212" i="60"/>
  <c r="L212" i="60"/>
  <c r="I213" i="60"/>
  <c r="J213" i="60"/>
  <c r="L213" i="60"/>
  <c r="I214" i="60"/>
  <c r="J214" i="60"/>
  <c r="L214" i="60"/>
  <c r="I215" i="60"/>
  <c r="J215" i="60"/>
  <c r="L215" i="60"/>
  <c r="E216" i="60"/>
  <c r="I216" i="60"/>
  <c r="J216" i="60"/>
  <c r="L216" i="60"/>
  <c r="E217" i="60"/>
  <c r="I217" i="60"/>
  <c r="J217" i="60"/>
  <c r="L217" i="60"/>
  <c r="E218" i="60"/>
  <c r="I218" i="60"/>
  <c r="J218" i="60"/>
  <c r="L218" i="60"/>
  <c r="E219" i="60"/>
  <c r="I219" i="60"/>
  <c r="J219" i="60"/>
  <c r="L219" i="60"/>
  <c r="E220" i="60"/>
  <c r="I220" i="60"/>
  <c r="J220" i="60"/>
  <c r="L220" i="60"/>
  <c r="E221" i="60"/>
  <c r="I221" i="60"/>
  <c r="J221" i="60"/>
  <c r="L221" i="60"/>
  <c r="I222" i="60"/>
  <c r="J222" i="60"/>
  <c r="L222" i="60"/>
  <c r="I223" i="60"/>
  <c r="J223" i="60"/>
  <c r="L223" i="60"/>
  <c r="I224" i="60"/>
  <c r="J224" i="60"/>
  <c r="L224" i="60"/>
  <c r="I225" i="60"/>
  <c r="J225" i="60"/>
  <c r="L225" i="60"/>
  <c r="I226" i="60"/>
  <c r="J226" i="60"/>
  <c r="L226" i="60"/>
  <c r="I227" i="60"/>
  <c r="J227" i="60"/>
  <c r="K227" i="60"/>
  <c r="L227" i="60"/>
  <c r="I228" i="60"/>
  <c r="J228" i="60"/>
  <c r="K228" i="60"/>
  <c r="L228" i="60"/>
  <c r="E229" i="60"/>
  <c r="I229" i="60"/>
  <c r="J229" i="60"/>
  <c r="L229" i="60"/>
  <c r="E230" i="60"/>
  <c r="I230" i="60"/>
  <c r="J230" i="60"/>
  <c r="L230" i="60"/>
  <c r="E231" i="60"/>
  <c r="I231" i="60"/>
  <c r="J231" i="60"/>
  <c r="L231" i="60"/>
  <c r="I232" i="60"/>
  <c r="J232" i="60"/>
  <c r="L232" i="60"/>
  <c r="E233" i="60"/>
  <c r="I233" i="60"/>
  <c r="J233" i="60"/>
  <c r="L233" i="60"/>
  <c r="I234" i="60"/>
  <c r="J234" i="60"/>
  <c r="L234" i="60"/>
  <c r="I235" i="60"/>
  <c r="J235" i="60"/>
  <c r="L235" i="60"/>
  <c r="E236" i="60"/>
  <c r="I236" i="60"/>
  <c r="J236" i="60"/>
  <c r="L236" i="60"/>
  <c r="E237" i="60"/>
  <c r="I237" i="60"/>
  <c r="J237" i="60"/>
  <c r="L237" i="60"/>
  <c r="I238" i="60"/>
  <c r="J238" i="60"/>
  <c r="L238" i="60"/>
  <c r="I239" i="60"/>
  <c r="J239" i="60"/>
  <c r="L239" i="60"/>
  <c r="E240" i="60"/>
  <c r="I240" i="60"/>
  <c r="J240" i="60"/>
  <c r="L240" i="60"/>
  <c r="E241" i="60"/>
  <c r="I241" i="60"/>
  <c r="J241" i="60"/>
  <c r="L241" i="60"/>
  <c r="E242" i="60"/>
  <c r="I242" i="60"/>
  <c r="J242" i="60"/>
  <c r="L242" i="60"/>
  <c r="E243" i="60"/>
  <c r="I243" i="60"/>
  <c r="J243" i="60"/>
  <c r="L243" i="60"/>
  <c r="E244" i="60"/>
  <c r="I244" i="60"/>
  <c r="J244" i="60"/>
  <c r="L244" i="60"/>
  <c r="E245" i="60"/>
  <c r="I245" i="60"/>
  <c r="J245" i="60"/>
  <c r="L245" i="60"/>
  <c r="E246" i="60"/>
  <c r="I246" i="60"/>
  <c r="J246" i="60"/>
  <c r="L246" i="60"/>
  <c r="E247" i="60"/>
  <c r="I247" i="60"/>
  <c r="J247" i="60"/>
  <c r="L247" i="60"/>
  <c r="E248" i="60"/>
  <c r="I248" i="60"/>
  <c r="J248" i="60"/>
  <c r="L248" i="60"/>
  <c r="E249" i="60"/>
  <c r="I249" i="60"/>
  <c r="J249" i="60"/>
  <c r="L249" i="60"/>
  <c r="E250" i="60"/>
  <c r="I250" i="60"/>
  <c r="J250" i="60"/>
  <c r="L250" i="60"/>
  <c r="I251" i="60"/>
  <c r="J251" i="60"/>
  <c r="L251" i="60"/>
  <c r="I252" i="60"/>
  <c r="J252" i="60"/>
  <c r="L252" i="60"/>
  <c r="E253" i="60"/>
  <c r="I253" i="60"/>
  <c r="J253" i="60"/>
  <c r="L253" i="60"/>
  <c r="I254" i="60"/>
  <c r="J254" i="60"/>
  <c r="L254" i="60"/>
  <c r="I255" i="60"/>
  <c r="J255" i="60"/>
  <c r="L255" i="60"/>
  <c r="I256" i="60"/>
  <c r="J256" i="60"/>
  <c r="L256" i="60"/>
  <c r="E257" i="60"/>
  <c r="I257" i="60"/>
  <c r="J257" i="60"/>
  <c r="L257" i="60"/>
  <c r="E258" i="60"/>
  <c r="I258" i="60"/>
  <c r="J258" i="60"/>
  <c r="L258" i="60"/>
  <c r="I259" i="60"/>
  <c r="J259" i="60"/>
  <c r="L259" i="60"/>
  <c r="I260" i="60"/>
  <c r="J260" i="60"/>
  <c r="L260" i="60"/>
  <c r="E261" i="60"/>
  <c r="I261" i="60"/>
  <c r="J261" i="60"/>
  <c r="L261" i="60"/>
  <c r="I262" i="60"/>
  <c r="J262" i="60"/>
  <c r="L262" i="60"/>
  <c r="I263" i="60"/>
  <c r="J263" i="60"/>
  <c r="L263" i="60"/>
  <c r="I264" i="60"/>
  <c r="J264" i="60"/>
  <c r="L264" i="60"/>
  <c r="I265" i="60"/>
  <c r="J265" i="60"/>
  <c r="L265" i="60"/>
  <c r="I266" i="60"/>
  <c r="J266" i="60"/>
  <c r="L266" i="60"/>
  <c r="E267" i="60"/>
  <c r="I267" i="60"/>
  <c r="J267" i="60"/>
  <c r="L267" i="60"/>
  <c r="I268" i="60"/>
  <c r="J268" i="60"/>
  <c r="L268" i="60"/>
  <c r="E269" i="60"/>
  <c r="I269" i="60"/>
  <c r="J269" i="60"/>
  <c r="L269" i="60"/>
  <c r="E270" i="60"/>
  <c r="I270" i="60"/>
  <c r="J270" i="60"/>
  <c r="L270" i="60"/>
  <c r="E271" i="60"/>
  <c r="I271" i="60"/>
  <c r="J271" i="60"/>
  <c r="L271" i="60"/>
  <c r="E272" i="60"/>
  <c r="I272" i="60"/>
  <c r="J272" i="60"/>
  <c r="L272" i="60"/>
  <c r="I273" i="60"/>
  <c r="J273" i="60"/>
  <c r="L273" i="60"/>
  <c r="E274" i="60"/>
  <c r="I274" i="60"/>
  <c r="J274" i="60"/>
  <c r="L274" i="60"/>
  <c r="E275" i="60"/>
  <c r="I275" i="60"/>
  <c r="J275" i="60"/>
  <c r="L275" i="60"/>
  <c r="E276" i="60"/>
  <c r="I276" i="60"/>
  <c r="J276" i="60"/>
  <c r="L276" i="60"/>
  <c r="E277" i="60"/>
  <c r="I277" i="60"/>
  <c r="J277" i="60"/>
  <c r="L277" i="60"/>
  <c r="I278" i="60"/>
  <c r="J278" i="60"/>
  <c r="L278" i="60"/>
  <c r="E279" i="60"/>
  <c r="I279" i="60"/>
  <c r="J279" i="60"/>
  <c r="L279" i="60"/>
  <c r="E280" i="60"/>
  <c r="I280" i="60"/>
  <c r="J280" i="60"/>
  <c r="L280" i="60"/>
  <c r="E281" i="60"/>
  <c r="I281" i="60"/>
  <c r="J281" i="60"/>
  <c r="L281" i="60"/>
  <c r="E282" i="60"/>
  <c r="I282" i="60"/>
  <c r="J282" i="60"/>
  <c r="L282" i="60"/>
  <c r="I283" i="60"/>
  <c r="J283" i="60"/>
  <c r="L283" i="60"/>
  <c r="E284" i="60"/>
  <c r="I284" i="60"/>
  <c r="J284" i="60"/>
  <c r="L284" i="60"/>
  <c r="E285" i="60"/>
  <c r="I285" i="60"/>
  <c r="J285" i="60"/>
  <c r="L285" i="60"/>
  <c r="E286" i="60"/>
  <c r="I286" i="60"/>
  <c r="J286" i="60"/>
  <c r="L286" i="60"/>
  <c r="E287" i="60"/>
  <c r="I287" i="60"/>
  <c r="J287" i="60"/>
  <c r="L287" i="60"/>
  <c r="E288" i="60"/>
  <c r="I288" i="60"/>
  <c r="J288" i="60"/>
  <c r="L288" i="60"/>
  <c r="I289" i="60"/>
  <c r="J289" i="60"/>
  <c r="L289" i="60"/>
  <c r="I290" i="60"/>
  <c r="J290" i="60"/>
  <c r="L290" i="60"/>
  <c r="I291" i="60"/>
  <c r="J291" i="60"/>
  <c r="L291" i="60"/>
  <c r="I292" i="60"/>
  <c r="J292" i="60"/>
  <c r="L292" i="60"/>
  <c r="I293" i="60"/>
  <c r="J293" i="60"/>
  <c r="L293" i="60"/>
  <c r="I294" i="60"/>
  <c r="J294" i="60"/>
  <c r="L294" i="60"/>
  <c r="I295" i="60"/>
  <c r="J295" i="60"/>
  <c r="L295" i="60"/>
  <c r="I296" i="60"/>
  <c r="J296" i="60"/>
  <c r="L296" i="60"/>
  <c r="I297" i="60"/>
  <c r="J297" i="60"/>
  <c r="L297" i="60"/>
  <c r="I298" i="60"/>
  <c r="J298" i="60"/>
  <c r="L298" i="60"/>
  <c r="I299" i="60"/>
  <c r="J299" i="60"/>
  <c r="L299" i="60"/>
  <c r="I300" i="60"/>
  <c r="J300" i="60"/>
  <c r="L300" i="60"/>
  <c r="I301" i="60"/>
  <c r="J301" i="60"/>
  <c r="L301" i="60"/>
  <c r="I302" i="60"/>
  <c r="J302" i="60"/>
  <c r="L302" i="60"/>
  <c r="I303" i="60"/>
  <c r="J303" i="60"/>
  <c r="L303" i="60"/>
  <c r="I304" i="60"/>
  <c r="J304" i="60"/>
  <c r="L304" i="60"/>
  <c r="I305" i="60"/>
  <c r="J305" i="60"/>
  <c r="L305" i="60"/>
  <c r="E306" i="60"/>
  <c r="I306" i="60"/>
  <c r="J306" i="60"/>
  <c r="L306" i="60"/>
  <c r="E307" i="60"/>
  <c r="I307" i="60"/>
  <c r="J307" i="60"/>
  <c r="L307" i="60"/>
  <c r="E308" i="60"/>
  <c r="I308" i="60"/>
  <c r="J308" i="60"/>
  <c r="L308" i="60"/>
  <c r="I309" i="60"/>
  <c r="J309" i="60"/>
  <c r="L309" i="60"/>
  <c r="I310" i="60"/>
  <c r="J310" i="60"/>
  <c r="L310" i="60"/>
  <c r="I311" i="60"/>
  <c r="J311" i="60"/>
  <c r="L311" i="60"/>
  <c r="E312" i="60"/>
  <c r="I312" i="60"/>
  <c r="J312" i="60"/>
  <c r="L312" i="60"/>
  <c r="I313" i="60"/>
  <c r="J313" i="60"/>
  <c r="L313" i="60"/>
  <c r="I314" i="60"/>
  <c r="J314" i="60"/>
  <c r="L314" i="60"/>
  <c r="I315" i="60"/>
  <c r="J315" i="60"/>
  <c r="L315" i="60"/>
  <c r="I316" i="60"/>
  <c r="J316" i="60"/>
  <c r="L316" i="60"/>
  <c r="E317" i="60"/>
  <c r="I317" i="60"/>
  <c r="J317" i="60"/>
  <c r="L317" i="60"/>
  <c r="E318" i="60"/>
  <c r="I318" i="60"/>
  <c r="J318" i="60"/>
  <c r="L318" i="60"/>
  <c r="I319" i="60"/>
  <c r="J319" i="60"/>
  <c r="L319" i="60"/>
  <c r="I320" i="60"/>
  <c r="J320" i="60"/>
  <c r="L320" i="60"/>
  <c r="E321" i="60"/>
  <c r="I321" i="60"/>
  <c r="J321" i="60"/>
  <c r="L321" i="60"/>
  <c r="E322" i="60"/>
  <c r="I322" i="60"/>
  <c r="J322" i="60"/>
  <c r="L322" i="60"/>
  <c r="E323" i="60"/>
  <c r="I323" i="60"/>
  <c r="J323" i="60"/>
  <c r="L323" i="60"/>
  <c r="E324" i="60"/>
  <c r="I324" i="60"/>
  <c r="J324" i="60"/>
  <c r="L324" i="60"/>
  <c r="E325" i="60"/>
  <c r="I325" i="60"/>
  <c r="J325" i="60"/>
  <c r="L325" i="60"/>
  <c r="E326" i="60"/>
  <c r="I326" i="60"/>
  <c r="J326" i="60"/>
  <c r="L326" i="60"/>
  <c r="I327" i="60"/>
  <c r="J327" i="60"/>
  <c r="L327" i="60"/>
  <c r="I328" i="60"/>
  <c r="J328" i="60"/>
  <c r="L328" i="60"/>
  <c r="E329" i="60"/>
  <c r="I329" i="60"/>
  <c r="J329" i="60"/>
  <c r="L329" i="60"/>
  <c r="E330" i="60"/>
  <c r="I330" i="60"/>
  <c r="J330" i="60"/>
  <c r="L330" i="60"/>
  <c r="E331" i="60"/>
  <c r="I331" i="60"/>
  <c r="J331" i="60"/>
  <c r="L331" i="60"/>
  <c r="I332" i="60"/>
  <c r="J332" i="60"/>
  <c r="L332" i="60"/>
  <c r="I333" i="60"/>
  <c r="J333" i="60"/>
  <c r="L333" i="60"/>
  <c r="I334" i="60"/>
  <c r="J334" i="60"/>
  <c r="L334" i="60"/>
  <c r="I335" i="60"/>
  <c r="J335" i="60"/>
  <c r="L335" i="60"/>
  <c r="I336" i="60"/>
  <c r="J336" i="60"/>
  <c r="L336" i="60"/>
  <c r="I337" i="60"/>
  <c r="J337" i="60"/>
  <c r="L337" i="60"/>
  <c r="I338" i="60"/>
  <c r="J338" i="60"/>
  <c r="L338" i="60"/>
  <c r="E339" i="60"/>
  <c r="I339" i="60"/>
  <c r="J339" i="60"/>
  <c r="L339" i="60"/>
  <c r="I340" i="60"/>
  <c r="J340" i="60"/>
  <c r="L340" i="60"/>
  <c r="I341" i="60"/>
  <c r="J341" i="60"/>
  <c r="L341" i="60"/>
  <c r="I342" i="60"/>
  <c r="J342" i="60"/>
  <c r="L342" i="60"/>
  <c r="I343" i="60"/>
  <c r="J343" i="60"/>
  <c r="L343" i="60"/>
  <c r="I344" i="60"/>
  <c r="J344" i="60"/>
  <c r="L344" i="60"/>
  <c r="I345" i="60"/>
  <c r="J345" i="60"/>
  <c r="L345" i="60"/>
  <c r="E346" i="60"/>
  <c r="I346" i="60"/>
  <c r="J346" i="60"/>
  <c r="L346" i="60"/>
  <c r="E347" i="60"/>
  <c r="I347" i="60"/>
  <c r="J347" i="60"/>
  <c r="L347" i="60"/>
  <c r="E348" i="60"/>
  <c r="I348" i="60"/>
  <c r="J348" i="60"/>
  <c r="L348" i="60"/>
  <c r="E349" i="60"/>
  <c r="I349" i="60"/>
  <c r="J349" i="60"/>
  <c r="L349" i="60"/>
  <c r="E350" i="60"/>
  <c r="I350" i="60"/>
  <c r="J350" i="60"/>
  <c r="L350" i="60"/>
  <c r="E351" i="60"/>
  <c r="I351" i="60"/>
  <c r="J351" i="60"/>
  <c r="L351" i="60"/>
  <c r="E352" i="60"/>
  <c r="I352" i="60"/>
  <c r="J352" i="60"/>
  <c r="L352" i="60"/>
  <c r="E353" i="60"/>
  <c r="I353" i="60"/>
  <c r="J353" i="60"/>
  <c r="L353" i="60"/>
  <c r="E354" i="60"/>
  <c r="I354" i="60"/>
  <c r="J354" i="60"/>
  <c r="L354" i="60"/>
  <c r="E355" i="60"/>
  <c r="I355" i="60"/>
  <c r="J355" i="60"/>
  <c r="L355" i="60"/>
  <c r="E356" i="60"/>
  <c r="I356" i="60"/>
  <c r="J356" i="60"/>
  <c r="L356" i="60"/>
  <c r="E357" i="60"/>
  <c r="I357" i="60"/>
  <c r="J357" i="60"/>
  <c r="L357" i="60"/>
  <c r="E358" i="60"/>
  <c r="I358" i="60"/>
  <c r="J358" i="60"/>
  <c r="L358" i="60"/>
  <c r="I359" i="60"/>
  <c r="J359" i="60"/>
  <c r="L359" i="60"/>
  <c r="I360" i="60"/>
  <c r="J360" i="60"/>
  <c r="L360" i="60"/>
  <c r="E361" i="60"/>
  <c r="I361" i="60"/>
  <c r="J361" i="60"/>
  <c r="L361" i="60"/>
  <c r="E362" i="60"/>
  <c r="I362" i="60"/>
  <c r="J362" i="60"/>
  <c r="L362" i="60"/>
  <c r="I363" i="60"/>
  <c r="J363" i="60"/>
  <c r="L363" i="60"/>
  <c r="I364" i="60"/>
  <c r="J364" i="60"/>
  <c r="L364" i="60"/>
  <c r="E365" i="60"/>
  <c r="I365" i="60"/>
  <c r="J365" i="60"/>
  <c r="L365" i="60"/>
  <c r="E366" i="60"/>
  <c r="I366" i="60"/>
  <c r="J366" i="60"/>
  <c r="L366" i="60"/>
  <c r="E367" i="60"/>
  <c r="I367" i="60"/>
  <c r="J367" i="60"/>
  <c r="L367" i="60"/>
  <c r="E368" i="60"/>
  <c r="I368" i="60"/>
  <c r="J368" i="60"/>
  <c r="L368" i="60"/>
  <c r="E369" i="60"/>
  <c r="I369" i="60"/>
  <c r="J369" i="60"/>
  <c r="L369" i="60"/>
  <c r="I370" i="60"/>
  <c r="J370" i="60"/>
  <c r="L370" i="60"/>
  <c r="I371" i="60"/>
  <c r="J371" i="60"/>
  <c r="L371" i="60"/>
  <c r="I372" i="60"/>
  <c r="J372" i="60"/>
  <c r="L372" i="60"/>
  <c r="I373" i="60"/>
  <c r="J373" i="60"/>
  <c r="L373" i="60"/>
  <c r="I374" i="60"/>
  <c r="J374" i="60"/>
  <c r="L374" i="60"/>
  <c r="I375" i="60"/>
  <c r="J375" i="60"/>
  <c r="L375" i="60"/>
  <c r="I376" i="60"/>
  <c r="J376" i="60"/>
  <c r="L376" i="60"/>
  <c r="I377" i="60"/>
  <c r="J377" i="60"/>
  <c r="L377" i="60"/>
  <c r="I378" i="60"/>
  <c r="J378" i="60"/>
  <c r="L378" i="60"/>
  <c r="I379" i="60"/>
  <c r="J379" i="60"/>
  <c r="L379" i="60"/>
  <c r="E380" i="60"/>
  <c r="I380" i="60"/>
  <c r="J380" i="60"/>
  <c r="L380" i="60"/>
  <c r="E381" i="60"/>
  <c r="I381" i="60"/>
  <c r="J381" i="60"/>
  <c r="L381" i="60"/>
  <c r="E382" i="60"/>
  <c r="I382" i="60"/>
  <c r="J382" i="60"/>
  <c r="L382" i="60"/>
  <c r="I383" i="60"/>
  <c r="J383" i="60"/>
  <c r="L383" i="60"/>
  <c r="I384" i="60"/>
  <c r="J384" i="60"/>
  <c r="L384" i="60"/>
  <c r="I385" i="60"/>
  <c r="J385" i="60"/>
  <c r="L385" i="60"/>
  <c r="I386" i="60"/>
  <c r="J386" i="60"/>
  <c r="L386" i="60"/>
  <c r="I387" i="60"/>
  <c r="J387" i="60"/>
  <c r="L387" i="60"/>
  <c r="I388" i="60"/>
  <c r="J388" i="60"/>
  <c r="L388" i="60"/>
  <c r="I389" i="60"/>
  <c r="J389" i="60"/>
  <c r="L389" i="60"/>
  <c r="I390" i="60"/>
  <c r="J390" i="60"/>
  <c r="L390" i="60"/>
  <c r="I391" i="60"/>
  <c r="J391" i="60"/>
  <c r="L391" i="60"/>
  <c r="I392" i="60"/>
  <c r="J392" i="60"/>
  <c r="L392" i="60"/>
  <c r="I393" i="60"/>
  <c r="J393" i="60"/>
  <c r="L393" i="60"/>
  <c r="I394" i="60"/>
  <c r="J394" i="60"/>
  <c r="L394" i="60"/>
  <c r="I395" i="60"/>
  <c r="J395" i="60"/>
  <c r="L395" i="60"/>
  <c r="I396" i="60"/>
  <c r="J396" i="60"/>
  <c r="L396" i="60"/>
  <c r="I397" i="60"/>
  <c r="J397" i="60"/>
  <c r="L397" i="60"/>
  <c r="I398" i="60"/>
  <c r="J398" i="60"/>
  <c r="L398" i="60"/>
  <c r="I399" i="60"/>
  <c r="J399" i="60"/>
  <c r="L399" i="60"/>
  <c r="E400" i="60"/>
  <c r="I400" i="60"/>
  <c r="J400" i="60"/>
  <c r="L400" i="60"/>
  <c r="I401" i="60"/>
  <c r="J401" i="60"/>
  <c r="L401" i="60"/>
  <c r="I402" i="60"/>
  <c r="J402" i="60"/>
  <c r="L402" i="60"/>
  <c r="I403" i="60"/>
  <c r="J403" i="60"/>
  <c r="L403" i="60"/>
  <c r="I404" i="60"/>
  <c r="J404" i="60"/>
  <c r="L404" i="60"/>
  <c r="I405" i="60"/>
  <c r="J405" i="60"/>
  <c r="L405" i="60"/>
  <c r="I406" i="60"/>
  <c r="J406" i="60"/>
  <c r="L406" i="60"/>
  <c r="I407" i="60"/>
  <c r="J407" i="60"/>
  <c r="L407" i="60"/>
  <c r="I408" i="60"/>
  <c r="J408" i="60"/>
  <c r="L408" i="60"/>
  <c r="I409" i="60"/>
  <c r="J409" i="60"/>
  <c r="L409" i="60"/>
  <c r="I410" i="60"/>
  <c r="J410" i="60"/>
  <c r="L410" i="60"/>
  <c r="I411" i="60"/>
  <c r="J411" i="60"/>
  <c r="L411" i="60"/>
  <c r="I412" i="60"/>
  <c r="J412" i="60"/>
  <c r="L412" i="60"/>
  <c r="I413" i="60"/>
  <c r="J413" i="60"/>
  <c r="L413" i="60"/>
  <c r="I414" i="60"/>
  <c r="J414" i="60"/>
  <c r="L414" i="60"/>
  <c r="E415" i="60"/>
  <c r="I415" i="60"/>
  <c r="J415" i="60"/>
  <c r="L415" i="60"/>
  <c r="I416" i="60"/>
  <c r="J416" i="60"/>
  <c r="L416" i="60"/>
  <c r="E417" i="60"/>
  <c r="I417" i="60"/>
  <c r="J417" i="60"/>
  <c r="L417" i="60"/>
  <c r="E418" i="60"/>
  <c r="I418" i="60"/>
  <c r="J418" i="60"/>
  <c r="L418" i="60"/>
  <c r="E419" i="60"/>
  <c r="I419" i="60"/>
  <c r="J419" i="60"/>
  <c r="L419" i="60"/>
  <c r="E420" i="60"/>
  <c r="I420" i="60"/>
  <c r="J420" i="60"/>
  <c r="L420" i="60"/>
  <c r="E421" i="60"/>
  <c r="I421" i="60"/>
  <c r="J421" i="60"/>
  <c r="L421" i="60"/>
  <c r="E422" i="60"/>
  <c r="I422" i="60"/>
  <c r="J422" i="60"/>
  <c r="L422" i="60"/>
  <c r="E423" i="60"/>
  <c r="I423" i="60"/>
  <c r="J423" i="60"/>
  <c r="L423" i="60"/>
  <c r="E424" i="60"/>
  <c r="I424" i="60"/>
  <c r="J424" i="60"/>
  <c r="L424" i="60"/>
  <c r="I425" i="60"/>
  <c r="J425" i="60"/>
  <c r="L425" i="60"/>
  <c r="E426" i="60"/>
  <c r="I426" i="60"/>
  <c r="J426" i="60"/>
  <c r="L426" i="60"/>
  <c r="I427" i="60"/>
  <c r="J427" i="60"/>
  <c r="L427" i="60"/>
  <c r="E428" i="60"/>
  <c r="I428" i="60"/>
  <c r="J428" i="60"/>
  <c r="L428" i="60"/>
  <c r="E429" i="60"/>
  <c r="I429" i="60"/>
  <c r="J429" i="60"/>
  <c r="L429" i="60"/>
  <c r="I430" i="60"/>
  <c r="J430" i="60"/>
  <c r="L430" i="60"/>
  <c r="E431" i="60"/>
  <c r="I431" i="60"/>
  <c r="J431" i="60"/>
  <c r="L431" i="60"/>
  <c r="E432" i="60"/>
  <c r="I432" i="60"/>
  <c r="J432" i="60"/>
  <c r="L432" i="60"/>
  <c r="I433" i="60"/>
  <c r="J433" i="60"/>
  <c r="L433" i="60"/>
  <c r="I434" i="60"/>
  <c r="J434" i="60"/>
  <c r="L434" i="60"/>
  <c r="I435" i="60"/>
  <c r="J435" i="60"/>
  <c r="L435" i="60"/>
  <c r="E436" i="60"/>
  <c r="I436" i="60"/>
  <c r="J436" i="60"/>
  <c r="L436" i="60"/>
  <c r="E437" i="60"/>
  <c r="I437" i="60"/>
  <c r="J437" i="60"/>
  <c r="L437" i="60"/>
  <c r="E438" i="60"/>
  <c r="I438" i="60"/>
  <c r="J438" i="60"/>
  <c r="L438" i="60"/>
  <c r="I439" i="60"/>
  <c r="J439" i="60"/>
  <c r="L439" i="60"/>
  <c r="I440" i="60"/>
  <c r="J440" i="60"/>
  <c r="L440" i="60"/>
  <c r="E441" i="60"/>
  <c r="I441" i="60"/>
  <c r="J441" i="60"/>
  <c r="L441" i="60"/>
  <c r="E442" i="60"/>
  <c r="I442" i="60"/>
  <c r="J442" i="60"/>
  <c r="L442" i="60"/>
  <c r="E443" i="60"/>
  <c r="I443" i="60"/>
  <c r="J443" i="60"/>
  <c r="L443" i="60"/>
  <c r="E444" i="60"/>
  <c r="I444" i="60"/>
  <c r="J444" i="60"/>
  <c r="L444" i="60"/>
  <c r="E445" i="60"/>
  <c r="I445" i="60"/>
  <c r="J445" i="60"/>
  <c r="L445" i="60"/>
  <c r="E446" i="60"/>
  <c r="I446" i="60"/>
  <c r="J446" i="60"/>
  <c r="L446" i="60"/>
  <c r="E447" i="60"/>
  <c r="I447" i="60"/>
  <c r="J447" i="60"/>
  <c r="L447" i="60"/>
  <c r="I448" i="60"/>
  <c r="J448" i="60"/>
  <c r="L448" i="60"/>
  <c r="I449" i="60"/>
  <c r="J449" i="60"/>
  <c r="L449" i="60"/>
  <c r="I450" i="60"/>
  <c r="J450" i="60"/>
  <c r="L450" i="60"/>
  <c r="I451" i="60"/>
  <c r="J451" i="60"/>
  <c r="L451" i="60"/>
  <c r="E452" i="60"/>
  <c r="I452" i="60"/>
  <c r="J452" i="60"/>
  <c r="L452" i="60"/>
  <c r="E453" i="60"/>
  <c r="I453" i="60"/>
  <c r="J453" i="60"/>
  <c r="L453" i="60"/>
  <c r="E454" i="60"/>
  <c r="I454" i="60"/>
  <c r="J454" i="60"/>
  <c r="L454" i="60"/>
  <c r="E455" i="60"/>
  <c r="I455" i="60"/>
  <c r="J455" i="60"/>
  <c r="L455" i="60"/>
  <c r="I456" i="60"/>
  <c r="J456" i="60"/>
  <c r="L456" i="60"/>
  <c r="I457" i="60"/>
  <c r="J457" i="60"/>
  <c r="L457" i="60"/>
  <c r="I458" i="60"/>
  <c r="J458" i="60"/>
  <c r="L458" i="60"/>
  <c r="E459" i="60"/>
  <c r="I459" i="60"/>
  <c r="J459" i="60"/>
  <c r="L459" i="60"/>
  <c r="I460" i="60"/>
  <c r="J460" i="60"/>
  <c r="L460" i="60"/>
  <c r="I461" i="60"/>
  <c r="J461" i="60"/>
  <c r="L461" i="60"/>
  <c r="I462" i="60"/>
  <c r="J462" i="60"/>
  <c r="L462" i="60"/>
  <c r="I463" i="60"/>
  <c r="J463" i="60"/>
  <c r="L463" i="60"/>
  <c r="I464" i="60"/>
  <c r="J464" i="60"/>
  <c r="L464" i="60"/>
  <c r="I465" i="60"/>
  <c r="J465" i="60"/>
  <c r="L465" i="60"/>
  <c r="I466" i="60"/>
  <c r="J466" i="60"/>
  <c r="L466" i="60"/>
  <c r="I467" i="60"/>
  <c r="J467" i="60"/>
  <c r="L467" i="60"/>
  <c r="I468" i="60"/>
  <c r="J468" i="60"/>
  <c r="L468" i="60"/>
  <c r="I469" i="60"/>
  <c r="J469" i="60"/>
  <c r="L469" i="60"/>
  <c r="I470" i="60"/>
  <c r="J470" i="60"/>
  <c r="L470" i="60"/>
  <c r="I471" i="60"/>
  <c r="J471" i="60"/>
  <c r="L471" i="60"/>
  <c r="I472" i="60"/>
  <c r="J472" i="60"/>
  <c r="L472" i="60"/>
  <c r="I473" i="60"/>
  <c r="J473" i="60"/>
  <c r="L473" i="60"/>
  <c r="I474" i="60"/>
  <c r="J474" i="60"/>
  <c r="L474" i="60"/>
  <c r="I475" i="60"/>
  <c r="J475" i="60"/>
  <c r="L475" i="60"/>
  <c r="I476" i="60"/>
  <c r="J476" i="60"/>
  <c r="L476" i="60"/>
  <c r="E477" i="60"/>
  <c r="I477" i="60"/>
  <c r="J477" i="60"/>
  <c r="L477" i="60"/>
  <c r="I478" i="60"/>
  <c r="J478" i="60"/>
  <c r="L478" i="60"/>
  <c r="I479" i="60"/>
  <c r="J479" i="60"/>
  <c r="L479" i="60"/>
  <c r="I480" i="60"/>
  <c r="J480" i="60"/>
  <c r="L480" i="60"/>
  <c r="I481" i="60"/>
  <c r="J481" i="60"/>
  <c r="L481" i="60"/>
  <c r="E482" i="60"/>
  <c r="I482" i="60"/>
  <c r="J482" i="60"/>
  <c r="L482" i="60"/>
  <c r="E483" i="60"/>
  <c r="I483" i="60"/>
  <c r="J483" i="60"/>
  <c r="L483" i="60"/>
  <c r="E484" i="60"/>
  <c r="I484" i="60"/>
  <c r="J484" i="60"/>
  <c r="L484" i="60"/>
  <c r="I485" i="60"/>
  <c r="J485" i="60"/>
  <c r="L485" i="60"/>
  <c r="I486" i="60"/>
  <c r="J486" i="60"/>
  <c r="L486" i="60"/>
  <c r="I487" i="60"/>
  <c r="J487" i="60"/>
  <c r="L487" i="60"/>
  <c r="I488" i="60"/>
  <c r="J488" i="60"/>
  <c r="L488" i="60"/>
  <c r="I489" i="60"/>
  <c r="J489" i="60"/>
  <c r="L489" i="60"/>
  <c r="I490" i="60"/>
  <c r="J490" i="60"/>
  <c r="L490" i="60"/>
  <c r="I491" i="60"/>
  <c r="J491" i="60"/>
  <c r="L491" i="60"/>
  <c r="I492" i="60"/>
  <c r="J492" i="60"/>
  <c r="L492" i="60"/>
  <c r="I493" i="60"/>
  <c r="J493" i="60"/>
  <c r="L493" i="60"/>
  <c r="I494" i="60"/>
  <c r="J494" i="60"/>
  <c r="L494" i="60"/>
  <c r="I495" i="60"/>
  <c r="J495" i="60"/>
  <c r="L495" i="60"/>
  <c r="I496" i="60"/>
  <c r="J496" i="60"/>
  <c r="L496" i="60"/>
  <c r="I497" i="60"/>
  <c r="J497" i="60"/>
  <c r="L497" i="60"/>
  <c r="I498" i="60"/>
  <c r="J498" i="60"/>
  <c r="L498" i="60"/>
  <c r="I499" i="60"/>
  <c r="J499" i="60"/>
  <c r="L499" i="60"/>
  <c r="I500" i="60"/>
  <c r="J500" i="60"/>
  <c r="L500" i="60"/>
  <c r="I501" i="60"/>
  <c r="J501" i="60"/>
  <c r="L501" i="60"/>
  <c r="E502" i="60"/>
  <c r="I502" i="60"/>
  <c r="J502" i="60"/>
  <c r="L502" i="60"/>
  <c r="E503" i="60"/>
  <c r="I503" i="60"/>
  <c r="J503" i="60"/>
  <c r="L503" i="60"/>
  <c r="E504" i="60"/>
  <c r="I504" i="60"/>
  <c r="J504" i="60"/>
  <c r="L504" i="60"/>
  <c r="E505" i="60"/>
  <c r="I505" i="60"/>
  <c r="J505" i="60"/>
  <c r="L505" i="60"/>
  <c r="E506" i="60"/>
  <c r="I506" i="60"/>
  <c r="J506" i="60"/>
  <c r="L506" i="60"/>
  <c r="E507" i="60"/>
  <c r="I507" i="60"/>
  <c r="J507" i="60"/>
  <c r="L507" i="60"/>
  <c r="E508" i="60"/>
  <c r="I508" i="60"/>
  <c r="J508" i="60"/>
  <c r="L508" i="60"/>
  <c r="I509" i="60"/>
  <c r="J509" i="60"/>
  <c r="L509" i="60"/>
  <c r="I510" i="60"/>
  <c r="J510" i="60"/>
  <c r="L510" i="60"/>
  <c r="E511" i="60"/>
  <c r="I511" i="60"/>
  <c r="J511" i="60"/>
  <c r="L511" i="60"/>
  <c r="I512" i="60"/>
  <c r="J512" i="60"/>
  <c r="L512" i="60"/>
  <c r="E513" i="60"/>
  <c r="I513" i="60"/>
  <c r="J513" i="60"/>
  <c r="L513" i="60"/>
  <c r="I514" i="60"/>
  <c r="J514" i="60"/>
  <c r="L514" i="60"/>
  <c r="E515" i="60"/>
  <c r="I515" i="60"/>
  <c r="J515" i="60"/>
  <c r="L515" i="60"/>
  <c r="I516" i="60"/>
  <c r="J516" i="60"/>
  <c r="L516" i="60"/>
  <c r="I517" i="60"/>
  <c r="J517" i="60"/>
  <c r="L517" i="60"/>
  <c r="I518" i="60"/>
  <c r="J518" i="60"/>
  <c r="L518" i="60"/>
  <c r="I519" i="60"/>
  <c r="J519" i="60"/>
  <c r="L519" i="60"/>
  <c r="E520" i="60"/>
  <c r="I520" i="60"/>
  <c r="J520" i="60"/>
  <c r="L520" i="60"/>
  <c r="E521" i="60"/>
  <c r="I521" i="60"/>
  <c r="J521" i="60"/>
  <c r="L521" i="60"/>
  <c r="I522" i="60"/>
  <c r="J522" i="60"/>
  <c r="L522" i="60"/>
  <c r="I523" i="60"/>
  <c r="J523" i="60"/>
  <c r="L523" i="60"/>
  <c r="I524" i="60"/>
  <c r="J524" i="60"/>
  <c r="L524" i="60"/>
  <c r="I525" i="60"/>
  <c r="J525" i="60"/>
  <c r="L525" i="60"/>
  <c r="L526" i="60"/>
  <c r="O169" i="60"/>
  <c r="N169" i="60"/>
  <c r="O166" i="60"/>
  <c r="N166" i="60"/>
  <c r="I3" i="57"/>
  <c r="J3" i="57"/>
  <c r="K3" i="57"/>
  <c r="L3" i="57"/>
  <c r="I4" i="57"/>
  <c r="J4" i="57"/>
  <c r="K4" i="57"/>
  <c r="L4" i="57"/>
  <c r="I5" i="57"/>
  <c r="J5" i="57"/>
  <c r="L5" i="57"/>
  <c r="I6" i="57"/>
  <c r="J6" i="57"/>
  <c r="L6" i="57"/>
  <c r="I7" i="57"/>
  <c r="J7" i="57"/>
  <c r="L7" i="57"/>
  <c r="I8" i="57"/>
  <c r="J8" i="57"/>
  <c r="L8" i="57"/>
  <c r="I9" i="57"/>
  <c r="J9" i="57"/>
  <c r="L9" i="57"/>
  <c r="I10" i="57"/>
  <c r="J10" i="57"/>
  <c r="L10" i="57"/>
  <c r="I11" i="57"/>
  <c r="J11" i="57"/>
  <c r="L11" i="57"/>
  <c r="I12" i="57"/>
  <c r="J12" i="57"/>
  <c r="L12" i="57"/>
  <c r="I13" i="57"/>
  <c r="J13" i="57"/>
  <c r="L13" i="57"/>
  <c r="I14" i="57"/>
  <c r="J14" i="57"/>
  <c r="L14" i="57"/>
  <c r="I15" i="57"/>
  <c r="J15" i="57"/>
  <c r="L15" i="57"/>
  <c r="I16" i="57"/>
  <c r="J16" i="57"/>
  <c r="L16" i="57"/>
  <c r="I17" i="57"/>
  <c r="J17" i="57"/>
  <c r="L17" i="57"/>
  <c r="I18" i="57"/>
  <c r="J18" i="57"/>
  <c r="L18" i="57"/>
  <c r="I19" i="57"/>
  <c r="J19" i="57"/>
  <c r="L19" i="57"/>
  <c r="I20" i="57"/>
  <c r="J20" i="57"/>
  <c r="L20" i="57"/>
  <c r="I21" i="57"/>
  <c r="J21" i="57"/>
  <c r="L21" i="57"/>
  <c r="I22" i="57"/>
  <c r="J22" i="57"/>
  <c r="L22" i="57"/>
  <c r="I23" i="57"/>
  <c r="J23" i="57"/>
  <c r="L23" i="57"/>
  <c r="I24" i="57"/>
  <c r="J24" i="57"/>
  <c r="L24" i="57"/>
  <c r="I25" i="57"/>
  <c r="J25" i="57"/>
  <c r="L25" i="57"/>
  <c r="I26" i="57"/>
  <c r="J26" i="57"/>
  <c r="L26" i="57"/>
  <c r="I27" i="57"/>
  <c r="J27" i="57"/>
  <c r="L27" i="57"/>
  <c r="I28" i="57"/>
  <c r="J28" i="57"/>
  <c r="L28" i="57"/>
  <c r="I29" i="57"/>
  <c r="J29" i="57"/>
  <c r="L29" i="57"/>
  <c r="I30" i="57"/>
  <c r="J30" i="57"/>
  <c r="L30" i="57"/>
  <c r="I31" i="57"/>
  <c r="J31" i="57"/>
  <c r="L31" i="57"/>
  <c r="I32" i="57"/>
  <c r="J32" i="57"/>
  <c r="L32" i="57"/>
  <c r="I33" i="57"/>
  <c r="J33" i="57"/>
  <c r="L33" i="57"/>
  <c r="I34" i="57"/>
  <c r="J34" i="57"/>
  <c r="L34" i="57"/>
  <c r="I35" i="57"/>
  <c r="J35" i="57"/>
  <c r="L35" i="57"/>
  <c r="I36" i="57"/>
  <c r="J36" i="57"/>
  <c r="L36" i="57"/>
  <c r="I37" i="57"/>
  <c r="J37" i="57"/>
  <c r="L37" i="57"/>
  <c r="I38" i="57"/>
  <c r="J38" i="57"/>
  <c r="L38" i="57"/>
  <c r="I39" i="57"/>
  <c r="J39" i="57"/>
  <c r="L39" i="57"/>
  <c r="I40" i="57"/>
  <c r="J40" i="57"/>
  <c r="L40" i="57"/>
  <c r="I41" i="57"/>
  <c r="J41" i="57"/>
  <c r="L41" i="57"/>
  <c r="I42" i="57"/>
  <c r="J42" i="57"/>
  <c r="L42" i="57"/>
  <c r="I43" i="57"/>
  <c r="J43" i="57"/>
  <c r="L43" i="57"/>
  <c r="I44" i="57"/>
  <c r="J44" i="57"/>
  <c r="L44" i="57"/>
  <c r="I45" i="57"/>
  <c r="J45" i="57"/>
  <c r="L45" i="57"/>
  <c r="I46" i="57"/>
  <c r="J46" i="57"/>
  <c r="L46" i="57"/>
  <c r="E47" i="57"/>
  <c r="I47" i="57"/>
  <c r="J47" i="57"/>
  <c r="L47" i="57"/>
  <c r="I48" i="57"/>
  <c r="J48" i="57"/>
  <c r="L48" i="57"/>
  <c r="J49" i="57"/>
  <c r="L49" i="57"/>
  <c r="I50" i="57"/>
  <c r="J50" i="57"/>
  <c r="L50" i="57"/>
  <c r="I51" i="57"/>
  <c r="J51" i="57"/>
  <c r="L51" i="57"/>
  <c r="I52" i="57"/>
  <c r="J52" i="57"/>
  <c r="L52" i="57"/>
  <c r="I53" i="57"/>
  <c r="J53" i="57"/>
  <c r="L53" i="57"/>
  <c r="I54" i="57"/>
  <c r="J54" i="57"/>
  <c r="L54" i="57"/>
  <c r="I55" i="57"/>
  <c r="J55" i="57"/>
  <c r="L55" i="57"/>
  <c r="I56" i="57"/>
  <c r="J56" i="57"/>
  <c r="L56" i="57"/>
  <c r="I57" i="57"/>
  <c r="J57" i="57"/>
  <c r="L57" i="57"/>
  <c r="I58" i="57"/>
  <c r="J58" i="57"/>
  <c r="L58" i="57"/>
  <c r="I59" i="57"/>
  <c r="J59" i="57"/>
  <c r="L59" i="57"/>
  <c r="I60" i="57"/>
  <c r="J60" i="57"/>
  <c r="L60" i="57"/>
  <c r="I61" i="57"/>
  <c r="J61" i="57"/>
  <c r="L61" i="57"/>
  <c r="E62" i="57"/>
  <c r="I62" i="57"/>
  <c r="J62" i="57"/>
  <c r="L62" i="57"/>
  <c r="I63" i="57"/>
  <c r="J63" i="57"/>
  <c r="L63" i="57"/>
  <c r="E64" i="57"/>
  <c r="I64" i="57"/>
  <c r="J64" i="57"/>
  <c r="L64" i="57"/>
  <c r="I65" i="57"/>
  <c r="J65" i="57"/>
  <c r="L65" i="57"/>
  <c r="I66" i="57"/>
  <c r="J66" i="57"/>
  <c r="L66" i="57"/>
  <c r="I67" i="57"/>
  <c r="J67" i="57"/>
  <c r="L67" i="57"/>
  <c r="I68" i="57"/>
  <c r="J68" i="57"/>
  <c r="L68" i="57"/>
  <c r="I69" i="57"/>
  <c r="J69" i="57"/>
  <c r="L69" i="57"/>
  <c r="I70" i="57"/>
  <c r="J70" i="57"/>
  <c r="L70" i="57"/>
  <c r="I71" i="57"/>
  <c r="J71" i="57"/>
  <c r="L71" i="57"/>
  <c r="I72" i="57"/>
  <c r="J72" i="57"/>
  <c r="L72" i="57"/>
  <c r="I73" i="57"/>
  <c r="J73" i="57"/>
  <c r="L73" i="57"/>
  <c r="I74" i="57"/>
  <c r="J74" i="57"/>
  <c r="L74" i="57"/>
  <c r="I75" i="57"/>
  <c r="J75" i="57"/>
  <c r="L75" i="57"/>
  <c r="I76" i="57"/>
  <c r="J76" i="57"/>
  <c r="L76" i="57"/>
  <c r="I77" i="57"/>
  <c r="J77" i="57"/>
  <c r="L77" i="57"/>
  <c r="I78" i="57"/>
  <c r="J78" i="57"/>
  <c r="L78" i="57"/>
  <c r="I79" i="57"/>
  <c r="J79" i="57"/>
  <c r="L79" i="57"/>
  <c r="I80" i="57"/>
  <c r="J80" i="57"/>
  <c r="L80" i="57"/>
  <c r="I81" i="57"/>
  <c r="J81" i="57"/>
  <c r="L81" i="57"/>
  <c r="I82" i="57"/>
  <c r="J82" i="57"/>
  <c r="L82" i="57"/>
  <c r="I83" i="57"/>
  <c r="J83" i="57"/>
  <c r="L83" i="57"/>
  <c r="I84" i="57"/>
  <c r="J84" i="57"/>
  <c r="L84" i="57"/>
  <c r="I85" i="57"/>
  <c r="J85" i="57"/>
  <c r="L85" i="57"/>
  <c r="I86" i="57"/>
  <c r="J86" i="57"/>
  <c r="L86" i="57"/>
  <c r="I87" i="57"/>
  <c r="J87" i="57"/>
  <c r="L87" i="57"/>
  <c r="I88" i="57"/>
  <c r="J88" i="57"/>
  <c r="L88" i="57"/>
  <c r="I89" i="57"/>
  <c r="J89" i="57"/>
  <c r="L89" i="57"/>
  <c r="I90" i="57"/>
  <c r="J90" i="57"/>
  <c r="L90" i="57"/>
  <c r="I91" i="57"/>
  <c r="J91" i="57"/>
  <c r="L91" i="57"/>
  <c r="I92" i="57"/>
  <c r="J92" i="57"/>
  <c r="L92" i="57"/>
  <c r="I93" i="57"/>
  <c r="J93" i="57"/>
  <c r="L93" i="57"/>
  <c r="I94" i="57"/>
  <c r="J94" i="57"/>
  <c r="L94" i="57"/>
  <c r="I95" i="57"/>
  <c r="J95" i="57"/>
  <c r="L95" i="57"/>
  <c r="I96" i="57"/>
  <c r="J96" i="57"/>
  <c r="L96" i="57"/>
  <c r="I97" i="57"/>
  <c r="J97" i="57"/>
  <c r="L97" i="57"/>
  <c r="I98" i="57"/>
  <c r="J98" i="57"/>
  <c r="L98" i="57"/>
  <c r="I99" i="57"/>
  <c r="J99" i="57"/>
  <c r="L99" i="57"/>
  <c r="I100" i="57"/>
  <c r="J100" i="57"/>
  <c r="L100" i="57"/>
  <c r="I101" i="57"/>
  <c r="J101" i="57"/>
  <c r="L101" i="57"/>
  <c r="I102" i="57"/>
  <c r="J102" i="57"/>
  <c r="L102" i="57"/>
  <c r="I103" i="57"/>
  <c r="J103" i="57"/>
  <c r="L103" i="57"/>
  <c r="I104" i="57"/>
  <c r="J104" i="57"/>
  <c r="L104" i="57"/>
  <c r="I105" i="57"/>
  <c r="J105" i="57"/>
  <c r="L105" i="57"/>
  <c r="I106" i="57"/>
  <c r="J106" i="57"/>
  <c r="L106" i="57"/>
  <c r="I107" i="57"/>
  <c r="J107" i="57"/>
  <c r="L107" i="57"/>
  <c r="I108" i="57"/>
  <c r="J108" i="57"/>
  <c r="L108" i="57"/>
  <c r="I109" i="57"/>
  <c r="J109" i="57"/>
  <c r="L109" i="57"/>
  <c r="I110" i="57"/>
  <c r="J110" i="57"/>
  <c r="L110" i="57"/>
  <c r="I111" i="57"/>
  <c r="J111" i="57"/>
  <c r="L111" i="57"/>
  <c r="I112" i="57"/>
  <c r="J112" i="57"/>
  <c r="L112" i="57"/>
  <c r="I113" i="57"/>
  <c r="J113" i="57"/>
  <c r="L113" i="57"/>
  <c r="I114" i="57"/>
  <c r="J114" i="57"/>
  <c r="L114" i="57"/>
  <c r="I115" i="57"/>
  <c r="J115" i="57"/>
  <c r="L115" i="57"/>
  <c r="I116" i="57"/>
  <c r="J116" i="57"/>
  <c r="L116" i="57"/>
  <c r="I117" i="57"/>
  <c r="J117" i="57"/>
  <c r="L117" i="57"/>
  <c r="I118" i="57"/>
  <c r="J118" i="57"/>
  <c r="L118" i="57"/>
  <c r="I119" i="57"/>
  <c r="J119" i="57"/>
  <c r="L119" i="57"/>
  <c r="I120" i="57"/>
  <c r="J120" i="57"/>
  <c r="L120" i="57"/>
  <c r="I121" i="57"/>
  <c r="J121" i="57"/>
  <c r="L121" i="57"/>
  <c r="I122" i="57"/>
  <c r="J122" i="57"/>
  <c r="L122" i="57"/>
  <c r="I123" i="57"/>
  <c r="J123" i="57"/>
  <c r="L123" i="57"/>
  <c r="I124" i="57"/>
  <c r="J124" i="57"/>
  <c r="L124" i="57"/>
  <c r="I125" i="57"/>
  <c r="J125" i="57"/>
  <c r="L125" i="57"/>
  <c r="I126" i="57"/>
  <c r="J126" i="57"/>
  <c r="L126" i="57"/>
  <c r="I127" i="57"/>
  <c r="J127" i="57"/>
  <c r="L127" i="57"/>
  <c r="I128" i="57"/>
  <c r="J128" i="57"/>
  <c r="L128" i="57"/>
  <c r="I129" i="57"/>
  <c r="J129" i="57"/>
  <c r="L129" i="57"/>
  <c r="I130" i="57"/>
  <c r="J130" i="57"/>
  <c r="L130" i="57"/>
  <c r="I131" i="57"/>
  <c r="J131" i="57"/>
  <c r="L131" i="57"/>
  <c r="I132" i="57"/>
  <c r="J132" i="57"/>
  <c r="L132" i="57"/>
  <c r="I133" i="57"/>
  <c r="J133" i="57"/>
  <c r="L133" i="57"/>
  <c r="I134" i="57"/>
  <c r="J134" i="57"/>
  <c r="L134" i="57"/>
  <c r="I135" i="57"/>
  <c r="J135" i="57"/>
  <c r="L135" i="57"/>
  <c r="I136" i="57"/>
  <c r="J136" i="57"/>
  <c r="L136" i="57"/>
  <c r="I137" i="57"/>
  <c r="J137" i="57"/>
  <c r="L137" i="57"/>
  <c r="I138" i="57"/>
  <c r="J138" i="57"/>
  <c r="L138" i="57"/>
  <c r="I139" i="57"/>
  <c r="J139" i="57"/>
  <c r="L139" i="57"/>
  <c r="I140" i="57"/>
  <c r="J140" i="57"/>
  <c r="L140" i="57"/>
  <c r="I141" i="57"/>
  <c r="J141" i="57"/>
  <c r="L141" i="57"/>
  <c r="I142" i="57"/>
  <c r="J142" i="57"/>
  <c r="L142" i="57"/>
  <c r="I143" i="57"/>
  <c r="J143" i="57"/>
  <c r="L143" i="57"/>
  <c r="I144" i="57"/>
  <c r="J144" i="57"/>
  <c r="L144" i="57"/>
  <c r="I145" i="57"/>
  <c r="J145" i="57"/>
  <c r="L145" i="57"/>
  <c r="I146" i="57"/>
  <c r="J146" i="57"/>
  <c r="L146" i="57"/>
  <c r="I147" i="57"/>
  <c r="J147" i="57"/>
  <c r="L147" i="57"/>
  <c r="I148" i="57"/>
  <c r="J148" i="57"/>
  <c r="L148" i="57"/>
  <c r="I149" i="57"/>
  <c r="J149" i="57"/>
  <c r="L149" i="57"/>
  <c r="I150" i="57"/>
  <c r="J150" i="57"/>
  <c r="L150" i="57"/>
  <c r="E151" i="57"/>
  <c r="I151" i="57"/>
  <c r="J151" i="57"/>
  <c r="L151" i="57"/>
  <c r="E152" i="57"/>
  <c r="I152" i="57"/>
  <c r="J152" i="57"/>
  <c r="L152" i="57"/>
  <c r="E153" i="57"/>
  <c r="I153" i="57"/>
  <c r="J153" i="57"/>
  <c r="L153" i="57"/>
  <c r="E154" i="57"/>
  <c r="I154" i="57"/>
  <c r="J154" i="57"/>
  <c r="L154" i="57"/>
  <c r="J155" i="57"/>
  <c r="L155" i="57"/>
  <c r="I156" i="57"/>
  <c r="J156" i="57"/>
  <c r="L156" i="57"/>
  <c r="I157" i="57"/>
  <c r="J157" i="57"/>
  <c r="L157" i="57"/>
  <c r="I158" i="57"/>
  <c r="J158" i="57"/>
  <c r="L158" i="57"/>
  <c r="I159" i="57"/>
  <c r="J159" i="57"/>
  <c r="L159" i="57"/>
  <c r="E160" i="57"/>
  <c r="I160" i="57"/>
  <c r="J160" i="57"/>
  <c r="L160" i="57"/>
  <c r="I161" i="57"/>
  <c r="J161" i="57"/>
  <c r="L161" i="57"/>
  <c r="I162" i="57"/>
  <c r="J162" i="57"/>
  <c r="L162" i="57"/>
  <c r="E163" i="57"/>
  <c r="I163" i="57"/>
  <c r="J163" i="57"/>
  <c r="L163" i="57"/>
  <c r="E164" i="57"/>
  <c r="I164" i="57"/>
  <c r="J164" i="57"/>
  <c r="L164" i="57"/>
  <c r="I165" i="57"/>
  <c r="J165" i="57"/>
  <c r="L165" i="57"/>
  <c r="E166" i="57"/>
  <c r="I166" i="57"/>
  <c r="J166" i="57"/>
  <c r="L166" i="57"/>
  <c r="I167" i="57"/>
  <c r="J167" i="57"/>
  <c r="L167" i="57"/>
  <c r="E168" i="57"/>
  <c r="I168" i="57"/>
  <c r="J168" i="57"/>
  <c r="L168" i="57"/>
  <c r="E169" i="57"/>
  <c r="I169" i="57"/>
  <c r="J169" i="57"/>
  <c r="L169" i="57"/>
  <c r="I170" i="57"/>
  <c r="J170" i="57"/>
  <c r="L170" i="57"/>
  <c r="E171" i="57"/>
  <c r="I171" i="57"/>
  <c r="J171" i="57"/>
  <c r="L171" i="57"/>
  <c r="I172" i="57"/>
  <c r="J172" i="57"/>
  <c r="L172" i="57"/>
  <c r="I173" i="57"/>
  <c r="J173" i="57"/>
  <c r="L173" i="57"/>
  <c r="I174" i="57"/>
  <c r="J174" i="57"/>
  <c r="L174" i="57"/>
  <c r="I175" i="57"/>
  <c r="J175" i="57"/>
  <c r="L175" i="57"/>
  <c r="I176" i="57"/>
  <c r="J176" i="57"/>
  <c r="L176" i="57"/>
  <c r="I177" i="57"/>
  <c r="J177" i="57"/>
  <c r="L177" i="57"/>
  <c r="I178" i="57"/>
  <c r="J178" i="57"/>
  <c r="L178" i="57"/>
  <c r="J179" i="57"/>
  <c r="L179" i="57"/>
  <c r="I180" i="57"/>
  <c r="J180" i="57"/>
  <c r="L180" i="57"/>
  <c r="I181" i="57"/>
  <c r="J181" i="57"/>
  <c r="L181" i="57"/>
  <c r="I182" i="57"/>
  <c r="J182" i="57"/>
  <c r="L182" i="57"/>
  <c r="I183" i="57"/>
  <c r="J183" i="57"/>
  <c r="L183" i="57"/>
  <c r="J184" i="57"/>
  <c r="L184" i="57"/>
  <c r="I185" i="57"/>
  <c r="J185" i="57"/>
  <c r="L185" i="57"/>
  <c r="I186" i="57"/>
  <c r="J186" i="57"/>
  <c r="L186" i="57"/>
  <c r="I187" i="57"/>
  <c r="J187" i="57"/>
  <c r="L187" i="57"/>
  <c r="I188" i="57"/>
  <c r="J188" i="57"/>
  <c r="L188" i="57"/>
  <c r="E189" i="57"/>
  <c r="I189" i="57"/>
  <c r="J189" i="57"/>
  <c r="L189" i="57"/>
  <c r="E190" i="57"/>
  <c r="I190" i="57"/>
  <c r="J190" i="57"/>
  <c r="L190" i="57"/>
  <c r="E191" i="57"/>
  <c r="I191" i="57"/>
  <c r="J191" i="57"/>
  <c r="L191" i="57"/>
  <c r="E192" i="57"/>
  <c r="I192" i="57"/>
  <c r="J192" i="57"/>
  <c r="L192" i="57"/>
  <c r="E193" i="57"/>
  <c r="I193" i="57"/>
  <c r="J193" i="57"/>
  <c r="L193" i="57"/>
  <c r="E194" i="57"/>
  <c r="I194" i="57"/>
  <c r="J194" i="57"/>
  <c r="L194" i="57"/>
  <c r="I195" i="57"/>
  <c r="J195" i="57"/>
  <c r="L195" i="57"/>
  <c r="I196" i="57"/>
  <c r="J196" i="57"/>
  <c r="L196" i="57"/>
  <c r="I197" i="57"/>
  <c r="J197" i="57"/>
  <c r="L197" i="57"/>
  <c r="I198" i="57"/>
  <c r="J198" i="57"/>
  <c r="L198" i="57"/>
  <c r="E199" i="57"/>
  <c r="I199" i="57"/>
  <c r="J199" i="57"/>
  <c r="L199" i="57"/>
  <c r="I200" i="57"/>
  <c r="J200" i="57"/>
  <c r="L200" i="57"/>
  <c r="I201" i="57"/>
  <c r="J201" i="57"/>
  <c r="L201" i="57"/>
  <c r="I202" i="57"/>
  <c r="J202" i="57"/>
  <c r="L202" i="57"/>
  <c r="I203" i="57"/>
  <c r="J203" i="57"/>
  <c r="L203" i="57"/>
  <c r="E204" i="57"/>
  <c r="I204" i="57"/>
  <c r="J204" i="57"/>
  <c r="L204" i="57"/>
  <c r="E205" i="57"/>
  <c r="I205" i="57"/>
  <c r="J205" i="57"/>
  <c r="L205" i="57"/>
  <c r="E206" i="57"/>
  <c r="I206" i="57"/>
  <c r="J206" i="57"/>
  <c r="L206" i="57"/>
  <c r="E207" i="57"/>
  <c r="I207" i="57"/>
  <c r="J207" i="57"/>
  <c r="L207" i="57"/>
  <c r="E208" i="57"/>
  <c r="I208" i="57"/>
  <c r="J208" i="57"/>
  <c r="L208" i="57"/>
  <c r="E209" i="57"/>
  <c r="I209" i="57"/>
  <c r="J209" i="57"/>
  <c r="L209" i="57"/>
  <c r="E210" i="57"/>
  <c r="I210" i="57"/>
  <c r="J210" i="57"/>
  <c r="L210" i="57"/>
  <c r="I211" i="57"/>
  <c r="J211" i="57"/>
  <c r="L211" i="57"/>
  <c r="I212" i="57"/>
  <c r="J212" i="57"/>
  <c r="L212" i="57"/>
  <c r="I213" i="57"/>
  <c r="J213" i="57"/>
  <c r="L213" i="57"/>
  <c r="I214" i="57"/>
  <c r="J214" i="57"/>
  <c r="L214" i="57"/>
  <c r="I215" i="57"/>
  <c r="J215" i="57"/>
  <c r="L215" i="57"/>
  <c r="I216" i="57"/>
  <c r="J216" i="57"/>
  <c r="L216" i="57"/>
  <c r="I217" i="57"/>
  <c r="J217" i="57"/>
  <c r="L217" i="57"/>
  <c r="I218" i="57"/>
  <c r="J218" i="57"/>
  <c r="L218" i="57"/>
  <c r="I219" i="57"/>
  <c r="J219" i="57"/>
  <c r="L219" i="57"/>
  <c r="I220" i="57"/>
  <c r="J220" i="57"/>
  <c r="L220" i="57"/>
  <c r="I221" i="57"/>
  <c r="J221" i="57"/>
  <c r="L221" i="57"/>
  <c r="E222" i="57"/>
  <c r="I222" i="57"/>
  <c r="J222" i="57"/>
  <c r="L222" i="57"/>
  <c r="E223" i="57"/>
  <c r="I223" i="57"/>
  <c r="J223" i="57"/>
  <c r="L223" i="57"/>
  <c r="E224" i="57"/>
  <c r="I224" i="57"/>
  <c r="J224" i="57"/>
  <c r="L224" i="57"/>
  <c r="I225" i="57"/>
  <c r="J225" i="57"/>
  <c r="L225" i="57"/>
  <c r="I226" i="57"/>
  <c r="J226" i="57"/>
  <c r="L226" i="57"/>
  <c r="I227" i="57"/>
  <c r="J227" i="57"/>
  <c r="L227" i="57"/>
  <c r="I228" i="57"/>
  <c r="J228" i="57"/>
  <c r="L228" i="57"/>
  <c r="I229" i="57"/>
  <c r="J229" i="57"/>
  <c r="L229" i="57"/>
  <c r="I230" i="57"/>
  <c r="J230" i="57"/>
  <c r="L230" i="57"/>
  <c r="I231" i="57"/>
  <c r="J231" i="57"/>
  <c r="L231" i="57"/>
  <c r="I232" i="57"/>
  <c r="J232" i="57"/>
  <c r="L232" i="57"/>
  <c r="I233" i="57"/>
  <c r="J233" i="57"/>
  <c r="L233" i="57"/>
  <c r="I234" i="57"/>
  <c r="J234" i="57"/>
  <c r="L234" i="57"/>
  <c r="I235" i="57"/>
  <c r="J235" i="57"/>
  <c r="L235" i="57"/>
  <c r="I236" i="57"/>
  <c r="J236" i="57"/>
  <c r="L236" i="57"/>
  <c r="I237" i="57"/>
  <c r="J237" i="57"/>
  <c r="L237" i="57"/>
  <c r="I238" i="57"/>
  <c r="J238" i="57"/>
  <c r="L238" i="57"/>
  <c r="I239" i="57"/>
  <c r="J239" i="57"/>
  <c r="L239" i="57"/>
  <c r="I240" i="57"/>
  <c r="J240" i="57"/>
  <c r="L240" i="57"/>
  <c r="E241" i="57"/>
  <c r="I241" i="57"/>
  <c r="J241" i="57"/>
  <c r="L241" i="57"/>
  <c r="I242" i="57"/>
  <c r="J242" i="57"/>
  <c r="L242" i="57"/>
  <c r="I243" i="57"/>
  <c r="J243" i="57"/>
  <c r="L243" i="57"/>
  <c r="E244" i="57"/>
  <c r="I244" i="57"/>
  <c r="J244" i="57"/>
  <c r="L244" i="57"/>
  <c r="E245" i="57"/>
  <c r="I245" i="57"/>
  <c r="J245" i="57"/>
  <c r="L245" i="57"/>
  <c r="E246" i="57"/>
  <c r="I246" i="57"/>
  <c r="J246" i="57"/>
  <c r="L246" i="57"/>
  <c r="E247" i="57"/>
  <c r="I247" i="57"/>
  <c r="J247" i="57"/>
  <c r="L247" i="57"/>
  <c r="E248" i="57"/>
  <c r="I248" i="57"/>
  <c r="J248" i="57"/>
  <c r="L248" i="57"/>
  <c r="E249" i="57"/>
  <c r="I249" i="57"/>
  <c r="J249" i="57"/>
  <c r="L249" i="57"/>
  <c r="E250" i="57"/>
  <c r="I250" i="57"/>
  <c r="J250" i="57"/>
  <c r="L250" i="57"/>
  <c r="E251" i="57"/>
  <c r="I251" i="57"/>
  <c r="J251" i="57"/>
  <c r="L251" i="57"/>
  <c r="E252" i="57"/>
  <c r="I252" i="57"/>
  <c r="J252" i="57"/>
  <c r="L252" i="57"/>
  <c r="E253" i="57"/>
  <c r="I253" i="57"/>
  <c r="J253" i="57"/>
  <c r="L253" i="57"/>
  <c r="E254" i="57"/>
  <c r="I254" i="57"/>
  <c r="J254" i="57"/>
  <c r="L254" i="57"/>
  <c r="E255" i="57"/>
  <c r="I255" i="57"/>
  <c r="J255" i="57"/>
  <c r="L255" i="57"/>
  <c r="E256" i="57"/>
  <c r="I256" i="57"/>
  <c r="J256" i="57"/>
  <c r="L256" i="57"/>
  <c r="E257" i="57"/>
  <c r="I257" i="57"/>
  <c r="J257" i="57"/>
  <c r="L257" i="57"/>
  <c r="E258" i="57"/>
  <c r="I258" i="57"/>
  <c r="J258" i="57"/>
  <c r="L258" i="57"/>
  <c r="E259" i="57"/>
  <c r="I259" i="57"/>
  <c r="J259" i="57"/>
  <c r="L259" i="57"/>
  <c r="I260" i="57"/>
  <c r="J260" i="57"/>
  <c r="L260" i="57"/>
  <c r="I261" i="57"/>
  <c r="J261" i="57"/>
  <c r="L261" i="57"/>
  <c r="I262" i="57"/>
  <c r="J262" i="57"/>
  <c r="L262" i="57"/>
  <c r="I263" i="57"/>
  <c r="J263" i="57"/>
  <c r="L263" i="57"/>
  <c r="I264" i="57"/>
  <c r="J264" i="57"/>
  <c r="L264" i="57"/>
  <c r="E265" i="57"/>
  <c r="I265" i="57"/>
  <c r="J265" i="57"/>
  <c r="L265" i="57"/>
  <c r="I266" i="57"/>
  <c r="J266" i="57"/>
  <c r="L266" i="57"/>
  <c r="I267" i="57"/>
  <c r="J267" i="57"/>
  <c r="L267" i="57"/>
  <c r="I268" i="57"/>
  <c r="J268" i="57"/>
  <c r="L268" i="57"/>
  <c r="E269" i="57"/>
  <c r="I269" i="57"/>
  <c r="J269" i="57"/>
  <c r="L269" i="57"/>
  <c r="E270" i="57"/>
  <c r="I270" i="57"/>
  <c r="J270" i="57"/>
  <c r="L270" i="57"/>
  <c r="E271" i="57"/>
  <c r="I271" i="57"/>
  <c r="J271" i="57"/>
  <c r="L271" i="57"/>
  <c r="E272" i="57"/>
  <c r="I272" i="57"/>
  <c r="J272" i="57"/>
  <c r="L272" i="57"/>
  <c r="E273" i="57"/>
  <c r="I273" i="57"/>
  <c r="J273" i="57"/>
  <c r="L273" i="57"/>
  <c r="E274" i="57"/>
  <c r="I274" i="57"/>
  <c r="J274" i="57"/>
  <c r="L274" i="57"/>
  <c r="E275" i="57"/>
  <c r="I275" i="57"/>
  <c r="J275" i="57"/>
  <c r="L275" i="57"/>
  <c r="E276" i="57"/>
  <c r="I276" i="57"/>
  <c r="J276" i="57"/>
  <c r="L276" i="57"/>
  <c r="E277" i="57"/>
  <c r="I277" i="57"/>
  <c r="J277" i="57"/>
  <c r="L277" i="57"/>
  <c r="I278" i="57"/>
  <c r="J278" i="57"/>
  <c r="L278" i="57"/>
  <c r="E279" i="57"/>
  <c r="I279" i="57"/>
  <c r="J279" i="57"/>
  <c r="L279" i="57"/>
  <c r="E280" i="57"/>
  <c r="I280" i="57"/>
  <c r="J280" i="57"/>
  <c r="L280" i="57"/>
  <c r="E281" i="57"/>
  <c r="I281" i="57"/>
  <c r="J281" i="57"/>
  <c r="L281" i="57"/>
  <c r="E282" i="57"/>
  <c r="I282" i="57"/>
  <c r="J282" i="57"/>
  <c r="L282" i="57"/>
  <c r="E283" i="57"/>
  <c r="I283" i="57"/>
  <c r="J283" i="57"/>
  <c r="L283" i="57"/>
  <c r="I284" i="57"/>
  <c r="J284" i="57"/>
  <c r="L284" i="57"/>
  <c r="I285" i="57"/>
  <c r="J285" i="57"/>
  <c r="L285" i="57"/>
  <c r="I286" i="57"/>
  <c r="J286" i="57"/>
  <c r="L286" i="57"/>
  <c r="I287" i="57"/>
  <c r="J287" i="57"/>
  <c r="L287" i="57"/>
  <c r="I288" i="57"/>
  <c r="J288" i="57"/>
  <c r="L288" i="57"/>
  <c r="I289" i="57"/>
  <c r="J289" i="57"/>
  <c r="L289" i="57"/>
  <c r="I290" i="57"/>
  <c r="J290" i="57"/>
  <c r="L290" i="57"/>
  <c r="I291" i="57"/>
  <c r="J291" i="57"/>
  <c r="L291" i="57"/>
  <c r="I292" i="57"/>
  <c r="J292" i="57"/>
  <c r="L292" i="57"/>
  <c r="I293" i="57"/>
  <c r="J293" i="57"/>
  <c r="L293" i="57"/>
  <c r="I294" i="57"/>
  <c r="J294" i="57"/>
  <c r="L294" i="57"/>
  <c r="I295" i="57"/>
  <c r="J295" i="57"/>
  <c r="L295" i="57"/>
  <c r="I296" i="57"/>
  <c r="J296" i="57"/>
  <c r="L296" i="57"/>
  <c r="I297" i="57"/>
  <c r="J297" i="57"/>
  <c r="L297" i="57"/>
  <c r="I298" i="57"/>
  <c r="J298" i="57"/>
  <c r="L298" i="57"/>
  <c r="I299" i="57"/>
  <c r="J299" i="57"/>
  <c r="L299" i="57"/>
  <c r="I300" i="57"/>
  <c r="J300" i="57"/>
  <c r="L300" i="57"/>
  <c r="I301" i="57"/>
  <c r="J301" i="57"/>
  <c r="L301" i="57"/>
  <c r="I302" i="57"/>
  <c r="J302" i="57"/>
  <c r="L302" i="57"/>
  <c r="I303" i="57"/>
  <c r="J303" i="57"/>
  <c r="L303" i="57"/>
  <c r="I304" i="57"/>
  <c r="J304" i="57"/>
  <c r="L304" i="57"/>
  <c r="I305" i="57"/>
  <c r="J305" i="57"/>
  <c r="L305" i="57"/>
  <c r="I306" i="57"/>
  <c r="J306" i="57"/>
  <c r="L306" i="57"/>
  <c r="I307" i="57"/>
  <c r="J307" i="57"/>
  <c r="L307" i="57"/>
  <c r="I308" i="57"/>
  <c r="J308" i="57"/>
  <c r="L308" i="57"/>
  <c r="I309" i="57"/>
  <c r="J309" i="57"/>
  <c r="L309" i="57"/>
  <c r="I310" i="57"/>
  <c r="J310" i="57"/>
  <c r="L310" i="57"/>
  <c r="I311" i="57"/>
  <c r="J311" i="57"/>
  <c r="L311" i="57"/>
  <c r="I312" i="57"/>
  <c r="J312" i="57"/>
  <c r="L312" i="57"/>
  <c r="I313" i="57"/>
  <c r="J313" i="57"/>
  <c r="L313" i="57"/>
  <c r="I314" i="57"/>
  <c r="J314" i="57"/>
  <c r="L314" i="57"/>
  <c r="E315" i="57"/>
  <c r="I315" i="57"/>
  <c r="J315" i="57"/>
  <c r="L315" i="57"/>
  <c r="E316" i="57"/>
  <c r="I316" i="57"/>
  <c r="J316" i="57"/>
  <c r="L316" i="57"/>
  <c r="E317" i="57"/>
  <c r="I317" i="57"/>
  <c r="J317" i="57"/>
  <c r="L317" i="57"/>
  <c r="E318" i="57"/>
  <c r="I318" i="57"/>
  <c r="J318" i="57"/>
  <c r="L318" i="57"/>
  <c r="E319" i="57"/>
  <c r="I319" i="57"/>
  <c r="J319" i="57"/>
  <c r="L319" i="57"/>
  <c r="E320" i="57"/>
  <c r="I320" i="57"/>
  <c r="J320" i="57"/>
  <c r="L320" i="57"/>
  <c r="E321" i="57"/>
  <c r="I321" i="57"/>
  <c r="J321" i="57"/>
  <c r="L321" i="57"/>
  <c r="E322" i="57"/>
  <c r="I322" i="57"/>
  <c r="J322" i="57"/>
  <c r="L322" i="57"/>
  <c r="E323" i="57"/>
  <c r="I323" i="57"/>
  <c r="J323" i="57"/>
  <c r="L323" i="57"/>
  <c r="I324" i="57"/>
  <c r="J324" i="57"/>
  <c r="L324" i="57"/>
  <c r="I325" i="57"/>
  <c r="J325" i="57"/>
  <c r="L325" i="57"/>
  <c r="E326" i="57"/>
  <c r="I326" i="57"/>
  <c r="J326" i="57"/>
  <c r="L326" i="57"/>
  <c r="E327" i="57"/>
  <c r="I327" i="57"/>
  <c r="J327" i="57"/>
  <c r="L327" i="57"/>
  <c r="I328" i="57"/>
  <c r="J328" i="57"/>
  <c r="L328" i="57"/>
  <c r="I329" i="57"/>
  <c r="J329" i="57"/>
  <c r="L329" i="57"/>
  <c r="I330" i="57"/>
  <c r="J330" i="57"/>
  <c r="L330" i="57"/>
  <c r="I331" i="57"/>
  <c r="J331" i="57"/>
  <c r="L331" i="57"/>
  <c r="I332" i="57"/>
  <c r="J332" i="57"/>
  <c r="L332" i="57"/>
  <c r="I333" i="57"/>
  <c r="J333" i="57"/>
  <c r="L333" i="57"/>
  <c r="I334" i="57"/>
  <c r="J334" i="57"/>
  <c r="L334" i="57"/>
  <c r="I335" i="57"/>
  <c r="J335" i="57"/>
  <c r="L335" i="57"/>
  <c r="I336" i="57"/>
  <c r="J336" i="57"/>
  <c r="L336" i="57"/>
  <c r="I337" i="57"/>
  <c r="J337" i="57"/>
  <c r="L337" i="57"/>
  <c r="I338" i="57"/>
  <c r="J338" i="57"/>
  <c r="L338" i="57"/>
  <c r="I339" i="57"/>
  <c r="J339" i="57"/>
  <c r="L339" i="57"/>
  <c r="I340" i="57"/>
  <c r="J340" i="57"/>
  <c r="L340" i="57"/>
  <c r="I341" i="57"/>
  <c r="J341" i="57"/>
  <c r="L341" i="57"/>
  <c r="E342" i="57"/>
  <c r="I342" i="57"/>
  <c r="J342" i="57"/>
  <c r="L342" i="57"/>
  <c r="I343" i="57"/>
  <c r="J343" i="57"/>
  <c r="L343" i="57"/>
  <c r="E344" i="57"/>
  <c r="I344" i="57"/>
  <c r="J344" i="57"/>
  <c r="L344" i="57"/>
  <c r="I345" i="57"/>
  <c r="J345" i="57"/>
  <c r="L345" i="57"/>
  <c r="I346" i="57"/>
  <c r="J346" i="57"/>
  <c r="L346" i="57"/>
  <c r="E347" i="57"/>
  <c r="I347" i="57"/>
  <c r="J347" i="57"/>
  <c r="L347" i="57"/>
  <c r="E348" i="57"/>
  <c r="I348" i="57"/>
  <c r="J348" i="57"/>
  <c r="L348" i="57"/>
  <c r="E349" i="57"/>
  <c r="I349" i="57"/>
  <c r="J349" i="57"/>
  <c r="L349" i="57"/>
  <c r="E350" i="57"/>
  <c r="I350" i="57"/>
  <c r="J350" i="57"/>
  <c r="L350" i="57"/>
  <c r="E351" i="57"/>
  <c r="I351" i="57"/>
  <c r="J351" i="57"/>
  <c r="L351" i="57"/>
  <c r="E352" i="57"/>
  <c r="I352" i="57"/>
  <c r="J352" i="57"/>
  <c r="L352" i="57"/>
  <c r="I353" i="57"/>
  <c r="J353" i="57"/>
  <c r="L353" i="57"/>
  <c r="E354" i="57"/>
  <c r="I354" i="57"/>
  <c r="J354" i="57"/>
  <c r="L354" i="57"/>
  <c r="E355" i="57"/>
  <c r="I355" i="57"/>
  <c r="J355" i="57"/>
  <c r="L355" i="57"/>
  <c r="I356" i="57"/>
  <c r="J356" i="57"/>
  <c r="L356" i="57"/>
  <c r="I357" i="57"/>
  <c r="J357" i="57"/>
  <c r="L357" i="57"/>
  <c r="E358" i="57"/>
  <c r="I358" i="57"/>
  <c r="J358" i="57"/>
  <c r="L358" i="57"/>
  <c r="E359" i="57"/>
  <c r="I359" i="57"/>
  <c r="J359" i="57"/>
  <c r="L359" i="57"/>
  <c r="E360" i="57"/>
  <c r="I360" i="57"/>
  <c r="J360" i="57"/>
  <c r="L360" i="57"/>
  <c r="E361" i="57"/>
  <c r="I361" i="57"/>
  <c r="J361" i="57"/>
  <c r="L361" i="57"/>
  <c r="E362" i="57"/>
  <c r="I362" i="57"/>
  <c r="J362" i="57"/>
  <c r="L362" i="57"/>
  <c r="E363" i="57"/>
  <c r="I363" i="57"/>
  <c r="J363" i="57"/>
  <c r="L363" i="57"/>
  <c r="E364" i="57"/>
  <c r="I364" i="57"/>
  <c r="J364" i="57"/>
  <c r="L364" i="57"/>
  <c r="I365" i="57"/>
  <c r="J365" i="57"/>
  <c r="L365" i="57"/>
  <c r="I366" i="57"/>
  <c r="J366" i="57"/>
  <c r="L366" i="57"/>
  <c r="I367" i="57"/>
  <c r="J367" i="57"/>
  <c r="L367" i="57"/>
  <c r="I368" i="57"/>
  <c r="J368" i="57"/>
  <c r="L368" i="57"/>
  <c r="I369" i="57"/>
  <c r="J369" i="57"/>
  <c r="L369" i="57"/>
  <c r="I370" i="57"/>
  <c r="J370" i="57"/>
  <c r="L370" i="57"/>
  <c r="I371" i="57"/>
  <c r="J371" i="57"/>
  <c r="L371" i="57"/>
  <c r="I372" i="57"/>
  <c r="J372" i="57"/>
  <c r="L372" i="57"/>
  <c r="I373" i="57"/>
  <c r="J373" i="57"/>
  <c r="L373" i="57"/>
  <c r="I374" i="57"/>
  <c r="J374" i="57"/>
  <c r="L374" i="57"/>
  <c r="I375" i="57"/>
  <c r="J375" i="57"/>
  <c r="L375" i="57"/>
  <c r="I376" i="57"/>
  <c r="J376" i="57"/>
  <c r="L376" i="57"/>
  <c r="I377" i="57"/>
  <c r="J377" i="57"/>
  <c r="L377" i="57"/>
  <c r="I378" i="57"/>
  <c r="J378" i="57"/>
  <c r="L378" i="57"/>
  <c r="I379" i="57"/>
  <c r="J379" i="57"/>
  <c r="L379" i="57"/>
  <c r="I380" i="57"/>
  <c r="J380" i="57"/>
  <c r="L380" i="57"/>
  <c r="I381" i="57"/>
  <c r="J381" i="57"/>
  <c r="L381" i="57"/>
  <c r="I382" i="57"/>
  <c r="J382" i="57"/>
  <c r="L382" i="57"/>
  <c r="I383" i="57"/>
  <c r="J383" i="57"/>
  <c r="L383" i="57"/>
  <c r="I384" i="57"/>
  <c r="J384" i="57"/>
  <c r="L384" i="57"/>
  <c r="I385" i="57"/>
  <c r="J385" i="57"/>
  <c r="L385" i="57"/>
  <c r="I386" i="57"/>
  <c r="J386" i="57"/>
  <c r="L386" i="57"/>
  <c r="I387" i="57"/>
  <c r="J387" i="57"/>
  <c r="L387" i="57"/>
  <c r="I388" i="57"/>
  <c r="J388" i="57"/>
  <c r="L388" i="57"/>
  <c r="I389" i="57"/>
  <c r="J389" i="57"/>
  <c r="L389" i="57"/>
  <c r="I390" i="57"/>
  <c r="J390" i="57"/>
  <c r="L390" i="57"/>
  <c r="I391" i="57"/>
  <c r="J391" i="57"/>
  <c r="L391" i="57"/>
  <c r="I392" i="57"/>
  <c r="J392" i="57"/>
  <c r="L392" i="57"/>
  <c r="I393" i="57"/>
  <c r="J393" i="57"/>
  <c r="L393" i="57"/>
  <c r="E394" i="57"/>
  <c r="I394" i="57"/>
  <c r="J394" i="57"/>
  <c r="L394" i="57"/>
  <c r="I395" i="57"/>
  <c r="J395" i="57"/>
  <c r="L395" i="57"/>
  <c r="I396" i="57"/>
  <c r="J396" i="57"/>
  <c r="L396" i="57"/>
  <c r="I397" i="57"/>
  <c r="J397" i="57"/>
  <c r="L397" i="57"/>
  <c r="I398" i="57"/>
  <c r="J398" i="57"/>
  <c r="L398" i="57"/>
  <c r="I399" i="57"/>
  <c r="J399" i="57"/>
  <c r="L399" i="57"/>
  <c r="I400" i="57"/>
  <c r="J400" i="57"/>
  <c r="L400" i="57"/>
  <c r="I401" i="57"/>
  <c r="J401" i="57"/>
  <c r="L401" i="57"/>
  <c r="I402" i="57"/>
  <c r="J402" i="57"/>
  <c r="L402" i="57"/>
  <c r="I403" i="57"/>
  <c r="J403" i="57"/>
  <c r="L403" i="57"/>
  <c r="I404" i="57"/>
  <c r="J404" i="57"/>
  <c r="L404" i="57"/>
  <c r="I405" i="57"/>
  <c r="J405" i="57"/>
  <c r="L405" i="57"/>
  <c r="I406" i="57"/>
  <c r="J406" i="57"/>
  <c r="L406" i="57"/>
  <c r="I407" i="57"/>
  <c r="J407" i="57"/>
  <c r="L407" i="57"/>
  <c r="I408" i="57"/>
  <c r="J408" i="57"/>
  <c r="L408" i="57"/>
  <c r="I409" i="57"/>
  <c r="J409" i="57"/>
  <c r="L409" i="57"/>
  <c r="I410" i="57"/>
  <c r="J410" i="57"/>
  <c r="L410" i="57"/>
  <c r="I411" i="57"/>
  <c r="J411" i="57"/>
  <c r="L411" i="57"/>
  <c r="I412" i="57"/>
  <c r="J412" i="57"/>
  <c r="L412" i="57"/>
  <c r="I413" i="57"/>
  <c r="J413" i="57"/>
  <c r="L413" i="57"/>
  <c r="I414" i="57"/>
  <c r="J414" i="57"/>
  <c r="L414" i="57"/>
  <c r="E415" i="57"/>
  <c r="I415" i="57"/>
  <c r="J415" i="57"/>
  <c r="L415" i="57"/>
  <c r="E416" i="57"/>
  <c r="I416" i="57"/>
  <c r="J416" i="57"/>
  <c r="L416" i="57"/>
  <c r="E417" i="57"/>
  <c r="I417" i="57"/>
  <c r="J417" i="57"/>
  <c r="L417" i="57"/>
  <c r="E418" i="57"/>
  <c r="I418" i="57"/>
  <c r="J418" i="57"/>
  <c r="L418" i="57"/>
  <c r="E419" i="57"/>
  <c r="I419" i="57"/>
  <c r="J419" i="57"/>
  <c r="L419" i="57"/>
  <c r="E420" i="57"/>
  <c r="I420" i="57"/>
  <c r="J420" i="57"/>
  <c r="L420" i="57"/>
  <c r="E421" i="57"/>
  <c r="I421" i="57"/>
  <c r="J421" i="57"/>
  <c r="L421" i="57"/>
  <c r="I422" i="57"/>
  <c r="J422" i="57"/>
  <c r="L422" i="57"/>
  <c r="I423" i="57"/>
  <c r="J423" i="57"/>
  <c r="L423" i="57"/>
  <c r="I424" i="57"/>
  <c r="J424" i="57"/>
  <c r="L424" i="57"/>
  <c r="E425" i="57"/>
  <c r="I425" i="57"/>
  <c r="J425" i="57"/>
  <c r="L425" i="57"/>
  <c r="I426" i="57"/>
  <c r="J426" i="57"/>
  <c r="L426" i="57"/>
  <c r="E427" i="57"/>
  <c r="I427" i="57"/>
  <c r="J427" i="57"/>
  <c r="L427" i="57"/>
  <c r="E428" i="57"/>
  <c r="I428" i="57"/>
  <c r="J428" i="57"/>
  <c r="L428" i="57"/>
  <c r="I429" i="57"/>
  <c r="J429" i="57"/>
  <c r="L429" i="57"/>
  <c r="E430" i="57"/>
  <c r="I430" i="57"/>
  <c r="J430" i="57"/>
  <c r="L430" i="57"/>
  <c r="E431" i="57"/>
  <c r="I431" i="57"/>
  <c r="J431" i="57"/>
  <c r="L431" i="57"/>
  <c r="E432" i="57"/>
  <c r="I432" i="57"/>
  <c r="J432" i="57"/>
  <c r="L432" i="57"/>
  <c r="I433" i="57"/>
  <c r="J433" i="57"/>
  <c r="L433" i="57"/>
  <c r="I434" i="57"/>
  <c r="J434" i="57"/>
  <c r="L434" i="57"/>
  <c r="I435" i="57"/>
  <c r="J435" i="57"/>
  <c r="L435" i="57"/>
  <c r="E436" i="57"/>
  <c r="I436" i="57"/>
  <c r="J436" i="57"/>
  <c r="L436" i="57"/>
  <c r="E437" i="57"/>
  <c r="I437" i="57"/>
  <c r="J437" i="57"/>
  <c r="L437" i="57"/>
  <c r="E438" i="57"/>
  <c r="I438" i="57"/>
  <c r="J438" i="57"/>
  <c r="L438" i="57"/>
  <c r="I439" i="57"/>
  <c r="J439" i="57"/>
  <c r="L439" i="57"/>
  <c r="I440" i="57"/>
  <c r="J440" i="57"/>
  <c r="L440" i="57"/>
  <c r="E441" i="57"/>
  <c r="I441" i="57"/>
  <c r="J441" i="57"/>
  <c r="L441" i="57"/>
  <c r="E442" i="57"/>
  <c r="I442" i="57"/>
  <c r="J442" i="57"/>
  <c r="L442" i="57"/>
  <c r="E443" i="57"/>
  <c r="I443" i="57"/>
  <c r="J443" i="57"/>
  <c r="L443" i="57"/>
  <c r="E444" i="57"/>
  <c r="I444" i="57"/>
  <c r="J444" i="57"/>
  <c r="L444" i="57"/>
  <c r="E445" i="57"/>
  <c r="I445" i="57"/>
  <c r="J445" i="57"/>
  <c r="L445" i="57"/>
  <c r="E446" i="57"/>
  <c r="I446" i="57"/>
  <c r="J446" i="57"/>
  <c r="L446" i="57"/>
  <c r="E447" i="57"/>
  <c r="I447" i="57"/>
  <c r="J447" i="57"/>
  <c r="L447" i="57"/>
  <c r="E448" i="57"/>
  <c r="I448" i="57"/>
  <c r="J448" i="57"/>
  <c r="L448" i="57"/>
  <c r="E449" i="57"/>
  <c r="I449" i="57"/>
  <c r="J449" i="57"/>
  <c r="L449" i="57"/>
  <c r="E450" i="57"/>
  <c r="I450" i="57"/>
  <c r="J450" i="57"/>
  <c r="L450" i="57"/>
  <c r="E451" i="57"/>
  <c r="I451" i="57"/>
  <c r="J451" i="57"/>
  <c r="L451" i="57"/>
  <c r="I452" i="57"/>
  <c r="J452" i="57"/>
  <c r="L452" i="57"/>
  <c r="E453" i="57"/>
  <c r="I453" i="57"/>
  <c r="J453" i="57"/>
  <c r="L453" i="57"/>
  <c r="I454" i="57"/>
  <c r="J454" i="57"/>
  <c r="L454" i="57"/>
  <c r="E455" i="57"/>
  <c r="I455" i="57"/>
  <c r="J455" i="57"/>
  <c r="L455" i="57"/>
  <c r="E456" i="57"/>
  <c r="I456" i="57"/>
  <c r="J456" i="57"/>
  <c r="L456" i="57"/>
  <c r="E457" i="57"/>
  <c r="I457" i="57"/>
  <c r="J457" i="57"/>
  <c r="L457" i="57"/>
  <c r="I458" i="57"/>
  <c r="J458" i="57"/>
  <c r="L458" i="57"/>
  <c r="E459" i="57"/>
  <c r="I459" i="57"/>
  <c r="J459" i="57"/>
  <c r="L459" i="57"/>
  <c r="E460" i="57"/>
  <c r="I460" i="57"/>
  <c r="J460" i="57"/>
  <c r="L460" i="57"/>
  <c r="I461" i="57"/>
  <c r="J461" i="57"/>
  <c r="L461" i="57"/>
  <c r="I462" i="57"/>
  <c r="J462" i="57"/>
  <c r="L462" i="57"/>
  <c r="I463" i="57"/>
  <c r="J463" i="57"/>
  <c r="L463" i="57"/>
  <c r="I464" i="57"/>
  <c r="J464" i="57"/>
  <c r="L464" i="57"/>
  <c r="I465" i="57"/>
  <c r="J465" i="57"/>
  <c r="L465" i="57"/>
  <c r="I466" i="57"/>
  <c r="J466" i="57"/>
  <c r="L466" i="57"/>
  <c r="I467" i="57"/>
  <c r="J467" i="57"/>
  <c r="L467" i="57"/>
  <c r="I468" i="57"/>
  <c r="J468" i="57"/>
  <c r="L468" i="57"/>
  <c r="I469" i="57"/>
  <c r="J469" i="57"/>
  <c r="L469" i="57"/>
  <c r="I470" i="57"/>
  <c r="J470" i="57"/>
  <c r="L470" i="57"/>
  <c r="I471" i="57"/>
  <c r="J471" i="57"/>
  <c r="L471" i="57"/>
  <c r="I472" i="57"/>
  <c r="J472" i="57"/>
  <c r="L472" i="57"/>
  <c r="I473" i="57"/>
  <c r="J473" i="57"/>
  <c r="L473" i="57"/>
  <c r="I474" i="57"/>
  <c r="J474" i="57"/>
  <c r="L474" i="57"/>
  <c r="I475" i="57"/>
  <c r="J475" i="57"/>
  <c r="L475" i="57"/>
  <c r="I476" i="57"/>
  <c r="J476" i="57"/>
  <c r="L476" i="57"/>
  <c r="I477" i="57"/>
  <c r="J477" i="57"/>
  <c r="L477" i="57"/>
  <c r="I478" i="57"/>
  <c r="J478" i="57"/>
  <c r="L478" i="57"/>
  <c r="I479" i="57"/>
  <c r="J479" i="57"/>
  <c r="L479" i="57"/>
  <c r="I480" i="57"/>
  <c r="J480" i="57"/>
  <c r="L480" i="57"/>
  <c r="I481" i="57"/>
  <c r="J481" i="57"/>
  <c r="L481" i="57"/>
  <c r="I482" i="57"/>
  <c r="J482" i="57"/>
  <c r="L482" i="57"/>
  <c r="I483" i="57"/>
  <c r="J483" i="57"/>
  <c r="L483" i="57"/>
  <c r="I484" i="57"/>
  <c r="J484" i="57"/>
  <c r="L484" i="57"/>
  <c r="I485" i="57"/>
  <c r="J485" i="57"/>
  <c r="L485" i="57"/>
  <c r="I486" i="57"/>
  <c r="J486" i="57"/>
  <c r="L486" i="57"/>
  <c r="I487" i="57"/>
  <c r="J487" i="57"/>
  <c r="L487" i="57"/>
  <c r="I488" i="57"/>
  <c r="J488" i="57"/>
  <c r="L488" i="57"/>
  <c r="I489" i="57"/>
  <c r="J489" i="57"/>
  <c r="L489" i="57"/>
  <c r="I490" i="57"/>
  <c r="J490" i="57"/>
  <c r="L490" i="57"/>
  <c r="I491" i="57"/>
  <c r="J491" i="57"/>
  <c r="L491" i="57"/>
  <c r="I492" i="57"/>
  <c r="J492" i="57"/>
  <c r="L492" i="57"/>
  <c r="I493" i="57"/>
  <c r="J493" i="57"/>
  <c r="L493" i="57"/>
  <c r="I494" i="57"/>
  <c r="J494" i="57"/>
  <c r="L494" i="57"/>
  <c r="I495" i="57"/>
  <c r="J495" i="57"/>
  <c r="L495" i="57"/>
  <c r="I496" i="57"/>
  <c r="J496" i="57"/>
  <c r="L496" i="57"/>
  <c r="I497" i="57"/>
  <c r="J497" i="57"/>
  <c r="L497" i="57"/>
  <c r="I498" i="57"/>
  <c r="J498" i="57"/>
  <c r="L498" i="57"/>
  <c r="I499" i="57"/>
  <c r="J499" i="57"/>
  <c r="L499" i="57"/>
  <c r="I500" i="57"/>
  <c r="J500" i="57"/>
  <c r="L500" i="57"/>
  <c r="I501" i="57"/>
  <c r="J501" i="57"/>
  <c r="L501" i="57"/>
  <c r="I502" i="57"/>
  <c r="J502" i="57"/>
  <c r="L502" i="57"/>
  <c r="I503" i="57"/>
  <c r="J503" i="57"/>
  <c r="L503" i="57"/>
  <c r="I504" i="57"/>
  <c r="J504" i="57"/>
  <c r="L504" i="57"/>
  <c r="I505" i="57"/>
  <c r="J505" i="57"/>
  <c r="L505" i="57"/>
  <c r="I506" i="57"/>
  <c r="J506" i="57"/>
  <c r="L506" i="57"/>
  <c r="I507" i="57"/>
  <c r="J507" i="57"/>
  <c r="L507" i="57"/>
  <c r="I508" i="57"/>
  <c r="J508" i="57"/>
  <c r="L508" i="57"/>
  <c r="E509" i="57"/>
  <c r="I509" i="57"/>
  <c r="J509" i="57"/>
  <c r="L509" i="57"/>
  <c r="E510" i="57"/>
  <c r="I510" i="57"/>
  <c r="J510" i="57"/>
  <c r="L510" i="57"/>
  <c r="E511" i="57"/>
  <c r="I511" i="57"/>
  <c r="J511" i="57"/>
  <c r="L511" i="57"/>
  <c r="E512" i="57"/>
  <c r="I512" i="57"/>
  <c r="J512" i="57"/>
  <c r="L512" i="57"/>
  <c r="E513" i="57"/>
  <c r="I513" i="57"/>
  <c r="J513" i="57"/>
  <c r="L513" i="57"/>
  <c r="E514" i="57"/>
  <c r="I514" i="57"/>
  <c r="J514" i="57"/>
  <c r="L514" i="57"/>
  <c r="E515" i="57"/>
  <c r="I515" i="57"/>
  <c r="J515" i="57"/>
  <c r="L515" i="57"/>
  <c r="I516" i="57"/>
  <c r="J516" i="57"/>
  <c r="L516" i="57"/>
  <c r="I517" i="57"/>
  <c r="J517" i="57"/>
  <c r="L517" i="57"/>
  <c r="E518" i="57"/>
  <c r="I518" i="57"/>
  <c r="J518" i="57"/>
  <c r="L518" i="57"/>
  <c r="I519" i="57"/>
  <c r="J519" i="57"/>
  <c r="L519" i="57"/>
  <c r="E520" i="57"/>
  <c r="I520" i="57"/>
  <c r="J520" i="57"/>
  <c r="L520" i="57"/>
  <c r="I521" i="57"/>
  <c r="J521" i="57"/>
  <c r="L521" i="57"/>
  <c r="E522" i="57"/>
  <c r="I522" i="57"/>
  <c r="J522" i="57"/>
  <c r="L522" i="57"/>
  <c r="I523" i="57"/>
  <c r="J523" i="57"/>
  <c r="L523" i="57"/>
  <c r="I524" i="57"/>
  <c r="J524" i="57"/>
  <c r="L524" i="57"/>
  <c r="I525" i="57"/>
  <c r="J525" i="57"/>
  <c r="L525" i="57"/>
  <c r="I526" i="57"/>
  <c r="J526" i="57"/>
  <c r="L526" i="57"/>
  <c r="E527" i="57"/>
  <c r="I527" i="57"/>
  <c r="J527" i="57"/>
  <c r="L527" i="57"/>
  <c r="E528" i="57"/>
  <c r="I528" i="57"/>
  <c r="J528" i="57"/>
  <c r="L528" i="57"/>
  <c r="I529" i="57"/>
  <c r="J529" i="57"/>
  <c r="L529" i="57"/>
  <c r="I530" i="57"/>
  <c r="J530" i="57"/>
  <c r="L530" i="57"/>
  <c r="I531" i="57"/>
  <c r="J531" i="57"/>
  <c r="L531" i="57"/>
  <c r="I532" i="57"/>
  <c r="J532" i="57"/>
  <c r="L532" i="57"/>
  <c r="I533" i="57"/>
  <c r="J533" i="57"/>
  <c r="L533" i="57"/>
  <c r="I534" i="57"/>
  <c r="J534" i="57"/>
  <c r="L534" i="57"/>
  <c r="I535" i="57"/>
  <c r="J535" i="57"/>
  <c r="L535" i="57"/>
  <c r="L536" i="57"/>
  <c r="I212" i="55"/>
  <c r="I211" i="55"/>
  <c r="I210" i="55"/>
  <c r="I209" i="55"/>
  <c r="I208" i="55"/>
  <c r="I207" i="55"/>
  <c r="E502" i="55"/>
  <c r="I502" i="55"/>
  <c r="I501" i="55"/>
  <c r="E500" i="55"/>
  <c r="I500" i="55"/>
  <c r="I499" i="55"/>
  <c r="I498" i="55"/>
  <c r="I369" i="55"/>
  <c r="I368" i="55"/>
  <c r="I182" i="55"/>
  <c r="I47" i="55"/>
  <c r="I46" i="55"/>
  <c r="I45" i="55"/>
  <c r="I4" i="55"/>
  <c r="I3" i="55"/>
  <c r="E510" i="55"/>
  <c r="I510" i="55"/>
  <c r="E495" i="55"/>
  <c r="I495" i="55"/>
  <c r="E494" i="55"/>
  <c r="I494" i="55"/>
  <c r="E493" i="55"/>
  <c r="I493" i="55"/>
  <c r="E492" i="55"/>
  <c r="I492" i="55"/>
  <c r="E491" i="55"/>
  <c r="I491" i="55"/>
  <c r="I457" i="55"/>
  <c r="I387" i="55"/>
  <c r="I386" i="55"/>
  <c r="I385" i="55"/>
  <c r="I384" i="55"/>
  <c r="I383" i="55"/>
  <c r="I382" i="55"/>
  <c r="I381" i="55"/>
  <c r="I380" i="55"/>
  <c r="I379" i="55"/>
  <c r="I378" i="55"/>
  <c r="I331" i="55"/>
  <c r="I330" i="55"/>
  <c r="I286" i="55"/>
  <c r="I181" i="55"/>
  <c r="I180" i="55"/>
  <c r="E152" i="55"/>
  <c r="I152" i="55"/>
  <c r="I50" i="55"/>
  <c r="E69" i="55"/>
  <c r="I69" i="55"/>
  <c r="I59" i="55"/>
  <c r="I52" i="55"/>
  <c r="E49" i="55"/>
  <c r="I49" i="55"/>
  <c r="I17" i="55"/>
  <c r="I16" i="55"/>
  <c r="I514" i="55"/>
  <c r="I513" i="55"/>
  <c r="I512" i="55"/>
  <c r="E412" i="55"/>
  <c r="I412" i="55"/>
  <c r="E411" i="55"/>
  <c r="I411" i="55"/>
  <c r="E273" i="55"/>
  <c r="I273" i="55"/>
  <c r="E410" i="55"/>
  <c r="I410" i="55"/>
  <c r="E409" i="55"/>
  <c r="I409" i="55"/>
  <c r="E408" i="55"/>
  <c r="I408" i="55"/>
  <c r="E407" i="55"/>
  <c r="I407" i="55"/>
  <c r="E406" i="55"/>
  <c r="I406" i="55"/>
  <c r="E254" i="55"/>
  <c r="I254" i="55"/>
  <c r="E253" i="55"/>
  <c r="I253" i="55"/>
  <c r="E252" i="55"/>
  <c r="I252" i="55"/>
  <c r="E251" i="55"/>
  <c r="I251" i="55"/>
  <c r="E250" i="55"/>
  <c r="I250" i="55"/>
  <c r="E249" i="55"/>
  <c r="I249" i="55"/>
  <c r="E248" i="55"/>
  <c r="I248" i="55"/>
  <c r="E247" i="55"/>
  <c r="I247" i="55"/>
  <c r="E203" i="55"/>
  <c r="I203" i="55"/>
  <c r="I202" i="55"/>
  <c r="I201" i="55"/>
  <c r="I200" i="55"/>
  <c r="I199" i="55"/>
  <c r="E198" i="55"/>
  <c r="I198" i="55"/>
  <c r="I197" i="55"/>
  <c r="I196" i="55"/>
  <c r="I192" i="55"/>
  <c r="I191" i="55"/>
  <c r="I136" i="55"/>
  <c r="I135" i="55"/>
  <c r="I134" i="55"/>
  <c r="I133" i="55"/>
  <c r="I132" i="55"/>
  <c r="I131" i="55"/>
  <c r="I130" i="55"/>
  <c r="I129" i="55"/>
  <c r="I128" i="55"/>
  <c r="I127" i="55"/>
  <c r="I126" i="55"/>
  <c r="I125" i="55"/>
  <c r="I124" i="55"/>
  <c r="I123" i="55"/>
  <c r="I122" i="55"/>
  <c r="I121" i="55"/>
  <c r="I120" i="55"/>
  <c r="I119" i="55"/>
  <c r="I118" i="55"/>
  <c r="I117" i="55"/>
  <c r="I116" i="55"/>
  <c r="I115" i="55"/>
  <c r="I114" i="55"/>
  <c r="I113" i="55"/>
  <c r="I70" i="55"/>
  <c r="I511" i="55"/>
  <c r="E509" i="55"/>
  <c r="I509" i="55"/>
  <c r="I508" i="55"/>
  <c r="I507" i="55"/>
  <c r="I505" i="55"/>
  <c r="E504" i="55"/>
  <c r="I504" i="55"/>
  <c r="I503" i="55"/>
  <c r="E497" i="55"/>
  <c r="I497" i="55"/>
  <c r="E496" i="55"/>
  <c r="I496" i="55"/>
  <c r="I490" i="55"/>
  <c r="I489" i="55"/>
  <c r="I488" i="55"/>
  <c r="I487" i="55"/>
  <c r="I486" i="55"/>
  <c r="I485" i="55"/>
  <c r="I484" i="55"/>
  <c r="I462" i="55"/>
  <c r="I461" i="55"/>
  <c r="I453" i="55"/>
  <c r="I452" i="55"/>
  <c r="I451" i="55"/>
  <c r="I450" i="55"/>
  <c r="I427" i="55"/>
  <c r="I426" i="55"/>
  <c r="E425" i="55"/>
  <c r="I425" i="55"/>
  <c r="E424" i="55"/>
  <c r="I424" i="55"/>
  <c r="E423" i="55"/>
  <c r="I423" i="55"/>
  <c r="I422" i="55"/>
  <c r="I421" i="55"/>
  <c r="I420" i="55"/>
  <c r="E419" i="55"/>
  <c r="I419" i="55"/>
  <c r="E418" i="55"/>
  <c r="I418" i="55"/>
  <c r="I417" i="55"/>
  <c r="E416" i="55"/>
  <c r="I416" i="55"/>
  <c r="E415" i="55"/>
  <c r="I415" i="55"/>
  <c r="I414" i="55"/>
  <c r="E413" i="55"/>
  <c r="I413" i="55"/>
  <c r="I402" i="55"/>
  <c r="I175" i="55"/>
  <c r="I174" i="55"/>
  <c r="E173" i="55"/>
  <c r="I173" i="55"/>
  <c r="I172" i="55"/>
  <c r="E171" i="55"/>
  <c r="I171" i="55"/>
  <c r="E170" i="55"/>
  <c r="I170" i="55"/>
  <c r="I169" i="55"/>
  <c r="E168" i="55"/>
  <c r="I168" i="55"/>
  <c r="I167" i="55"/>
  <c r="I400" i="55"/>
  <c r="I399" i="55"/>
  <c r="I398" i="55"/>
  <c r="I397" i="55"/>
  <c r="I396" i="55"/>
  <c r="I395" i="55"/>
  <c r="I394" i="55"/>
  <c r="I393" i="55"/>
  <c r="I392" i="55"/>
  <c r="I391" i="55"/>
  <c r="I390" i="55"/>
  <c r="I389" i="55"/>
  <c r="E388" i="55"/>
  <c r="I388" i="55"/>
  <c r="I506" i="55"/>
  <c r="I354" i="55"/>
  <c r="E353" i="55"/>
  <c r="I353" i="55"/>
  <c r="E352" i="55"/>
  <c r="I352" i="55"/>
  <c r="I350" i="55"/>
  <c r="I349" i="55"/>
  <c r="E334" i="55"/>
  <c r="I334" i="55"/>
  <c r="I355" i="55"/>
  <c r="I328" i="55"/>
  <c r="I327" i="55"/>
  <c r="I326" i="55"/>
  <c r="I325" i="55"/>
  <c r="I324" i="55"/>
  <c r="I323" i="55"/>
  <c r="I322" i="55"/>
  <c r="I316" i="55"/>
  <c r="I315" i="55"/>
  <c r="I291" i="55"/>
  <c r="I290" i="55"/>
  <c r="I289" i="55"/>
  <c r="I288" i="55"/>
  <c r="I287" i="55"/>
  <c r="I285" i="55"/>
  <c r="I284" i="55"/>
  <c r="E166" i="55"/>
  <c r="I166" i="55"/>
  <c r="E165" i="55"/>
  <c r="I165" i="55"/>
  <c r="E274" i="55"/>
  <c r="I274" i="55"/>
  <c r="I177" i="55"/>
  <c r="I176" i="55"/>
  <c r="I164" i="55"/>
  <c r="I163" i="55"/>
  <c r="E162" i="55"/>
  <c r="I162" i="55"/>
  <c r="I256" i="55"/>
  <c r="I255" i="55"/>
  <c r="I238" i="55"/>
  <c r="I237" i="55"/>
  <c r="I229" i="55"/>
  <c r="I217" i="55"/>
  <c r="I216" i="55"/>
  <c r="I215" i="55"/>
  <c r="I214" i="55"/>
  <c r="I195" i="55"/>
  <c r="I190" i="55"/>
  <c r="I189" i="55"/>
  <c r="I185" i="55"/>
  <c r="I187" i="55"/>
  <c r="I186" i="55"/>
  <c r="I184" i="55"/>
  <c r="I151" i="55"/>
  <c r="I150" i="55"/>
  <c r="I112" i="55"/>
  <c r="I111" i="55"/>
  <c r="I110" i="55"/>
  <c r="I109" i="55"/>
  <c r="I108" i="55"/>
  <c r="I107" i="55"/>
  <c r="I106" i="55"/>
  <c r="I105" i="55"/>
  <c r="I104" i="55"/>
  <c r="I103" i="55"/>
  <c r="I102" i="55"/>
  <c r="I101" i="55"/>
  <c r="I100" i="55"/>
  <c r="I99" i="55"/>
  <c r="I98" i="55"/>
  <c r="I97" i="55"/>
  <c r="I74" i="55"/>
  <c r="I58" i="55"/>
  <c r="I32" i="55"/>
  <c r="I31" i="55"/>
  <c r="I30" i="55"/>
  <c r="I28" i="55"/>
  <c r="I27" i="55"/>
  <c r="I29" i="55"/>
  <c r="I13" i="55"/>
  <c r="I12" i="55"/>
  <c r="I44" i="55"/>
  <c r="I43" i="55"/>
  <c r="I42" i="55"/>
  <c r="I41" i="55"/>
  <c r="I367" i="55"/>
  <c r="I366" i="55"/>
  <c r="I365" i="55"/>
  <c r="I364" i="55"/>
  <c r="I363" i="55"/>
  <c r="I362" i="55"/>
  <c r="I361" i="55"/>
  <c r="I360" i="55"/>
  <c r="I445" i="55"/>
  <c r="I483" i="55"/>
  <c r="I482" i="55"/>
  <c r="I481" i="55"/>
  <c r="I480" i="55"/>
  <c r="I479" i="55"/>
  <c r="I478" i="55"/>
  <c r="I477" i="55"/>
  <c r="I476" i="55"/>
  <c r="I475" i="55"/>
  <c r="I474" i="55"/>
  <c r="I473" i="55"/>
  <c r="I472" i="55"/>
  <c r="I471" i="55"/>
  <c r="I470" i="55"/>
  <c r="I469" i="55"/>
  <c r="I468" i="55"/>
  <c r="I467" i="55"/>
  <c r="I466" i="55"/>
  <c r="I465" i="55"/>
  <c r="I464" i="55"/>
  <c r="I463" i="55"/>
  <c r="I460" i="55"/>
  <c r="I459" i="55"/>
  <c r="I458" i="55"/>
  <c r="I456" i="55"/>
  <c r="I449" i="55"/>
  <c r="I448" i="55"/>
  <c r="I447" i="55"/>
  <c r="I446" i="55"/>
  <c r="I444" i="55"/>
  <c r="E443" i="55"/>
  <c r="I443" i="55"/>
  <c r="E442" i="55"/>
  <c r="I442" i="55"/>
  <c r="E441" i="55"/>
  <c r="I441" i="55"/>
  <c r="I440" i="55"/>
  <c r="I439" i="55"/>
  <c r="I438" i="55"/>
  <c r="E437" i="55"/>
  <c r="I437" i="55"/>
  <c r="E436" i="55"/>
  <c r="I436" i="55"/>
  <c r="E435" i="55"/>
  <c r="I435" i="55"/>
  <c r="E434" i="55"/>
  <c r="I434" i="55"/>
  <c r="I433" i="55"/>
  <c r="I432" i="55"/>
  <c r="E431" i="55"/>
  <c r="I431" i="55"/>
  <c r="E430" i="55"/>
  <c r="I430" i="55"/>
  <c r="E429" i="55"/>
  <c r="I429" i="55"/>
  <c r="E428" i="55"/>
  <c r="I428" i="55"/>
  <c r="I404" i="55"/>
  <c r="E403" i="55"/>
  <c r="I403" i="55"/>
  <c r="E401" i="55"/>
  <c r="I401" i="55"/>
  <c r="I377" i="55"/>
  <c r="I376" i="55"/>
  <c r="I375" i="55"/>
  <c r="I374" i="55"/>
  <c r="I373" i="55"/>
  <c r="I372" i="55"/>
  <c r="I371" i="55"/>
  <c r="I370" i="55"/>
  <c r="E359" i="55"/>
  <c r="I359" i="55"/>
  <c r="E358" i="55"/>
  <c r="I358" i="55"/>
  <c r="E357" i="55"/>
  <c r="I357" i="55"/>
  <c r="E356" i="55"/>
  <c r="I356" i="55"/>
  <c r="E351" i="55"/>
  <c r="I351" i="55"/>
  <c r="I348" i="55"/>
  <c r="E347" i="55"/>
  <c r="I347" i="55"/>
  <c r="E346" i="55"/>
  <c r="I346" i="55"/>
  <c r="E345" i="55"/>
  <c r="I345" i="55"/>
  <c r="E344" i="55"/>
  <c r="I344" i="55"/>
  <c r="E343" i="55"/>
  <c r="I343" i="55"/>
  <c r="E342" i="55"/>
  <c r="I342" i="55"/>
  <c r="E341" i="55"/>
  <c r="I341" i="55"/>
  <c r="E340" i="55"/>
  <c r="I340" i="55"/>
  <c r="E339" i="55"/>
  <c r="I339" i="55"/>
  <c r="E338" i="55"/>
  <c r="I338" i="55"/>
  <c r="I337" i="55"/>
  <c r="E336" i="55"/>
  <c r="I336" i="55"/>
  <c r="I335" i="55"/>
  <c r="E333" i="55"/>
  <c r="I333" i="55"/>
  <c r="I332" i="55"/>
  <c r="I329" i="55"/>
  <c r="I321" i="55"/>
  <c r="E320" i="55"/>
  <c r="I320" i="55"/>
  <c r="E319" i="55"/>
  <c r="I319" i="55"/>
  <c r="E318" i="55"/>
  <c r="I318" i="55"/>
  <c r="E317" i="55"/>
  <c r="I317" i="55"/>
  <c r="E314" i="55"/>
  <c r="I314" i="55"/>
  <c r="E313" i="55"/>
  <c r="I313" i="55"/>
  <c r="E312" i="55"/>
  <c r="I312" i="55"/>
  <c r="E311" i="55"/>
  <c r="I311" i="55"/>
  <c r="E310" i="55"/>
  <c r="I310" i="55"/>
  <c r="E309" i="55"/>
  <c r="I309" i="55"/>
  <c r="I308" i="55"/>
  <c r="I307" i="55"/>
  <c r="I306" i="55"/>
  <c r="I305" i="55"/>
  <c r="I304" i="55"/>
  <c r="I303" i="55"/>
  <c r="I302" i="55"/>
  <c r="I301" i="55"/>
  <c r="I300" i="55"/>
  <c r="I299" i="55"/>
  <c r="I298" i="55"/>
  <c r="I297" i="55"/>
  <c r="I296" i="55"/>
  <c r="I295" i="55"/>
  <c r="I294" i="55"/>
  <c r="I293" i="55"/>
  <c r="I292" i="55"/>
  <c r="I283" i="55"/>
  <c r="I282" i="55"/>
  <c r="I281" i="55"/>
  <c r="I280" i="55"/>
  <c r="I279" i="55"/>
  <c r="I278" i="55"/>
  <c r="I277" i="55"/>
  <c r="I276" i="55"/>
  <c r="I275" i="55"/>
  <c r="E272" i="55"/>
  <c r="I272" i="55"/>
  <c r="I267" i="55"/>
  <c r="I266" i="55"/>
  <c r="I265" i="55"/>
  <c r="I264" i="55"/>
  <c r="I263" i="55"/>
  <c r="I262" i="55"/>
  <c r="E261" i="55"/>
  <c r="I261" i="55"/>
  <c r="E258" i="55"/>
  <c r="I258" i="55"/>
  <c r="I257" i="55"/>
  <c r="E243" i="55"/>
  <c r="I243" i="55"/>
  <c r="E242" i="55"/>
  <c r="I242" i="55"/>
  <c r="E241" i="55"/>
  <c r="I241" i="55"/>
  <c r="E240" i="55"/>
  <c r="I240" i="55"/>
  <c r="E239" i="55"/>
  <c r="I239" i="55"/>
  <c r="I236" i="55"/>
  <c r="I235" i="55"/>
  <c r="I234" i="55"/>
  <c r="I233" i="55"/>
  <c r="I232" i="55"/>
  <c r="I231" i="55"/>
  <c r="I230" i="55"/>
  <c r="E228" i="55"/>
  <c r="I228" i="55"/>
  <c r="E227" i="55"/>
  <c r="I227" i="55"/>
  <c r="I226" i="55"/>
  <c r="I225" i="55"/>
  <c r="I224" i="55"/>
  <c r="I223" i="55"/>
  <c r="I222" i="55"/>
  <c r="I221" i="55"/>
  <c r="E220" i="55"/>
  <c r="I220" i="55"/>
  <c r="E219" i="55"/>
  <c r="I219" i="55"/>
  <c r="E218" i="55"/>
  <c r="I218" i="55"/>
  <c r="E206" i="55"/>
  <c r="I206" i="55"/>
  <c r="E205" i="55"/>
  <c r="I205" i="55"/>
  <c r="E204" i="55"/>
  <c r="I204" i="55"/>
  <c r="E194" i="55"/>
  <c r="I194" i="55"/>
  <c r="E193" i="55"/>
  <c r="I193" i="55"/>
  <c r="I178" i="55"/>
  <c r="I161" i="55"/>
  <c r="I160" i="55"/>
  <c r="I159" i="55"/>
  <c r="E155" i="55"/>
  <c r="I155" i="55"/>
  <c r="E154" i="55"/>
  <c r="I154" i="55"/>
  <c r="E153" i="55"/>
  <c r="I153" i="55"/>
  <c r="I96" i="55"/>
  <c r="I95" i="55"/>
  <c r="I94" i="55"/>
  <c r="I93" i="55"/>
  <c r="I92" i="55"/>
  <c r="I91" i="55"/>
  <c r="I90" i="55"/>
  <c r="I89" i="55"/>
  <c r="I88" i="55"/>
  <c r="I87" i="55"/>
  <c r="I86" i="55"/>
  <c r="I85" i="55"/>
  <c r="I84" i="55"/>
  <c r="I83" i="55"/>
  <c r="I82" i="55"/>
  <c r="I81" i="55"/>
  <c r="I80" i="55"/>
  <c r="E79" i="55"/>
  <c r="I79" i="55"/>
  <c r="E78" i="55"/>
  <c r="I78" i="55"/>
  <c r="E77" i="55"/>
  <c r="I77" i="55"/>
  <c r="E76" i="55"/>
  <c r="I76" i="55"/>
  <c r="E75" i="55"/>
  <c r="I75" i="55"/>
  <c r="I73" i="55"/>
  <c r="I72" i="55"/>
  <c r="I71" i="55"/>
  <c r="I68" i="55"/>
  <c r="I67" i="55"/>
  <c r="I66" i="55"/>
  <c r="I65" i="55"/>
  <c r="I64" i="55"/>
  <c r="I63" i="55"/>
  <c r="I62" i="55"/>
  <c r="I61" i="55"/>
  <c r="I60" i="55"/>
  <c r="I57" i="55"/>
  <c r="I56" i="55"/>
  <c r="I55" i="55"/>
  <c r="I54" i="55"/>
  <c r="I53" i="55"/>
  <c r="I48" i="55"/>
  <c r="I37" i="55"/>
  <c r="I36" i="55"/>
  <c r="I35" i="55"/>
  <c r="I39" i="55"/>
  <c r="I38" i="55"/>
  <c r="I34" i="55"/>
  <c r="I33" i="55"/>
  <c r="I26" i="55"/>
  <c r="I25" i="55"/>
  <c r="I24" i="55"/>
  <c r="I23" i="55"/>
  <c r="I22" i="55"/>
  <c r="I21" i="55"/>
  <c r="I20" i="55"/>
  <c r="I19" i="55"/>
  <c r="I18" i="55"/>
  <c r="I15" i="55"/>
  <c r="I14" i="55"/>
  <c r="E11" i="55"/>
  <c r="I11" i="55"/>
  <c r="E10" i="55"/>
  <c r="I10" i="55"/>
  <c r="E9" i="55"/>
  <c r="I9" i="55"/>
  <c r="E271" i="55"/>
  <c r="I271" i="55"/>
  <c r="E270" i="55"/>
  <c r="I270" i="55"/>
  <c r="E269" i="55"/>
  <c r="I269" i="55"/>
  <c r="E268" i="55"/>
  <c r="I268" i="55"/>
  <c r="I149" i="55"/>
  <c r="I148" i="55"/>
  <c r="I147" i="55"/>
  <c r="I146" i="55"/>
  <c r="I145" i="55"/>
  <c r="I144" i="55"/>
  <c r="I143" i="55"/>
  <c r="I142" i="55"/>
  <c r="I141" i="55"/>
  <c r="I140" i="55"/>
  <c r="I139" i="55"/>
  <c r="I405" i="55"/>
  <c r="E246" i="55"/>
  <c r="I246" i="55"/>
  <c r="E245" i="55"/>
  <c r="I245" i="55"/>
  <c r="E244" i="55"/>
  <c r="I244" i="55"/>
  <c r="I138" i="55"/>
  <c r="I40" i="55"/>
  <c r="I260" i="55"/>
  <c r="I137" i="55"/>
  <c r="I259" i="55"/>
  <c r="I8" i="55"/>
  <c r="I7" i="55"/>
  <c r="I455" i="55"/>
  <c r="I6" i="55"/>
  <c r="I5" i="55"/>
  <c r="I454" i="55"/>
  <c r="I158" i="55"/>
  <c r="I157" i="55"/>
  <c r="J212" i="55"/>
  <c r="L212" i="55"/>
  <c r="J211" i="55"/>
  <c r="L211" i="55"/>
  <c r="J210" i="55"/>
  <c r="L210" i="55"/>
  <c r="J209" i="55"/>
  <c r="L209" i="55"/>
  <c r="J208" i="55"/>
  <c r="L208" i="55"/>
  <c r="J207" i="55"/>
  <c r="L207" i="55"/>
  <c r="J502" i="55"/>
  <c r="L502" i="55"/>
  <c r="J501" i="55"/>
  <c r="L501" i="55"/>
  <c r="J500" i="55"/>
  <c r="L500" i="55"/>
  <c r="J499" i="55"/>
  <c r="L499" i="55"/>
  <c r="J498" i="55"/>
  <c r="L498" i="55"/>
  <c r="J369" i="55"/>
  <c r="L369" i="55"/>
  <c r="J368" i="55"/>
  <c r="L368" i="55"/>
  <c r="J182" i="55"/>
  <c r="L182" i="55"/>
  <c r="J47" i="55"/>
  <c r="L47" i="55"/>
  <c r="J46" i="55"/>
  <c r="L46" i="55"/>
  <c r="J45" i="55"/>
  <c r="L45" i="55"/>
  <c r="J4" i="55"/>
  <c r="K4" i="55"/>
  <c r="L4" i="55"/>
  <c r="J3" i="55"/>
  <c r="K3" i="55"/>
  <c r="L3" i="55"/>
  <c r="J510" i="55"/>
  <c r="L510" i="55"/>
  <c r="J495" i="55"/>
  <c r="L495" i="55"/>
  <c r="J494" i="55"/>
  <c r="L494" i="55"/>
  <c r="J493" i="55"/>
  <c r="L493" i="55"/>
  <c r="J492" i="55"/>
  <c r="L492" i="55"/>
  <c r="J491" i="55"/>
  <c r="L491" i="55"/>
  <c r="J457" i="55"/>
  <c r="L457" i="55"/>
  <c r="J387" i="55"/>
  <c r="L387" i="55"/>
  <c r="J386" i="55"/>
  <c r="L386" i="55"/>
  <c r="J385" i="55"/>
  <c r="L385" i="55"/>
  <c r="J384" i="55"/>
  <c r="L384" i="55"/>
  <c r="J383" i="55"/>
  <c r="L383" i="55"/>
  <c r="J382" i="55"/>
  <c r="L382" i="55"/>
  <c r="J381" i="55"/>
  <c r="L381" i="55"/>
  <c r="J380" i="55"/>
  <c r="L380" i="55"/>
  <c r="J379" i="55"/>
  <c r="L379" i="55"/>
  <c r="J378" i="55"/>
  <c r="L378" i="55"/>
  <c r="J331" i="55"/>
  <c r="L331" i="55"/>
  <c r="J330" i="55"/>
  <c r="L330" i="55"/>
  <c r="J286" i="55"/>
  <c r="L286" i="55"/>
  <c r="J51" i="55"/>
  <c r="L51" i="55"/>
  <c r="J181" i="55"/>
  <c r="L181" i="55"/>
  <c r="J180" i="55"/>
  <c r="L180" i="55"/>
  <c r="J152" i="55"/>
  <c r="L152" i="55"/>
  <c r="J50" i="55"/>
  <c r="L50" i="55"/>
  <c r="J69" i="55"/>
  <c r="L69" i="55"/>
  <c r="J59" i="55"/>
  <c r="L59" i="55"/>
  <c r="J52" i="55"/>
  <c r="L52" i="55"/>
  <c r="J49" i="55"/>
  <c r="L49" i="55"/>
  <c r="J17" i="55"/>
  <c r="L17" i="55"/>
  <c r="J16" i="55"/>
  <c r="L16" i="55"/>
  <c r="J514" i="55"/>
  <c r="L514" i="55"/>
  <c r="J513" i="55"/>
  <c r="L513" i="55"/>
  <c r="J512" i="55"/>
  <c r="L512" i="55"/>
  <c r="J412" i="55"/>
  <c r="L412" i="55"/>
  <c r="J411" i="55"/>
  <c r="L411" i="55"/>
  <c r="J273" i="55"/>
  <c r="L273" i="55"/>
  <c r="J410" i="55"/>
  <c r="L410" i="55"/>
  <c r="J409" i="55"/>
  <c r="L409" i="55"/>
  <c r="J408" i="55"/>
  <c r="L408" i="55"/>
  <c r="J407" i="55"/>
  <c r="L407" i="55"/>
  <c r="J406" i="55"/>
  <c r="L406" i="55"/>
  <c r="J254" i="55"/>
  <c r="L254" i="55"/>
  <c r="J253" i="55"/>
  <c r="L253" i="55"/>
  <c r="J252" i="55"/>
  <c r="L252" i="55"/>
  <c r="J251" i="55"/>
  <c r="L251" i="55"/>
  <c r="J250" i="55"/>
  <c r="L250" i="55"/>
  <c r="J249" i="55"/>
  <c r="L249" i="55"/>
  <c r="J248" i="55"/>
  <c r="L248" i="55"/>
  <c r="J247" i="55"/>
  <c r="L247" i="55"/>
  <c r="J203" i="55"/>
  <c r="L203" i="55"/>
  <c r="J202" i="55"/>
  <c r="L202" i="55"/>
  <c r="J201" i="55"/>
  <c r="L201" i="55"/>
  <c r="J200" i="55"/>
  <c r="L200" i="55"/>
  <c r="J199" i="55"/>
  <c r="L199" i="55"/>
  <c r="J198" i="55"/>
  <c r="L198" i="55"/>
  <c r="J197" i="55"/>
  <c r="L197" i="55"/>
  <c r="J196" i="55"/>
  <c r="L196" i="55"/>
  <c r="J192" i="55"/>
  <c r="L192" i="55"/>
  <c r="J191" i="55"/>
  <c r="L191" i="55"/>
  <c r="J136" i="55"/>
  <c r="L136" i="55"/>
  <c r="J135" i="55"/>
  <c r="L135" i="55"/>
  <c r="J134" i="55"/>
  <c r="L134" i="55"/>
  <c r="J133" i="55"/>
  <c r="L133" i="55"/>
  <c r="J132" i="55"/>
  <c r="L132" i="55"/>
  <c r="J131" i="55"/>
  <c r="L131" i="55"/>
  <c r="J130" i="55"/>
  <c r="L130" i="55"/>
  <c r="J129" i="55"/>
  <c r="L129" i="55"/>
  <c r="J128" i="55"/>
  <c r="L128" i="55"/>
  <c r="J127" i="55"/>
  <c r="L127" i="55"/>
  <c r="J126" i="55"/>
  <c r="L126" i="55"/>
  <c r="J125" i="55"/>
  <c r="L125" i="55"/>
  <c r="J124" i="55"/>
  <c r="L124" i="55"/>
  <c r="J123" i="55"/>
  <c r="L123" i="55"/>
  <c r="J122" i="55"/>
  <c r="L122" i="55"/>
  <c r="J121" i="55"/>
  <c r="L121" i="55"/>
  <c r="J120" i="55"/>
  <c r="L120" i="55"/>
  <c r="J119" i="55"/>
  <c r="L119" i="55"/>
  <c r="J118" i="55"/>
  <c r="L118" i="55"/>
  <c r="J117" i="55"/>
  <c r="L117" i="55"/>
  <c r="J116" i="55"/>
  <c r="L116" i="55"/>
  <c r="J115" i="55"/>
  <c r="L115" i="55"/>
  <c r="J114" i="55"/>
  <c r="L114" i="55"/>
  <c r="J113" i="55"/>
  <c r="L113" i="55"/>
  <c r="J70" i="55"/>
  <c r="L70" i="55"/>
  <c r="J511" i="55"/>
  <c r="L511" i="55"/>
  <c r="J509" i="55"/>
  <c r="L509" i="55"/>
  <c r="J508" i="55"/>
  <c r="L508" i="55"/>
  <c r="J507" i="55"/>
  <c r="L507" i="55"/>
  <c r="J505" i="55"/>
  <c r="L505" i="55"/>
  <c r="J504" i="55"/>
  <c r="L504" i="55"/>
  <c r="J503" i="55"/>
  <c r="L503" i="55"/>
  <c r="J497" i="55"/>
  <c r="L497" i="55"/>
  <c r="J496" i="55"/>
  <c r="L496" i="55"/>
  <c r="J490" i="55"/>
  <c r="L490" i="55"/>
  <c r="J489" i="55"/>
  <c r="L489" i="55"/>
  <c r="J488" i="55"/>
  <c r="L488" i="55"/>
  <c r="J487" i="55"/>
  <c r="L487" i="55"/>
  <c r="J486" i="55"/>
  <c r="L486" i="55"/>
  <c r="J485" i="55"/>
  <c r="L485" i="55"/>
  <c r="J484" i="55"/>
  <c r="L484" i="55"/>
  <c r="J462" i="55"/>
  <c r="L462" i="55"/>
  <c r="J461" i="55"/>
  <c r="L461" i="55"/>
  <c r="J453" i="55"/>
  <c r="L453" i="55"/>
  <c r="J452" i="55"/>
  <c r="L452" i="55"/>
  <c r="J451" i="55"/>
  <c r="L451" i="55"/>
  <c r="J450" i="55"/>
  <c r="L450" i="55"/>
  <c r="J427" i="55"/>
  <c r="L427" i="55"/>
  <c r="J426" i="55"/>
  <c r="L426" i="55"/>
  <c r="J425" i="55"/>
  <c r="L425" i="55"/>
  <c r="J424" i="55"/>
  <c r="L424" i="55"/>
  <c r="J423" i="55"/>
  <c r="L423" i="55"/>
  <c r="J422" i="55"/>
  <c r="L422" i="55"/>
  <c r="J421" i="55"/>
  <c r="L421" i="55"/>
  <c r="J420" i="55"/>
  <c r="L420" i="55"/>
  <c r="J419" i="55"/>
  <c r="L419" i="55"/>
  <c r="J418" i="55"/>
  <c r="L418" i="55"/>
  <c r="J417" i="55"/>
  <c r="L417" i="55"/>
  <c r="J416" i="55"/>
  <c r="L416" i="55"/>
  <c r="J415" i="55"/>
  <c r="L415" i="55"/>
  <c r="J414" i="55"/>
  <c r="L414" i="55"/>
  <c r="J413" i="55"/>
  <c r="L413" i="55"/>
  <c r="J402" i="55"/>
  <c r="L402" i="55"/>
  <c r="J175" i="55"/>
  <c r="L175" i="55"/>
  <c r="J174" i="55"/>
  <c r="L174" i="55"/>
  <c r="J173" i="55"/>
  <c r="L173" i="55"/>
  <c r="J172" i="55"/>
  <c r="L172" i="55"/>
  <c r="J171" i="55"/>
  <c r="L171" i="55"/>
  <c r="J170" i="55"/>
  <c r="L170" i="55"/>
  <c r="J169" i="55"/>
  <c r="L169" i="55"/>
  <c r="J168" i="55"/>
  <c r="L168" i="55"/>
  <c r="J167" i="55"/>
  <c r="L167" i="55"/>
  <c r="J400" i="55"/>
  <c r="L400" i="55"/>
  <c r="J399" i="55"/>
  <c r="L399" i="55"/>
  <c r="J398" i="55"/>
  <c r="L398" i="55"/>
  <c r="J397" i="55"/>
  <c r="L397" i="55"/>
  <c r="J396" i="55"/>
  <c r="L396" i="55"/>
  <c r="J395" i="55"/>
  <c r="L395" i="55"/>
  <c r="J394" i="55"/>
  <c r="L394" i="55"/>
  <c r="J393" i="55"/>
  <c r="L393" i="55"/>
  <c r="J392" i="55"/>
  <c r="L392" i="55"/>
  <c r="J391" i="55"/>
  <c r="L391" i="55"/>
  <c r="J390" i="55"/>
  <c r="L390" i="55"/>
  <c r="J389" i="55"/>
  <c r="L389" i="55"/>
  <c r="J388" i="55"/>
  <c r="L388" i="55"/>
  <c r="J506" i="55"/>
  <c r="L506" i="55"/>
  <c r="J354" i="55"/>
  <c r="L354" i="55"/>
  <c r="J353" i="55"/>
  <c r="L353" i="55"/>
  <c r="J352" i="55"/>
  <c r="L352" i="55"/>
  <c r="J350" i="55"/>
  <c r="L350" i="55"/>
  <c r="J349" i="55"/>
  <c r="L349" i="55"/>
  <c r="J334" i="55"/>
  <c r="L334" i="55"/>
  <c r="J355" i="55"/>
  <c r="L355" i="55"/>
  <c r="J328" i="55"/>
  <c r="L328" i="55"/>
  <c r="J327" i="55"/>
  <c r="L327" i="55"/>
  <c r="J326" i="55"/>
  <c r="L326" i="55"/>
  <c r="J325" i="55"/>
  <c r="L325" i="55"/>
  <c r="J324" i="55"/>
  <c r="L324" i="55"/>
  <c r="J323" i="55"/>
  <c r="L323" i="55"/>
  <c r="J322" i="55"/>
  <c r="L322" i="55"/>
  <c r="J316" i="55"/>
  <c r="L316" i="55"/>
  <c r="J315" i="55"/>
  <c r="L315" i="55"/>
  <c r="J291" i="55"/>
  <c r="L291" i="55"/>
  <c r="J290" i="55"/>
  <c r="L290" i="55"/>
  <c r="J289" i="55"/>
  <c r="L289" i="55"/>
  <c r="J288" i="55"/>
  <c r="L288" i="55"/>
  <c r="J287" i="55"/>
  <c r="L287" i="55"/>
  <c r="J285" i="55"/>
  <c r="L285" i="55"/>
  <c r="J284" i="55"/>
  <c r="L284" i="55"/>
  <c r="J166" i="55"/>
  <c r="L166" i="55"/>
  <c r="J165" i="55"/>
  <c r="L165" i="55"/>
  <c r="J274" i="55"/>
  <c r="L274" i="55"/>
  <c r="J177" i="55"/>
  <c r="L177" i="55"/>
  <c r="J176" i="55"/>
  <c r="L176" i="55"/>
  <c r="J164" i="55"/>
  <c r="L164" i="55"/>
  <c r="J163" i="55"/>
  <c r="L163" i="55"/>
  <c r="J162" i="55"/>
  <c r="L162" i="55"/>
  <c r="J256" i="55"/>
  <c r="L256" i="55"/>
  <c r="J255" i="55"/>
  <c r="L255" i="55"/>
  <c r="J238" i="55"/>
  <c r="L238" i="55"/>
  <c r="J237" i="55"/>
  <c r="L237" i="55"/>
  <c r="J229" i="55"/>
  <c r="L229" i="55"/>
  <c r="J217" i="55"/>
  <c r="L217" i="55"/>
  <c r="J216" i="55"/>
  <c r="L216" i="55"/>
  <c r="J215" i="55"/>
  <c r="L215" i="55"/>
  <c r="J214" i="55"/>
  <c r="L214" i="55"/>
  <c r="J195" i="55"/>
  <c r="L195" i="55"/>
  <c r="J190" i="55"/>
  <c r="L190" i="55"/>
  <c r="J189" i="55"/>
  <c r="L189" i="55"/>
  <c r="J188" i="55"/>
  <c r="L188" i="55"/>
  <c r="J185" i="55"/>
  <c r="L185" i="55"/>
  <c r="J187" i="55"/>
  <c r="L187" i="55"/>
  <c r="J186" i="55"/>
  <c r="L186" i="55"/>
  <c r="J184" i="55"/>
  <c r="L184" i="55"/>
  <c r="J156" i="55"/>
  <c r="L156" i="55"/>
  <c r="J151" i="55"/>
  <c r="L151" i="55"/>
  <c r="J150" i="55"/>
  <c r="L150" i="55"/>
  <c r="J112" i="55"/>
  <c r="L112" i="55"/>
  <c r="J111" i="55"/>
  <c r="L111" i="55"/>
  <c r="J110" i="55"/>
  <c r="L110" i="55"/>
  <c r="J109" i="55"/>
  <c r="L109" i="55"/>
  <c r="J108" i="55"/>
  <c r="L108" i="55"/>
  <c r="J107" i="55"/>
  <c r="L107" i="55"/>
  <c r="J106" i="55"/>
  <c r="L106" i="55"/>
  <c r="J105" i="55"/>
  <c r="L105" i="55"/>
  <c r="J104" i="55"/>
  <c r="L104" i="55"/>
  <c r="J183" i="55"/>
  <c r="L183" i="55"/>
  <c r="J103" i="55"/>
  <c r="L103" i="55"/>
  <c r="J102" i="55"/>
  <c r="L102" i="55"/>
  <c r="J101" i="55"/>
  <c r="L101" i="55"/>
  <c r="J100" i="55"/>
  <c r="L100" i="55"/>
  <c r="J99" i="55"/>
  <c r="L99" i="55"/>
  <c r="J98" i="55"/>
  <c r="L98" i="55"/>
  <c r="J97" i="55"/>
  <c r="L97" i="55"/>
  <c r="J74" i="55"/>
  <c r="L74" i="55"/>
  <c r="J58" i="55"/>
  <c r="L58" i="55"/>
  <c r="J32" i="55"/>
  <c r="L32" i="55"/>
  <c r="J31" i="55"/>
  <c r="L31" i="55"/>
  <c r="J30" i="55"/>
  <c r="L30" i="55"/>
  <c r="J28" i="55"/>
  <c r="L28" i="55"/>
  <c r="J27" i="55"/>
  <c r="L27" i="55"/>
  <c r="J29" i="55"/>
  <c r="L29" i="55"/>
  <c r="J13" i="55"/>
  <c r="L13" i="55"/>
  <c r="J12" i="55"/>
  <c r="L12" i="55"/>
  <c r="J44" i="55"/>
  <c r="L44" i="55"/>
  <c r="J43" i="55"/>
  <c r="L43" i="55"/>
  <c r="J42" i="55"/>
  <c r="L42" i="55"/>
  <c r="J41" i="55"/>
  <c r="L41" i="55"/>
  <c r="J367" i="55"/>
  <c r="L367" i="55"/>
  <c r="J366" i="55"/>
  <c r="L366" i="55"/>
  <c r="J365" i="55"/>
  <c r="L365" i="55"/>
  <c r="J364" i="55"/>
  <c r="L364" i="55"/>
  <c r="J363" i="55"/>
  <c r="L363" i="55"/>
  <c r="J362" i="55"/>
  <c r="L362" i="55"/>
  <c r="J361" i="55"/>
  <c r="L361" i="55"/>
  <c r="J360" i="55"/>
  <c r="L360" i="55"/>
  <c r="J445" i="55"/>
  <c r="L445" i="55"/>
  <c r="J483" i="55"/>
  <c r="L483" i="55"/>
  <c r="J482" i="55"/>
  <c r="L482" i="55"/>
  <c r="J481" i="55"/>
  <c r="L481" i="55"/>
  <c r="J480" i="55"/>
  <c r="L480" i="55"/>
  <c r="J479" i="55"/>
  <c r="L479" i="55"/>
  <c r="J478" i="55"/>
  <c r="L478" i="55"/>
  <c r="J477" i="55"/>
  <c r="L477" i="55"/>
  <c r="J476" i="55"/>
  <c r="L476" i="55"/>
  <c r="J475" i="55"/>
  <c r="L475" i="55"/>
  <c r="J474" i="55"/>
  <c r="L474" i="55"/>
  <c r="J473" i="55"/>
  <c r="L473" i="55"/>
  <c r="J472" i="55"/>
  <c r="L472" i="55"/>
  <c r="J471" i="55"/>
  <c r="L471" i="55"/>
  <c r="J470" i="55"/>
  <c r="L470" i="55"/>
  <c r="J469" i="55"/>
  <c r="L469" i="55"/>
  <c r="J468" i="55"/>
  <c r="L468" i="55"/>
  <c r="J467" i="55"/>
  <c r="L467" i="55"/>
  <c r="J466" i="55"/>
  <c r="L466" i="55"/>
  <c r="J465" i="55"/>
  <c r="L465" i="55"/>
  <c r="J464" i="55"/>
  <c r="L464" i="55"/>
  <c r="J463" i="55"/>
  <c r="L463" i="55"/>
  <c r="J460" i="55"/>
  <c r="L460" i="55"/>
  <c r="J459" i="55"/>
  <c r="L459" i="55"/>
  <c r="J458" i="55"/>
  <c r="L458" i="55"/>
  <c r="J456" i="55"/>
  <c r="L456" i="55"/>
  <c r="J449" i="55"/>
  <c r="L449" i="55"/>
  <c r="J448" i="55"/>
  <c r="L448" i="55"/>
  <c r="J447" i="55"/>
  <c r="L447" i="55"/>
  <c r="J446" i="55"/>
  <c r="L446" i="55"/>
  <c r="J444" i="55"/>
  <c r="L444" i="55"/>
  <c r="J443" i="55"/>
  <c r="L443" i="55"/>
  <c r="J442" i="55"/>
  <c r="L442" i="55"/>
  <c r="J441" i="55"/>
  <c r="L441" i="55"/>
  <c r="J440" i="55"/>
  <c r="L440" i="55"/>
  <c r="J439" i="55"/>
  <c r="L439" i="55"/>
  <c r="J438" i="55"/>
  <c r="L438" i="55"/>
  <c r="J437" i="55"/>
  <c r="L437" i="55"/>
  <c r="J436" i="55"/>
  <c r="L436" i="55"/>
  <c r="J435" i="55"/>
  <c r="L435" i="55"/>
  <c r="J434" i="55"/>
  <c r="L434" i="55"/>
  <c r="J433" i="55"/>
  <c r="L433" i="55"/>
  <c r="J432" i="55"/>
  <c r="L432" i="55"/>
  <c r="J431" i="55"/>
  <c r="L431" i="55"/>
  <c r="J430" i="55"/>
  <c r="L430" i="55"/>
  <c r="J429" i="55"/>
  <c r="L429" i="55"/>
  <c r="J428" i="55"/>
  <c r="L428" i="55"/>
  <c r="J404" i="55"/>
  <c r="K404" i="55"/>
  <c r="L404" i="55"/>
  <c r="J403" i="55"/>
  <c r="L403" i="55"/>
  <c r="J401" i="55"/>
  <c r="L401" i="55"/>
  <c r="J377" i="55"/>
  <c r="L377" i="55"/>
  <c r="J376" i="55"/>
  <c r="L376" i="55"/>
  <c r="J375" i="55"/>
  <c r="L375" i="55"/>
  <c r="J374" i="55"/>
  <c r="L374" i="55"/>
  <c r="J373" i="55"/>
  <c r="L373" i="55"/>
  <c r="J372" i="55"/>
  <c r="L372" i="55"/>
  <c r="J371" i="55"/>
  <c r="L371" i="55"/>
  <c r="J370" i="55"/>
  <c r="L370" i="55"/>
  <c r="J359" i="55"/>
  <c r="L359" i="55"/>
  <c r="J358" i="55"/>
  <c r="L358" i="55"/>
  <c r="J357" i="55"/>
  <c r="L357" i="55"/>
  <c r="J356" i="55"/>
  <c r="L356" i="55"/>
  <c r="J351" i="55"/>
  <c r="L351" i="55"/>
  <c r="J348" i="55"/>
  <c r="L348" i="55"/>
  <c r="J347" i="55"/>
  <c r="L347" i="55"/>
  <c r="J346" i="55"/>
  <c r="L346" i="55"/>
  <c r="J345" i="55"/>
  <c r="L345" i="55"/>
  <c r="J344" i="55"/>
  <c r="L344" i="55"/>
  <c r="J343" i="55"/>
  <c r="L343" i="55"/>
  <c r="J342" i="55"/>
  <c r="L342" i="55"/>
  <c r="J341" i="55"/>
  <c r="L341" i="55"/>
  <c r="J340" i="55"/>
  <c r="L340" i="55"/>
  <c r="J339" i="55"/>
  <c r="L339" i="55"/>
  <c r="J338" i="55"/>
  <c r="L338" i="55"/>
  <c r="J337" i="55"/>
  <c r="L337" i="55"/>
  <c r="J336" i="55"/>
  <c r="L336" i="55"/>
  <c r="J335" i="55"/>
  <c r="L335" i="55"/>
  <c r="J333" i="55"/>
  <c r="L333" i="55"/>
  <c r="J332" i="55"/>
  <c r="L332" i="55"/>
  <c r="J329" i="55"/>
  <c r="L329" i="55"/>
  <c r="J321" i="55"/>
  <c r="L321" i="55"/>
  <c r="J320" i="55"/>
  <c r="L320" i="55"/>
  <c r="J319" i="55"/>
  <c r="L319" i="55"/>
  <c r="J318" i="55"/>
  <c r="L318" i="55"/>
  <c r="J317" i="55"/>
  <c r="L317" i="55"/>
  <c r="J314" i="55"/>
  <c r="L314" i="55"/>
  <c r="J313" i="55"/>
  <c r="L313" i="55"/>
  <c r="J312" i="55"/>
  <c r="L312" i="55"/>
  <c r="J311" i="55"/>
  <c r="L311" i="55"/>
  <c r="J310" i="55"/>
  <c r="L310" i="55"/>
  <c r="J309" i="55"/>
  <c r="L309" i="55"/>
  <c r="J308" i="55"/>
  <c r="L308" i="55"/>
  <c r="J307" i="55"/>
  <c r="L307" i="55"/>
  <c r="J306" i="55"/>
  <c r="L306" i="55"/>
  <c r="J305" i="55"/>
  <c r="L305" i="55"/>
  <c r="J304" i="55"/>
  <c r="L304" i="55"/>
  <c r="J303" i="55"/>
  <c r="L303" i="55"/>
  <c r="J302" i="55"/>
  <c r="L302" i="55"/>
  <c r="J301" i="55"/>
  <c r="L301" i="55"/>
  <c r="J300" i="55"/>
  <c r="L300" i="55"/>
  <c r="J299" i="55"/>
  <c r="L299" i="55"/>
  <c r="J298" i="55"/>
  <c r="L298" i="55"/>
  <c r="J297" i="55"/>
  <c r="L297" i="55"/>
  <c r="J296" i="55"/>
  <c r="L296" i="55"/>
  <c r="J295" i="55"/>
  <c r="L295" i="55"/>
  <c r="J294" i="55"/>
  <c r="L294" i="55"/>
  <c r="J293" i="55"/>
  <c r="L293" i="55"/>
  <c r="J292" i="55"/>
  <c r="L292" i="55"/>
  <c r="J283" i="55"/>
  <c r="L283" i="55"/>
  <c r="J282" i="55"/>
  <c r="L282" i="55"/>
  <c r="J281" i="55"/>
  <c r="L281" i="55"/>
  <c r="J280" i="55"/>
  <c r="L280" i="55"/>
  <c r="J279" i="55"/>
  <c r="L279" i="55"/>
  <c r="J278" i="55"/>
  <c r="L278" i="55"/>
  <c r="J277" i="55"/>
  <c r="L277" i="55"/>
  <c r="J276" i="55"/>
  <c r="L276" i="55"/>
  <c r="J275" i="55"/>
  <c r="L275" i="55"/>
  <c r="J272" i="55"/>
  <c r="L272" i="55"/>
  <c r="J267" i="55"/>
  <c r="L267" i="55"/>
  <c r="J266" i="55"/>
  <c r="L266" i="55"/>
  <c r="J265" i="55"/>
  <c r="L265" i="55"/>
  <c r="J264" i="55"/>
  <c r="L264" i="55"/>
  <c r="J263" i="55"/>
  <c r="L263" i="55"/>
  <c r="J262" i="55"/>
  <c r="L262" i="55"/>
  <c r="J261" i="55"/>
  <c r="L261" i="55"/>
  <c r="J258" i="55"/>
  <c r="L258" i="55"/>
  <c r="J257" i="55"/>
  <c r="L257" i="55"/>
  <c r="J243" i="55"/>
  <c r="L243" i="55"/>
  <c r="J242" i="55"/>
  <c r="L242" i="55"/>
  <c r="J241" i="55"/>
  <c r="L241" i="55"/>
  <c r="J240" i="55"/>
  <c r="L240" i="55"/>
  <c r="J239" i="55"/>
  <c r="L239" i="55"/>
  <c r="J236" i="55"/>
  <c r="L236" i="55"/>
  <c r="J235" i="55"/>
  <c r="L235" i="55"/>
  <c r="J234" i="55"/>
  <c r="L234" i="55"/>
  <c r="J233" i="55"/>
  <c r="L233" i="55"/>
  <c r="J232" i="55"/>
  <c r="L232" i="55"/>
  <c r="J231" i="55"/>
  <c r="L231" i="55"/>
  <c r="J230" i="55"/>
  <c r="L230" i="55"/>
  <c r="J228" i="55"/>
  <c r="L228" i="55"/>
  <c r="J227" i="55"/>
  <c r="L227" i="55"/>
  <c r="J226" i="55"/>
  <c r="L226" i="55"/>
  <c r="J225" i="55"/>
  <c r="L225" i="55"/>
  <c r="J224" i="55"/>
  <c r="L224" i="55"/>
  <c r="J223" i="55"/>
  <c r="L223" i="55"/>
  <c r="J222" i="55"/>
  <c r="L222" i="55"/>
  <c r="J221" i="55"/>
  <c r="L221" i="55"/>
  <c r="J220" i="55"/>
  <c r="L220" i="55"/>
  <c r="J219" i="55"/>
  <c r="L219" i="55"/>
  <c r="J218" i="55"/>
  <c r="L218" i="55"/>
  <c r="J206" i="55"/>
  <c r="L206" i="55"/>
  <c r="J205" i="55"/>
  <c r="L205" i="55"/>
  <c r="J204" i="55"/>
  <c r="L204" i="55"/>
  <c r="J194" i="55"/>
  <c r="L194" i="55"/>
  <c r="J193" i="55"/>
  <c r="L193" i="55"/>
  <c r="J179" i="55"/>
  <c r="L179" i="55"/>
  <c r="J178" i="55"/>
  <c r="L178" i="55"/>
  <c r="J161" i="55"/>
  <c r="L161" i="55"/>
  <c r="J160" i="55"/>
  <c r="L160" i="55"/>
  <c r="J159" i="55"/>
  <c r="L159" i="55"/>
  <c r="J155" i="55"/>
  <c r="L155" i="55"/>
  <c r="J154" i="55"/>
  <c r="L154" i="55"/>
  <c r="J153" i="55"/>
  <c r="L153" i="55"/>
  <c r="J96" i="55"/>
  <c r="L96" i="55"/>
  <c r="J95" i="55"/>
  <c r="L95" i="55"/>
  <c r="J94" i="55"/>
  <c r="L94" i="55"/>
  <c r="J93" i="55"/>
  <c r="L93" i="55"/>
  <c r="J92" i="55"/>
  <c r="L92" i="55"/>
  <c r="J91" i="55"/>
  <c r="L91" i="55"/>
  <c r="J90" i="55"/>
  <c r="L90" i="55"/>
  <c r="J89" i="55"/>
  <c r="L89" i="55"/>
  <c r="J88" i="55"/>
  <c r="L88" i="55"/>
  <c r="J87" i="55"/>
  <c r="L87" i="55"/>
  <c r="J86" i="55"/>
  <c r="L86" i="55"/>
  <c r="J85" i="55"/>
  <c r="L85" i="55"/>
  <c r="J84" i="55"/>
  <c r="L84" i="55"/>
  <c r="J83" i="55"/>
  <c r="L83" i="55"/>
  <c r="J82" i="55"/>
  <c r="L82" i="55"/>
  <c r="J81" i="55"/>
  <c r="L81" i="55"/>
  <c r="J80" i="55"/>
  <c r="L80" i="55"/>
  <c r="J79" i="55"/>
  <c r="L79" i="55"/>
  <c r="J78" i="55"/>
  <c r="L78" i="55"/>
  <c r="J77" i="55"/>
  <c r="L77" i="55"/>
  <c r="J76" i="55"/>
  <c r="L76" i="55"/>
  <c r="J75" i="55"/>
  <c r="L75" i="55"/>
  <c r="J73" i="55"/>
  <c r="L73" i="55"/>
  <c r="J72" i="55"/>
  <c r="L72" i="55"/>
  <c r="J71" i="55"/>
  <c r="L71" i="55"/>
  <c r="J68" i="55"/>
  <c r="L68" i="55"/>
  <c r="J67" i="55"/>
  <c r="L67" i="55"/>
  <c r="J66" i="55"/>
  <c r="L66" i="55"/>
  <c r="J65" i="55"/>
  <c r="L65" i="55"/>
  <c r="J64" i="55"/>
  <c r="L64" i="55"/>
  <c r="J63" i="55"/>
  <c r="L63" i="55"/>
  <c r="J62" i="55"/>
  <c r="L62" i="55"/>
  <c r="J61" i="55"/>
  <c r="L61" i="55"/>
  <c r="J60" i="55"/>
  <c r="L60" i="55"/>
  <c r="J57" i="55"/>
  <c r="L57" i="55"/>
  <c r="J56" i="55"/>
  <c r="L56" i="55"/>
  <c r="J55" i="55"/>
  <c r="L55" i="55"/>
  <c r="J54" i="55"/>
  <c r="L54" i="55"/>
  <c r="J53" i="55"/>
  <c r="L53" i="55"/>
  <c r="J48" i="55"/>
  <c r="L48" i="55"/>
  <c r="J37" i="55"/>
  <c r="L37" i="55"/>
  <c r="J36" i="55"/>
  <c r="L36" i="55"/>
  <c r="J35" i="55"/>
  <c r="L35" i="55"/>
  <c r="J39" i="55"/>
  <c r="L39" i="55"/>
  <c r="J38" i="55"/>
  <c r="L38" i="55"/>
  <c r="J34" i="55"/>
  <c r="L34" i="55"/>
  <c r="J33" i="55"/>
  <c r="L33" i="55"/>
  <c r="J26" i="55"/>
  <c r="L26" i="55"/>
  <c r="J25" i="55"/>
  <c r="L25" i="55"/>
  <c r="J24" i="55"/>
  <c r="L24" i="55"/>
  <c r="J23" i="55"/>
  <c r="L23" i="55"/>
  <c r="J22" i="55"/>
  <c r="L22" i="55"/>
  <c r="J21" i="55"/>
  <c r="L21" i="55"/>
  <c r="J20" i="55"/>
  <c r="L20" i="55"/>
  <c r="J19" i="55"/>
  <c r="L19" i="55"/>
  <c r="J18" i="55"/>
  <c r="L18" i="55"/>
  <c r="J15" i="55"/>
  <c r="L15" i="55"/>
  <c r="J14" i="55"/>
  <c r="L14" i="55"/>
  <c r="J11" i="55"/>
  <c r="L11" i="55"/>
  <c r="J10" i="55"/>
  <c r="L10" i="55"/>
  <c r="J9" i="55"/>
  <c r="L9" i="55"/>
  <c r="J271" i="55"/>
  <c r="L271" i="55"/>
  <c r="J270" i="55"/>
  <c r="L270" i="55"/>
  <c r="J269" i="55"/>
  <c r="L269" i="55"/>
  <c r="J268" i="55"/>
  <c r="L268" i="55"/>
  <c r="J149" i="55"/>
  <c r="L149" i="55"/>
  <c r="J148" i="55"/>
  <c r="L148" i="55"/>
  <c r="J147" i="55"/>
  <c r="L147" i="55"/>
  <c r="J146" i="55"/>
  <c r="L146" i="55"/>
  <c r="J145" i="55"/>
  <c r="L145" i="55"/>
  <c r="J144" i="55"/>
  <c r="L144" i="55"/>
  <c r="J143" i="55"/>
  <c r="L143" i="55"/>
  <c r="J142" i="55"/>
  <c r="L142" i="55"/>
  <c r="J141" i="55"/>
  <c r="L141" i="55"/>
  <c r="J140" i="55"/>
  <c r="L140" i="55"/>
  <c r="J139" i="55"/>
  <c r="L139" i="55"/>
  <c r="J405" i="55"/>
  <c r="L405" i="55"/>
  <c r="J246" i="55"/>
  <c r="L246" i="55"/>
  <c r="J245" i="55"/>
  <c r="L245" i="55"/>
  <c r="J244" i="55"/>
  <c r="L244" i="55"/>
  <c r="J138" i="55"/>
  <c r="L138" i="55"/>
  <c r="J40" i="55"/>
  <c r="L40" i="55"/>
  <c r="J260" i="55"/>
  <c r="L260" i="55"/>
  <c r="J137" i="55"/>
  <c r="L137" i="55"/>
  <c r="J259" i="55"/>
  <c r="L259" i="55"/>
  <c r="J8" i="55"/>
  <c r="L8" i="55"/>
  <c r="J7" i="55"/>
  <c r="L7" i="55"/>
  <c r="J455" i="55"/>
  <c r="L455" i="55"/>
  <c r="J6" i="55"/>
  <c r="L6" i="55"/>
  <c r="J5" i="55"/>
  <c r="L5" i="55"/>
  <c r="J454" i="55"/>
  <c r="L454" i="55"/>
  <c r="J158" i="55"/>
  <c r="L158" i="55"/>
  <c r="J157" i="55"/>
  <c r="L157" i="55"/>
  <c r="I213" i="55"/>
  <c r="J213" i="55"/>
  <c r="L213" i="55"/>
  <c r="L515" i="55"/>
  <c r="I3" i="51"/>
  <c r="J3" i="51"/>
  <c r="K3" i="51"/>
  <c r="L3" i="51"/>
  <c r="I4" i="51"/>
  <c r="J4" i="51"/>
  <c r="K4" i="51"/>
  <c r="L4" i="51"/>
  <c r="I5" i="51"/>
  <c r="J5" i="51"/>
  <c r="L5" i="51"/>
  <c r="I6" i="51"/>
  <c r="J6" i="51"/>
  <c r="L6" i="51"/>
  <c r="I7" i="51"/>
  <c r="J7" i="51"/>
  <c r="L7" i="51"/>
  <c r="I8" i="51"/>
  <c r="J8" i="51"/>
  <c r="L8" i="51"/>
  <c r="E9" i="51"/>
  <c r="I9" i="51"/>
  <c r="J9" i="51"/>
  <c r="L9" i="51"/>
  <c r="I10" i="51"/>
  <c r="J10" i="51"/>
  <c r="L10" i="51"/>
  <c r="I11" i="51"/>
  <c r="J11" i="51"/>
  <c r="L11" i="51"/>
  <c r="I12" i="51"/>
  <c r="J12" i="51"/>
  <c r="L12" i="51"/>
  <c r="I13" i="51"/>
  <c r="J13" i="51"/>
  <c r="L13" i="51"/>
  <c r="I14" i="51"/>
  <c r="J14" i="51"/>
  <c r="L14" i="51"/>
  <c r="I15" i="51"/>
  <c r="J15" i="51"/>
  <c r="L15" i="51"/>
  <c r="I16" i="51"/>
  <c r="J16" i="51"/>
  <c r="L16" i="51"/>
  <c r="I17" i="51"/>
  <c r="J17" i="51"/>
  <c r="L17" i="51"/>
  <c r="I18" i="51"/>
  <c r="J18" i="51"/>
  <c r="L18" i="51"/>
  <c r="I19" i="51"/>
  <c r="J19" i="51"/>
  <c r="L19" i="51"/>
  <c r="I20" i="51"/>
  <c r="J20" i="51"/>
  <c r="L20" i="51"/>
  <c r="I21" i="51"/>
  <c r="J21" i="51"/>
  <c r="L21" i="51"/>
  <c r="I22" i="51"/>
  <c r="J22" i="51"/>
  <c r="L22" i="51"/>
  <c r="I23" i="51"/>
  <c r="J23" i="51"/>
  <c r="L23" i="51"/>
  <c r="I24" i="51"/>
  <c r="J24" i="51"/>
  <c r="L24" i="51"/>
  <c r="I25" i="51"/>
  <c r="J25" i="51"/>
  <c r="L25" i="51"/>
  <c r="I26" i="51"/>
  <c r="J26" i="51"/>
  <c r="L26" i="51"/>
  <c r="I27" i="51"/>
  <c r="J27" i="51"/>
  <c r="L27" i="51"/>
  <c r="I28" i="51"/>
  <c r="J28" i="51"/>
  <c r="L28" i="51"/>
  <c r="I29" i="51"/>
  <c r="J29" i="51"/>
  <c r="L29" i="51"/>
  <c r="I30" i="51"/>
  <c r="J30" i="51"/>
  <c r="L30" i="51"/>
  <c r="I31" i="51"/>
  <c r="J31" i="51"/>
  <c r="L31" i="51"/>
  <c r="I32" i="51"/>
  <c r="J32" i="51"/>
  <c r="L32" i="51"/>
  <c r="I33" i="51"/>
  <c r="J33" i="51"/>
  <c r="L33" i="51"/>
  <c r="I34" i="51"/>
  <c r="J34" i="51"/>
  <c r="L34" i="51"/>
  <c r="I35" i="51"/>
  <c r="J35" i="51"/>
  <c r="L35" i="51"/>
  <c r="I36" i="51"/>
  <c r="J36" i="51"/>
  <c r="L36" i="51"/>
  <c r="I37" i="51"/>
  <c r="J37" i="51"/>
  <c r="L37" i="51"/>
  <c r="I38" i="51"/>
  <c r="J38" i="51"/>
  <c r="L38" i="51"/>
  <c r="I39" i="51"/>
  <c r="J39" i="51"/>
  <c r="L39" i="51"/>
  <c r="I40" i="51"/>
  <c r="J40" i="51"/>
  <c r="L40" i="51"/>
  <c r="I41" i="51"/>
  <c r="J41" i="51"/>
  <c r="L41" i="51"/>
  <c r="E42" i="51"/>
  <c r="I42" i="51"/>
  <c r="J42" i="51"/>
  <c r="L42" i="51"/>
  <c r="I43" i="51"/>
  <c r="J43" i="51"/>
  <c r="L43" i="51"/>
  <c r="I44" i="51"/>
  <c r="J44" i="51"/>
  <c r="L44" i="51"/>
  <c r="I45" i="51"/>
  <c r="J45" i="51"/>
  <c r="L45" i="51"/>
  <c r="I46" i="51"/>
  <c r="J46" i="51"/>
  <c r="L46" i="51"/>
  <c r="E47" i="51"/>
  <c r="I47" i="51"/>
  <c r="J47" i="51"/>
  <c r="L47" i="51"/>
  <c r="I48" i="51"/>
  <c r="J48" i="51"/>
  <c r="L48" i="51"/>
  <c r="I49" i="51"/>
  <c r="J49" i="51"/>
  <c r="L49" i="51"/>
  <c r="I50" i="51"/>
  <c r="J50" i="51"/>
  <c r="L50" i="51"/>
  <c r="I51" i="51"/>
  <c r="J51" i="51"/>
  <c r="L51" i="51"/>
  <c r="I52" i="51"/>
  <c r="J52" i="51"/>
  <c r="L52" i="51"/>
  <c r="I53" i="51"/>
  <c r="J53" i="51"/>
  <c r="L53" i="51"/>
  <c r="I54" i="51"/>
  <c r="J54" i="51"/>
  <c r="L54" i="51"/>
  <c r="I55" i="51"/>
  <c r="J55" i="51"/>
  <c r="L55" i="51"/>
  <c r="I56" i="51"/>
  <c r="J56" i="51"/>
  <c r="L56" i="51"/>
  <c r="E57" i="51"/>
  <c r="I57" i="51"/>
  <c r="J57" i="51"/>
  <c r="L57" i="51"/>
  <c r="I58" i="51"/>
  <c r="J58" i="51"/>
  <c r="L58" i="51"/>
  <c r="I59" i="51"/>
  <c r="J59" i="51"/>
  <c r="L59" i="51"/>
  <c r="I60" i="51"/>
  <c r="J60" i="51"/>
  <c r="L60" i="51"/>
  <c r="I61" i="51"/>
  <c r="J61" i="51"/>
  <c r="L61" i="51"/>
  <c r="E62" i="51"/>
  <c r="I62" i="51"/>
  <c r="J62" i="51"/>
  <c r="L62" i="51"/>
  <c r="E63" i="51"/>
  <c r="I63" i="51"/>
  <c r="J63" i="51"/>
  <c r="L63" i="51"/>
  <c r="E64" i="51"/>
  <c r="I64" i="51"/>
  <c r="J64" i="51"/>
  <c r="L64" i="51"/>
  <c r="E65" i="51"/>
  <c r="I65" i="51"/>
  <c r="J65" i="51"/>
  <c r="L65" i="51"/>
  <c r="E66" i="51"/>
  <c r="I66" i="51"/>
  <c r="J66" i="51"/>
  <c r="L66" i="51"/>
  <c r="I67" i="51"/>
  <c r="J67" i="51"/>
  <c r="L67" i="51"/>
  <c r="I68" i="51"/>
  <c r="J68" i="51"/>
  <c r="L68" i="51"/>
  <c r="I69" i="51"/>
  <c r="J69" i="51"/>
  <c r="L69" i="51"/>
  <c r="I70" i="51"/>
  <c r="J70" i="51"/>
  <c r="L70" i="51"/>
  <c r="I71" i="51"/>
  <c r="J71" i="51"/>
  <c r="L71" i="51"/>
  <c r="I72" i="51"/>
  <c r="J72" i="51"/>
  <c r="L72" i="51"/>
  <c r="I73" i="51"/>
  <c r="J73" i="51"/>
  <c r="L73" i="51"/>
  <c r="I74" i="51"/>
  <c r="J74" i="51"/>
  <c r="L74" i="51"/>
  <c r="I75" i="51"/>
  <c r="J75" i="51"/>
  <c r="L75" i="51"/>
  <c r="I76" i="51"/>
  <c r="J76" i="51"/>
  <c r="L76" i="51"/>
  <c r="I77" i="51"/>
  <c r="J77" i="51"/>
  <c r="L77" i="51"/>
  <c r="I78" i="51"/>
  <c r="J78" i="51"/>
  <c r="L78" i="51"/>
  <c r="E79" i="51"/>
  <c r="I79" i="51"/>
  <c r="J79" i="51"/>
  <c r="L79" i="51"/>
  <c r="I80" i="51"/>
  <c r="J80" i="51"/>
  <c r="L80" i="51"/>
  <c r="I81" i="51"/>
  <c r="J81" i="51"/>
  <c r="L81" i="51"/>
  <c r="I82" i="51"/>
  <c r="J82" i="51"/>
  <c r="L82" i="51"/>
  <c r="I83" i="51"/>
  <c r="J83" i="51"/>
  <c r="L83" i="51"/>
  <c r="I84" i="51"/>
  <c r="J84" i="51"/>
  <c r="L84" i="51"/>
  <c r="I85" i="51"/>
  <c r="J85" i="51"/>
  <c r="L85" i="51"/>
  <c r="I86" i="51"/>
  <c r="J86" i="51"/>
  <c r="L86" i="51"/>
  <c r="I87" i="51"/>
  <c r="J87" i="51"/>
  <c r="L87" i="51"/>
  <c r="I88" i="51"/>
  <c r="J88" i="51"/>
  <c r="L88" i="51"/>
  <c r="I89" i="51"/>
  <c r="J89" i="51"/>
  <c r="L89" i="51"/>
  <c r="I90" i="51"/>
  <c r="J90" i="51"/>
  <c r="L90" i="51"/>
  <c r="I91" i="51"/>
  <c r="J91" i="51"/>
  <c r="L91" i="51"/>
  <c r="I92" i="51"/>
  <c r="J92" i="51"/>
  <c r="L92" i="51"/>
  <c r="I93" i="51"/>
  <c r="J93" i="51"/>
  <c r="L93" i="51"/>
  <c r="I94" i="51"/>
  <c r="J94" i="51"/>
  <c r="L94" i="51"/>
  <c r="I95" i="51"/>
  <c r="J95" i="51"/>
  <c r="L95" i="51"/>
  <c r="I96" i="51"/>
  <c r="J96" i="51"/>
  <c r="L96" i="51"/>
  <c r="I97" i="51"/>
  <c r="J97" i="51"/>
  <c r="L97" i="51"/>
  <c r="I98" i="51"/>
  <c r="J98" i="51"/>
  <c r="L98" i="51"/>
  <c r="I99" i="51"/>
  <c r="J99" i="51"/>
  <c r="L99" i="51"/>
  <c r="I100" i="51"/>
  <c r="J100" i="51"/>
  <c r="L100" i="51"/>
  <c r="I101" i="51"/>
  <c r="J101" i="51"/>
  <c r="L101" i="51"/>
  <c r="I102" i="51"/>
  <c r="J102" i="51"/>
  <c r="L102" i="51"/>
  <c r="I103" i="51"/>
  <c r="J103" i="51"/>
  <c r="L103" i="51"/>
  <c r="I104" i="51"/>
  <c r="J104" i="51"/>
  <c r="L104" i="51"/>
  <c r="I105" i="51"/>
  <c r="J105" i="51"/>
  <c r="L105" i="51"/>
  <c r="I106" i="51"/>
  <c r="J106" i="51"/>
  <c r="L106" i="51"/>
  <c r="I107" i="51"/>
  <c r="J107" i="51"/>
  <c r="L107" i="51"/>
  <c r="I108" i="51"/>
  <c r="J108" i="51"/>
  <c r="L108" i="51"/>
  <c r="I109" i="51"/>
  <c r="J109" i="51"/>
  <c r="L109" i="51"/>
  <c r="I110" i="51"/>
  <c r="J110" i="51"/>
  <c r="L110" i="51"/>
  <c r="I111" i="51"/>
  <c r="J111" i="51"/>
  <c r="L111" i="51"/>
  <c r="I112" i="51"/>
  <c r="J112" i="51"/>
  <c r="L112" i="51"/>
  <c r="I113" i="51"/>
  <c r="J113" i="51"/>
  <c r="L113" i="51"/>
  <c r="I114" i="51"/>
  <c r="J114" i="51"/>
  <c r="L114" i="51"/>
  <c r="I115" i="51"/>
  <c r="J115" i="51"/>
  <c r="L115" i="51"/>
  <c r="I116" i="51"/>
  <c r="J116" i="51"/>
  <c r="L116" i="51"/>
  <c r="I117" i="51"/>
  <c r="J117" i="51"/>
  <c r="L117" i="51"/>
  <c r="I118" i="51"/>
  <c r="J118" i="51"/>
  <c r="L118" i="51"/>
  <c r="I119" i="51"/>
  <c r="J119" i="51"/>
  <c r="L119" i="51"/>
  <c r="I120" i="51"/>
  <c r="J120" i="51"/>
  <c r="L120" i="51"/>
  <c r="I121" i="51"/>
  <c r="J121" i="51"/>
  <c r="L121" i="51"/>
  <c r="I122" i="51"/>
  <c r="J122" i="51"/>
  <c r="L122" i="51"/>
  <c r="I123" i="51"/>
  <c r="J123" i="51"/>
  <c r="L123" i="51"/>
  <c r="I124" i="51"/>
  <c r="J124" i="51"/>
  <c r="L124" i="51"/>
  <c r="I125" i="51"/>
  <c r="J125" i="51"/>
  <c r="L125" i="51"/>
  <c r="I126" i="51"/>
  <c r="J126" i="51"/>
  <c r="L126" i="51"/>
  <c r="I127" i="51"/>
  <c r="J127" i="51"/>
  <c r="L127" i="51"/>
  <c r="I128" i="51"/>
  <c r="J128" i="51"/>
  <c r="L128" i="51"/>
  <c r="I129" i="51"/>
  <c r="J129" i="51"/>
  <c r="L129" i="51"/>
  <c r="I130" i="51"/>
  <c r="J130" i="51"/>
  <c r="L130" i="51"/>
  <c r="I131" i="51"/>
  <c r="J131" i="51"/>
  <c r="L131" i="51"/>
  <c r="I132" i="51"/>
  <c r="J132" i="51"/>
  <c r="L132" i="51"/>
  <c r="I133" i="51"/>
  <c r="J133" i="51"/>
  <c r="L133" i="51"/>
  <c r="I134" i="51"/>
  <c r="J134" i="51"/>
  <c r="L134" i="51"/>
  <c r="I135" i="51"/>
  <c r="J135" i="51"/>
  <c r="L135" i="51"/>
  <c r="I136" i="51"/>
  <c r="J136" i="51"/>
  <c r="L136" i="51"/>
  <c r="I137" i="51"/>
  <c r="J137" i="51"/>
  <c r="L137" i="51"/>
  <c r="I138" i="51"/>
  <c r="J138" i="51"/>
  <c r="L138" i="51"/>
  <c r="I139" i="51"/>
  <c r="J139" i="51"/>
  <c r="L139" i="51"/>
  <c r="I140" i="51"/>
  <c r="J140" i="51"/>
  <c r="L140" i="51"/>
  <c r="I141" i="51"/>
  <c r="J141" i="51"/>
  <c r="L141" i="51"/>
  <c r="I142" i="51"/>
  <c r="J142" i="51"/>
  <c r="L142" i="51"/>
  <c r="I143" i="51"/>
  <c r="J143" i="51"/>
  <c r="L143" i="51"/>
  <c r="I144" i="51"/>
  <c r="J144" i="51"/>
  <c r="L144" i="51"/>
  <c r="I145" i="51"/>
  <c r="J145" i="51"/>
  <c r="L145" i="51"/>
  <c r="I146" i="51"/>
  <c r="J146" i="51"/>
  <c r="L146" i="51"/>
  <c r="I147" i="51"/>
  <c r="J147" i="51"/>
  <c r="L147" i="51"/>
  <c r="I148" i="51"/>
  <c r="J148" i="51"/>
  <c r="L148" i="51"/>
  <c r="I149" i="51"/>
  <c r="J149" i="51"/>
  <c r="L149" i="51"/>
  <c r="E150" i="51"/>
  <c r="I150" i="51"/>
  <c r="J150" i="51"/>
  <c r="L150" i="51"/>
  <c r="E151" i="51"/>
  <c r="I151" i="51"/>
  <c r="J151" i="51"/>
  <c r="L151" i="51"/>
  <c r="J152" i="51"/>
  <c r="L152" i="51"/>
  <c r="I153" i="51"/>
  <c r="J153" i="51"/>
  <c r="L153" i="51"/>
  <c r="I154" i="51"/>
  <c r="J154" i="51"/>
  <c r="L154" i="51"/>
  <c r="I155" i="51"/>
  <c r="J155" i="51"/>
  <c r="L155" i="51"/>
  <c r="I156" i="51"/>
  <c r="J156" i="51"/>
  <c r="L156" i="51"/>
  <c r="I157" i="51"/>
  <c r="J157" i="51"/>
  <c r="L157" i="51"/>
  <c r="I158" i="51"/>
  <c r="J158" i="51"/>
  <c r="L158" i="51"/>
  <c r="I159" i="51"/>
  <c r="J159" i="51"/>
  <c r="L159" i="51"/>
  <c r="I160" i="51"/>
  <c r="J160" i="51"/>
  <c r="L160" i="51"/>
  <c r="I161" i="51"/>
  <c r="J161" i="51"/>
  <c r="L161" i="51"/>
  <c r="I162" i="51"/>
  <c r="J162" i="51"/>
  <c r="L162" i="51"/>
  <c r="I163" i="51"/>
  <c r="J163" i="51"/>
  <c r="L163" i="51"/>
  <c r="I164" i="51"/>
  <c r="J164" i="51"/>
  <c r="L164" i="51"/>
  <c r="I165" i="51"/>
  <c r="J165" i="51"/>
  <c r="L165" i="51"/>
  <c r="I166" i="51"/>
  <c r="J166" i="51"/>
  <c r="L166" i="51"/>
  <c r="E167" i="51"/>
  <c r="I167" i="51"/>
  <c r="J167" i="51"/>
  <c r="L167" i="51"/>
  <c r="E168" i="51"/>
  <c r="I168" i="51"/>
  <c r="J168" i="51"/>
  <c r="L168" i="51"/>
  <c r="I169" i="51"/>
  <c r="J169" i="51"/>
  <c r="L169" i="51"/>
  <c r="I170" i="51"/>
  <c r="J170" i="51"/>
  <c r="L170" i="51"/>
  <c r="E171" i="51"/>
  <c r="I171" i="51"/>
  <c r="J171" i="51"/>
  <c r="L171" i="51"/>
  <c r="I172" i="51"/>
  <c r="J172" i="51"/>
  <c r="L172" i="51"/>
  <c r="E173" i="51"/>
  <c r="I173" i="51"/>
  <c r="J173" i="51"/>
  <c r="L173" i="51"/>
  <c r="I174" i="51"/>
  <c r="J174" i="51"/>
  <c r="L174" i="51"/>
  <c r="I175" i="51"/>
  <c r="J175" i="51"/>
  <c r="L175" i="51"/>
  <c r="I176" i="51"/>
  <c r="J176" i="51"/>
  <c r="L176" i="51"/>
  <c r="I177" i="51"/>
  <c r="J177" i="51"/>
  <c r="L177" i="51"/>
  <c r="I178" i="51"/>
  <c r="J178" i="51"/>
  <c r="L178" i="51"/>
  <c r="J179" i="51"/>
  <c r="L179" i="51"/>
  <c r="I180" i="51"/>
  <c r="J180" i="51"/>
  <c r="L180" i="51"/>
  <c r="I181" i="51"/>
  <c r="J181" i="51"/>
  <c r="L181" i="51"/>
  <c r="I182" i="51"/>
  <c r="J182" i="51"/>
  <c r="L182" i="51"/>
  <c r="I183" i="51"/>
  <c r="J183" i="51"/>
  <c r="L183" i="51"/>
  <c r="E184" i="51"/>
  <c r="I184" i="51"/>
  <c r="J184" i="51"/>
  <c r="L184" i="51"/>
  <c r="E185" i="51"/>
  <c r="I185" i="51"/>
  <c r="J185" i="51"/>
  <c r="L185" i="51"/>
  <c r="E186" i="51"/>
  <c r="I186" i="51"/>
  <c r="J186" i="51"/>
  <c r="L186" i="51"/>
  <c r="E187" i="51"/>
  <c r="I187" i="51"/>
  <c r="J187" i="51"/>
  <c r="L187" i="51"/>
  <c r="I188" i="51"/>
  <c r="J188" i="51"/>
  <c r="L188" i="51"/>
  <c r="I189" i="51"/>
  <c r="J189" i="51"/>
  <c r="L189" i="51"/>
  <c r="I190" i="51"/>
  <c r="J190" i="51"/>
  <c r="L190" i="51"/>
  <c r="E191" i="51"/>
  <c r="I191" i="51"/>
  <c r="J191" i="51"/>
  <c r="L191" i="51"/>
  <c r="I192" i="51"/>
  <c r="J192" i="51"/>
  <c r="L192" i="51"/>
  <c r="I193" i="51"/>
  <c r="J193" i="51"/>
  <c r="L193" i="51"/>
  <c r="E194" i="51"/>
  <c r="I194" i="51"/>
  <c r="J194" i="51"/>
  <c r="L194" i="51"/>
  <c r="I195" i="51"/>
  <c r="J195" i="51"/>
  <c r="L195" i="51"/>
  <c r="E196" i="51"/>
  <c r="I196" i="51"/>
  <c r="J196" i="51"/>
  <c r="L196" i="51"/>
  <c r="E197" i="51"/>
  <c r="I197" i="51"/>
  <c r="J197" i="51"/>
  <c r="L197" i="51"/>
  <c r="I198" i="51"/>
  <c r="J198" i="51"/>
  <c r="L198" i="51"/>
  <c r="E199" i="51"/>
  <c r="I199" i="51"/>
  <c r="J199" i="51"/>
  <c r="L199" i="51"/>
  <c r="E200" i="51"/>
  <c r="I200" i="51"/>
  <c r="J200" i="51"/>
  <c r="L200" i="51"/>
  <c r="E201" i="51"/>
  <c r="I201" i="51"/>
  <c r="J201" i="51"/>
  <c r="L201" i="51"/>
  <c r="I202" i="51"/>
  <c r="J202" i="51"/>
  <c r="L202" i="51"/>
  <c r="E203" i="51"/>
  <c r="I203" i="51"/>
  <c r="J203" i="51"/>
  <c r="L203" i="51"/>
  <c r="I204" i="51"/>
  <c r="J204" i="51"/>
  <c r="L204" i="51"/>
  <c r="I205" i="51"/>
  <c r="J205" i="51"/>
  <c r="L205" i="51"/>
  <c r="I206" i="51"/>
  <c r="J206" i="51"/>
  <c r="L206" i="51"/>
  <c r="I207" i="51"/>
  <c r="J207" i="51"/>
  <c r="L207" i="51"/>
  <c r="I208" i="51"/>
  <c r="J208" i="51"/>
  <c r="L208" i="51"/>
  <c r="I209" i="51"/>
  <c r="J209" i="51"/>
  <c r="L209" i="51"/>
  <c r="I210" i="51"/>
  <c r="J210" i="51"/>
  <c r="L210" i="51"/>
  <c r="I211" i="51"/>
  <c r="J211" i="51"/>
  <c r="L211" i="51"/>
  <c r="I212" i="51"/>
  <c r="J212" i="51"/>
  <c r="L212" i="51"/>
  <c r="E213" i="51"/>
  <c r="I213" i="51"/>
  <c r="J213" i="51"/>
  <c r="L213" i="51"/>
  <c r="E214" i="51"/>
  <c r="I214" i="51"/>
  <c r="J214" i="51"/>
  <c r="L214" i="51"/>
  <c r="I215" i="51"/>
  <c r="J215" i="51"/>
  <c r="L215" i="51"/>
  <c r="I216" i="51"/>
  <c r="J216" i="51"/>
  <c r="L216" i="51"/>
  <c r="I217" i="51"/>
  <c r="J217" i="51"/>
  <c r="L217" i="51"/>
  <c r="I218" i="51"/>
  <c r="J218" i="51"/>
  <c r="L218" i="51"/>
  <c r="I219" i="51"/>
  <c r="J219" i="51"/>
  <c r="L219" i="51"/>
  <c r="E220" i="51"/>
  <c r="I220" i="51"/>
  <c r="J220" i="51"/>
  <c r="L220" i="51"/>
  <c r="I221" i="51"/>
  <c r="J221" i="51"/>
  <c r="K221" i="51"/>
  <c r="L221" i="51"/>
  <c r="I222" i="51"/>
  <c r="J222" i="51"/>
  <c r="K222" i="51"/>
  <c r="L222" i="51"/>
  <c r="I223" i="51"/>
  <c r="J223" i="51"/>
  <c r="K223" i="51"/>
  <c r="L223" i="51"/>
  <c r="I224" i="51"/>
  <c r="J224" i="51"/>
  <c r="L224" i="51"/>
  <c r="I225" i="51"/>
  <c r="J225" i="51"/>
  <c r="L225" i="51"/>
  <c r="I226" i="51"/>
  <c r="J226" i="51"/>
  <c r="L226" i="51"/>
  <c r="I227" i="51"/>
  <c r="J227" i="51"/>
  <c r="L227" i="51"/>
  <c r="I228" i="51"/>
  <c r="J228" i="51"/>
  <c r="L228" i="51"/>
  <c r="I229" i="51"/>
  <c r="J229" i="51"/>
  <c r="L229" i="51"/>
  <c r="I230" i="51"/>
  <c r="J230" i="51"/>
  <c r="L230" i="51"/>
  <c r="I231" i="51"/>
  <c r="J231" i="51"/>
  <c r="L231" i="51"/>
  <c r="I232" i="51"/>
  <c r="J232" i="51"/>
  <c r="L232" i="51"/>
  <c r="I233" i="51"/>
  <c r="J233" i="51"/>
  <c r="L233" i="51"/>
  <c r="E234" i="51"/>
  <c r="I234" i="51"/>
  <c r="J234" i="51"/>
  <c r="L234" i="51"/>
  <c r="E235" i="51"/>
  <c r="I235" i="51"/>
  <c r="J235" i="51"/>
  <c r="L235" i="51"/>
  <c r="E236" i="51"/>
  <c r="I236" i="51"/>
  <c r="J236" i="51"/>
  <c r="L236" i="51"/>
  <c r="E237" i="51"/>
  <c r="I237" i="51"/>
  <c r="J237" i="51"/>
  <c r="L237" i="51"/>
  <c r="E238" i="51"/>
  <c r="I238" i="51"/>
  <c r="J238" i="51"/>
  <c r="L238" i="51"/>
  <c r="I239" i="51"/>
  <c r="J239" i="51"/>
  <c r="L239" i="51"/>
  <c r="I240" i="51"/>
  <c r="J240" i="51"/>
  <c r="L240" i="51"/>
  <c r="I241" i="51"/>
  <c r="J241" i="51"/>
  <c r="L241" i="51"/>
  <c r="E242" i="51"/>
  <c r="I242" i="51"/>
  <c r="J242" i="51"/>
  <c r="L242" i="51"/>
  <c r="E243" i="51"/>
  <c r="I243" i="51"/>
  <c r="J243" i="51"/>
  <c r="L243" i="51"/>
  <c r="E244" i="51"/>
  <c r="I244" i="51"/>
  <c r="J244" i="51"/>
  <c r="L244" i="51"/>
  <c r="I245" i="51"/>
  <c r="J245" i="51"/>
  <c r="L245" i="51"/>
  <c r="I246" i="51"/>
  <c r="J246" i="51"/>
  <c r="L246" i="51"/>
  <c r="E247" i="51"/>
  <c r="I247" i="51"/>
  <c r="J247" i="51"/>
  <c r="L247" i="51"/>
  <c r="I248" i="51"/>
  <c r="J248" i="51"/>
  <c r="L248" i="51"/>
  <c r="E249" i="51"/>
  <c r="I249" i="51"/>
  <c r="J249" i="51"/>
  <c r="L249" i="51"/>
  <c r="I250" i="51"/>
  <c r="J250" i="51"/>
  <c r="L250" i="51"/>
  <c r="I251" i="51"/>
  <c r="J251" i="51"/>
  <c r="L251" i="51"/>
  <c r="I252" i="51"/>
  <c r="J252" i="51"/>
  <c r="L252" i="51"/>
  <c r="I253" i="51"/>
  <c r="J253" i="51"/>
  <c r="L253" i="51"/>
  <c r="E254" i="51"/>
  <c r="I254" i="51"/>
  <c r="J254" i="51"/>
  <c r="L254" i="51"/>
  <c r="I255" i="51"/>
  <c r="J255" i="51"/>
  <c r="L255" i="51"/>
  <c r="I256" i="51"/>
  <c r="J256" i="51"/>
  <c r="L256" i="51"/>
  <c r="I257" i="51"/>
  <c r="J257" i="51"/>
  <c r="L257" i="51"/>
  <c r="E258" i="51"/>
  <c r="I258" i="51"/>
  <c r="J258" i="51"/>
  <c r="L258" i="51"/>
  <c r="E259" i="51"/>
  <c r="I259" i="51"/>
  <c r="J259" i="51"/>
  <c r="L259" i="51"/>
  <c r="E260" i="51"/>
  <c r="I260" i="51"/>
  <c r="J260" i="51"/>
  <c r="L260" i="51"/>
  <c r="E261" i="51"/>
  <c r="I261" i="51"/>
  <c r="J261" i="51"/>
  <c r="L261" i="51"/>
  <c r="E262" i="51"/>
  <c r="I262" i="51"/>
  <c r="J262" i="51"/>
  <c r="L262" i="51"/>
  <c r="E263" i="51"/>
  <c r="I263" i="51"/>
  <c r="J263" i="51"/>
  <c r="L263" i="51"/>
  <c r="E264" i="51"/>
  <c r="I264" i="51"/>
  <c r="J264" i="51"/>
  <c r="L264" i="51"/>
  <c r="E265" i="51"/>
  <c r="I265" i="51"/>
  <c r="J265" i="51"/>
  <c r="L265" i="51"/>
  <c r="E266" i="51"/>
  <c r="I266" i="51"/>
  <c r="J266" i="51"/>
  <c r="L266" i="51"/>
  <c r="E267" i="51"/>
  <c r="I267" i="51"/>
  <c r="J267" i="51"/>
  <c r="L267" i="51"/>
  <c r="E268" i="51"/>
  <c r="I268" i="51"/>
  <c r="J268" i="51"/>
  <c r="L268" i="51"/>
  <c r="E269" i="51"/>
  <c r="I269" i="51"/>
  <c r="J269" i="51"/>
  <c r="L269" i="51"/>
  <c r="I270" i="51"/>
  <c r="J270" i="51"/>
  <c r="L270" i="51"/>
  <c r="I271" i="51"/>
  <c r="J271" i="51"/>
  <c r="L271" i="51"/>
  <c r="I272" i="51"/>
  <c r="J272" i="51"/>
  <c r="L272" i="51"/>
  <c r="I273" i="51"/>
  <c r="J273" i="51"/>
  <c r="L273" i="51"/>
  <c r="I274" i="51"/>
  <c r="J274" i="51"/>
  <c r="L274" i="51"/>
  <c r="I275" i="51"/>
  <c r="J275" i="51"/>
  <c r="L275" i="51"/>
  <c r="I276" i="51"/>
  <c r="J276" i="51"/>
  <c r="L276" i="51"/>
  <c r="I277" i="51"/>
  <c r="J277" i="51"/>
  <c r="L277" i="51"/>
  <c r="I278" i="51"/>
  <c r="J278" i="51"/>
  <c r="L278" i="51"/>
  <c r="I279" i="51"/>
  <c r="J279" i="51"/>
  <c r="L279" i="51"/>
  <c r="I280" i="51"/>
  <c r="J280" i="51"/>
  <c r="L280" i="51"/>
  <c r="I281" i="51"/>
  <c r="J281" i="51"/>
  <c r="L281" i="51"/>
  <c r="I282" i="51"/>
  <c r="J282" i="51"/>
  <c r="L282" i="51"/>
  <c r="I283" i="51"/>
  <c r="J283" i="51"/>
  <c r="L283" i="51"/>
  <c r="I284" i="51"/>
  <c r="J284" i="51"/>
  <c r="L284" i="51"/>
  <c r="I285" i="51"/>
  <c r="J285" i="51"/>
  <c r="L285" i="51"/>
  <c r="I286" i="51"/>
  <c r="J286" i="51"/>
  <c r="L286" i="51"/>
  <c r="I287" i="51"/>
  <c r="J287" i="51"/>
  <c r="L287" i="51"/>
  <c r="I288" i="51"/>
  <c r="J288" i="51"/>
  <c r="L288" i="51"/>
  <c r="I289" i="51"/>
  <c r="J289" i="51"/>
  <c r="L289" i="51"/>
  <c r="I290" i="51"/>
  <c r="J290" i="51"/>
  <c r="L290" i="51"/>
  <c r="I291" i="51"/>
  <c r="J291" i="51"/>
  <c r="L291" i="51"/>
  <c r="I292" i="51"/>
  <c r="J292" i="51"/>
  <c r="L292" i="51"/>
  <c r="E293" i="51"/>
  <c r="I293" i="51"/>
  <c r="J293" i="51"/>
  <c r="L293" i="51"/>
  <c r="I294" i="51"/>
  <c r="J294" i="51"/>
  <c r="L294" i="51"/>
  <c r="I295" i="51"/>
  <c r="J295" i="51"/>
  <c r="L295" i="51"/>
  <c r="E296" i="51"/>
  <c r="I296" i="51"/>
  <c r="J296" i="51"/>
  <c r="L296" i="51"/>
  <c r="E297" i="51"/>
  <c r="I297" i="51"/>
  <c r="J297" i="51"/>
  <c r="L297" i="51"/>
  <c r="E298" i="51"/>
  <c r="I298" i="51"/>
  <c r="J298" i="51"/>
  <c r="L298" i="51"/>
  <c r="E299" i="51"/>
  <c r="I299" i="51"/>
  <c r="J299" i="51"/>
  <c r="L299" i="51"/>
  <c r="E300" i="51"/>
  <c r="I300" i="51"/>
  <c r="J300" i="51"/>
  <c r="L300" i="51"/>
  <c r="E301" i="51"/>
  <c r="I301" i="51"/>
  <c r="J301" i="51"/>
  <c r="L301" i="51"/>
  <c r="I302" i="51"/>
  <c r="J302" i="51"/>
  <c r="L302" i="51"/>
  <c r="E303" i="51"/>
  <c r="I303" i="51"/>
  <c r="J303" i="51"/>
  <c r="L303" i="51"/>
  <c r="I304" i="51"/>
  <c r="J304" i="51"/>
  <c r="L304" i="51"/>
  <c r="I305" i="51"/>
  <c r="J305" i="51"/>
  <c r="L305" i="51"/>
  <c r="I306" i="51"/>
  <c r="J306" i="51"/>
  <c r="L306" i="51"/>
  <c r="I307" i="51"/>
  <c r="J307" i="51"/>
  <c r="L307" i="51"/>
  <c r="I308" i="51"/>
  <c r="J308" i="51"/>
  <c r="L308" i="51"/>
  <c r="I309" i="51"/>
  <c r="J309" i="51"/>
  <c r="L309" i="51"/>
  <c r="I310" i="51"/>
  <c r="J310" i="51"/>
  <c r="L310" i="51"/>
  <c r="I311" i="51"/>
  <c r="J311" i="51"/>
  <c r="L311" i="51"/>
  <c r="I312" i="51"/>
  <c r="J312" i="51"/>
  <c r="L312" i="51"/>
  <c r="I313" i="51"/>
  <c r="J313" i="51"/>
  <c r="L313" i="51"/>
  <c r="I314" i="51"/>
  <c r="J314" i="51"/>
  <c r="L314" i="51"/>
  <c r="E315" i="51"/>
  <c r="I315" i="51"/>
  <c r="J315" i="51"/>
  <c r="L315" i="51"/>
  <c r="E316" i="51"/>
  <c r="I316" i="51"/>
  <c r="J316" i="51"/>
  <c r="L316" i="51"/>
  <c r="I317" i="51"/>
  <c r="J317" i="51"/>
  <c r="L317" i="51"/>
  <c r="E318" i="51"/>
  <c r="I318" i="51"/>
  <c r="J318" i="51"/>
  <c r="L318" i="51"/>
  <c r="E319" i="51"/>
  <c r="I319" i="51"/>
  <c r="J319" i="51"/>
  <c r="L319" i="51"/>
  <c r="E320" i="51"/>
  <c r="I320" i="51"/>
  <c r="J320" i="51"/>
  <c r="L320" i="51"/>
  <c r="E321" i="51"/>
  <c r="I321" i="51"/>
  <c r="J321" i="51"/>
  <c r="L321" i="51"/>
  <c r="E322" i="51"/>
  <c r="I322" i="51"/>
  <c r="J322" i="51"/>
  <c r="L322" i="51"/>
  <c r="I323" i="51"/>
  <c r="J323" i="51"/>
  <c r="L323" i="51"/>
  <c r="E324" i="51"/>
  <c r="I324" i="51"/>
  <c r="J324" i="51"/>
  <c r="L324" i="51"/>
  <c r="E325" i="51"/>
  <c r="I325" i="51"/>
  <c r="J325" i="51"/>
  <c r="L325" i="51"/>
  <c r="E326" i="51"/>
  <c r="I326" i="51"/>
  <c r="J326" i="51"/>
  <c r="L326" i="51"/>
  <c r="I327" i="51"/>
  <c r="J327" i="51"/>
  <c r="L327" i="51"/>
  <c r="E328" i="51"/>
  <c r="I328" i="51"/>
  <c r="J328" i="51"/>
  <c r="L328" i="51"/>
  <c r="E329" i="51"/>
  <c r="I329" i="51"/>
  <c r="J329" i="51"/>
  <c r="L329" i="51"/>
  <c r="E330" i="51"/>
  <c r="I330" i="51"/>
  <c r="J330" i="51"/>
  <c r="L330" i="51"/>
  <c r="I331" i="51"/>
  <c r="J331" i="51"/>
  <c r="L331" i="51"/>
  <c r="I332" i="51"/>
  <c r="J332" i="51"/>
  <c r="L332" i="51"/>
  <c r="I333" i="51"/>
  <c r="J333" i="51"/>
  <c r="L333" i="51"/>
  <c r="I334" i="51"/>
  <c r="J334" i="51"/>
  <c r="L334" i="51"/>
  <c r="I335" i="51"/>
  <c r="J335" i="51"/>
  <c r="L335" i="51"/>
  <c r="I336" i="51"/>
  <c r="J336" i="51"/>
  <c r="L336" i="51"/>
  <c r="I337" i="51"/>
  <c r="J337" i="51"/>
  <c r="L337" i="51"/>
  <c r="I338" i="51"/>
  <c r="J338" i="51"/>
  <c r="L338" i="51"/>
  <c r="I339" i="51"/>
  <c r="J339" i="51"/>
  <c r="L339" i="51"/>
  <c r="I340" i="51"/>
  <c r="J340" i="51"/>
  <c r="L340" i="51"/>
  <c r="I341" i="51"/>
  <c r="J341" i="51"/>
  <c r="L341" i="51"/>
  <c r="I342" i="51"/>
  <c r="J342" i="51"/>
  <c r="L342" i="51"/>
  <c r="I343" i="51"/>
  <c r="J343" i="51"/>
  <c r="L343" i="51"/>
  <c r="I344" i="51"/>
  <c r="J344" i="51"/>
  <c r="L344" i="51"/>
  <c r="I345" i="51"/>
  <c r="J345" i="51"/>
  <c r="L345" i="51"/>
  <c r="I346" i="51"/>
  <c r="J346" i="51"/>
  <c r="L346" i="51"/>
  <c r="I347" i="51"/>
  <c r="J347" i="51"/>
  <c r="L347" i="51"/>
  <c r="I348" i="51"/>
  <c r="J348" i="51"/>
  <c r="L348" i="51"/>
  <c r="I349" i="51"/>
  <c r="J349" i="51"/>
  <c r="L349" i="51"/>
  <c r="I350" i="51"/>
  <c r="J350" i="51"/>
  <c r="L350" i="51"/>
  <c r="I351" i="51"/>
  <c r="J351" i="51"/>
  <c r="L351" i="51"/>
  <c r="I352" i="51"/>
  <c r="J352" i="51"/>
  <c r="L352" i="51"/>
  <c r="I353" i="51"/>
  <c r="J353" i="51"/>
  <c r="L353" i="51"/>
  <c r="I354" i="51"/>
  <c r="J354" i="51"/>
  <c r="L354" i="51"/>
  <c r="I355" i="51"/>
  <c r="J355" i="51"/>
  <c r="L355" i="51"/>
  <c r="I356" i="51"/>
  <c r="J356" i="51"/>
  <c r="L356" i="51"/>
  <c r="I357" i="51"/>
  <c r="J357" i="51"/>
  <c r="L357" i="51"/>
  <c r="I358" i="51"/>
  <c r="J358" i="51"/>
  <c r="L358" i="51"/>
  <c r="I359" i="51"/>
  <c r="J359" i="51"/>
  <c r="L359" i="51"/>
  <c r="I360" i="51"/>
  <c r="J360" i="51"/>
  <c r="L360" i="51"/>
  <c r="I361" i="51"/>
  <c r="J361" i="51"/>
  <c r="L361" i="51"/>
  <c r="I362" i="51"/>
  <c r="J362" i="51"/>
  <c r="L362" i="51"/>
  <c r="I363" i="51"/>
  <c r="J363" i="51"/>
  <c r="L363" i="51"/>
  <c r="J364" i="51"/>
  <c r="L364" i="51"/>
  <c r="I365" i="51"/>
  <c r="J365" i="51"/>
  <c r="L365" i="51"/>
  <c r="I366" i="51"/>
  <c r="J366" i="51"/>
  <c r="L366" i="51"/>
  <c r="I367" i="51"/>
  <c r="J367" i="51"/>
  <c r="L367" i="51"/>
  <c r="E368" i="51"/>
  <c r="I368" i="51"/>
  <c r="J368" i="51"/>
  <c r="L368" i="51"/>
  <c r="E369" i="51"/>
  <c r="I369" i="51"/>
  <c r="J369" i="51"/>
  <c r="L369" i="51"/>
  <c r="E370" i="51"/>
  <c r="I370" i="51"/>
  <c r="J370" i="51"/>
  <c r="L370" i="51"/>
  <c r="E371" i="51"/>
  <c r="I371" i="51"/>
  <c r="J371" i="51"/>
  <c r="L371" i="51"/>
  <c r="E372" i="51"/>
  <c r="I372" i="51"/>
  <c r="J372" i="51"/>
  <c r="L372" i="51"/>
  <c r="E373" i="51"/>
  <c r="I373" i="51"/>
  <c r="J373" i="51"/>
  <c r="L373" i="51"/>
  <c r="I374" i="51"/>
  <c r="J374" i="51"/>
  <c r="L374" i="51"/>
  <c r="I375" i="51"/>
  <c r="J375" i="51"/>
  <c r="L375" i="51"/>
  <c r="I376" i="51"/>
  <c r="J376" i="51"/>
  <c r="L376" i="51"/>
  <c r="I377" i="51"/>
  <c r="J377" i="51"/>
  <c r="L377" i="51"/>
  <c r="I378" i="51"/>
  <c r="J378" i="51"/>
  <c r="L378" i="51"/>
  <c r="I379" i="51"/>
  <c r="J379" i="51"/>
  <c r="L379" i="51"/>
  <c r="I380" i="51"/>
  <c r="J380" i="51"/>
  <c r="L380" i="51"/>
  <c r="I381" i="51"/>
  <c r="J381" i="51"/>
  <c r="L381" i="51"/>
  <c r="I382" i="51"/>
  <c r="J382" i="51"/>
  <c r="L382" i="51"/>
  <c r="I383" i="51"/>
  <c r="J383" i="51"/>
  <c r="L383" i="51"/>
  <c r="I384" i="51"/>
  <c r="J384" i="51"/>
  <c r="L384" i="51"/>
  <c r="I385" i="51"/>
  <c r="J385" i="51"/>
  <c r="L385" i="51"/>
  <c r="I386" i="51"/>
  <c r="J386" i="51"/>
  <c r="L386" i="51"/>
  <c r="I387" i="51"/>
  <c r="J387" i="51"/>
  <c r="L387" i="51"/>
  <c r="I388" i="51"/>
  <c r="J388" i="51"/>
  <c r="L388" i="51"/>
  <c r="I389" i="51"/>
  <c r="J389" i="51"/>
  <c r="L389" i="51"/>
  <c r="I390" i="51"/>
  <c r="J390" i="51"/>
  <c r="L390" i="51"/>
  <c r="I391" i="51"/>
  <c r="J391" i="51"/>
  <c r="L391" i="51"/>
  <c r="I392" i="51"/>
  <c r="J392" i="51"/>
  <c r="L392" i="51"/>
  <c r="I393" i="51"/>
  <c r="J393" i="51"/>
  <c r="L393" i="51"/>
  <c r="I394" i="51"/>
  <c r="J394" i="51"/>
  <c r="L394" i="51"/>
  <c r="I395" i="51"/>
  <c r="J395" i="51"/>
  <c r="L395" i="51"/>
  <c r="I396" i="51"/>
  <c r="J396" i="51"/>
  <c r="L396" i="51"/>
  <c r="I397" i="51"/>
  <c r="J397" i="51"/>
  <c r="L397" i="51"/>
  <c r="I398" i="51"/>
  <c r="J398" i="51"/>
  <c r="L398" i="51"/>
  <c r="I399" i="51"/>
  <c r="J399" i="51"/>
  <c r="L399" i="51"/>
  <c r="I400" i="51"/>
  <c r="J400" i="51"/>
  <c r="L400" i="51"/>
  <c r="I401" i="51"/>
  <c r="J401" i="51"/>
  <c r="L401" i="51"/>
  <c r="I402" i="51"/>
  <c r="J402" i="51"/>
  <c r="L402" i="51"/>
  <c r="I403" i="51"/>
  <c r="J403" i="51"/>
  <c r="L403" i="51"/>
  <c r="I404" i="51"/>
  <c r="J404" i="51"/>
  <c r="L404" i="51"/>
  <c r="I405" i="51"/>
  <c r="J405" i="51"/>
  <c r="L405" i="51"/>
  <c r="I406" i="51"/>
  <c r="J406" i="51"/>
  <c r="L406" i="51"/>
  <c r="I407" i="51"/>
  <c r="J407" i="51"/>
  <c r="L407" i="51"/>
  <c r="I408" i="51"/>
  <c r="J408" i="51"/>
  <c r="L408" i="51"/>
  <c r="E409" i="51"/>
  <c r="I409" i="51"/>
  <c r="J409" i="51"/>
  <c r="L409" i="51"/>
  <c r="E410" i="51"/>
  <c r="I410" i="51"/>
  <c r="J410" i="51"/>
  <c r="L410" i="51"/>
  <c r="E411" i="51"/>
  <c r="I411" i="51"/>
  <c r="J411" i="51"/>
  <c r="L411" i="51"/>
  <c r="E412" i="51"/>
  <c r="I412" i="51"/>
  <c r="J412" i="51"/>
  <c r="L412" i="51"/>
  <c r="E413" i="51"/>
  <c r="I413" i="51"/>
  <c r="J413" i="51"/>
  <c r="L413" i="51"/>
  <c r="E414" i="51"/>
  <c r="I414" i="51"/>
  <c r="J414" i="51"/>
  <c r="L414" i="51"/>
  <c r="I415" i="51"/>
  <c r="J415" i="51"/>
  <c r="L415" i="51"/>
  <c r="I416" i="51"/>
  <c r="J416" i="51"/>
  <c r="L416" i="51"/>
  <c r="I417" i="51"/>
  <c r="J417" i="51"/>
  <c r="L417" i="51"/>
  <c r="I418" i="51"/>
  <c r="J418" i="51"/>
  <c r="L418" i="51"/>
  <c r="I419" i="51"/>
  <c r="J419" i="51"/>
  <c r="L419" i="51"/>
  <c r="I420" i="51"/>
  <c r="J420" i="51"/>
  <c r="L420" i="51"/>
  <c r="I421" i="51"/>
  <c r="J421" i="51"/>
  <c r="L421" i="51"/>
  <c r="I422" i="51"/>
  <c r="J422" i="51"/>
  <c r="L422" i="51"/>
  <c r="I423" i="51"/>
  <c r="J423" i="51"/>
  <c r="L423" i="51"/>
  <c r="I424" i="51"/>
  <c r="J424" i="51"/>
  <c r="L424" i="51"/>
  <c r="I425" i="51"/>
  <c r="J425" i="51"/>
  <c r="L425" i="51"/>
  <c r="I426" i="51"/>
  <c r="J426" i="51"/>
  <c r="L426" i="51"/>
  <c r="I427" i="51"/>
  <c r="J427" i="51"/>
  <c r="L427" i="51"/>
  <c r="I428" i="51"/>
  <c r="J428" i="51"/>
  <c r="L428" i="51"/>
  <c r="I429" i="51"/>
  <c r="J429" i="51"/>
  <c r="L429" i="51"/>
  <c r="I430" i="51"/>
  <c r="J430" i="51"/>
  <c r="L430" i="51"/>
  <c r="I431" i="51"/>
  <c r="J431" i="51"/>
  <c r="L431" i="51"/>
  <c r="I432" i="51"/>
  <c r="J432" i="51"/>
  <c r="L432" i="51"/>
  <c r="I433" i="51"/>
  <c r="J433" i="51"/>
  <c r="L433" i="51"/>
  <c r="I434" i="51"/>
  <c r="J434" i="51"/>
  <c r="L434" i="51"/>
  <c r="I435" i="51"/>
  <c r="J435" i="51"/>
  <c r="L435" i="51"/>
  <c r="I436" i="51"/>
  <c r="J436" i="51"/>
  <c r="L436" i="51"/>
  <c r="I437" i="51"/>
  <c r="J437" i="51"/>
  <c r="L437" i="51"/>
  <c r="I438" i="51"/>
  <c r="J438" i="51"/>
  <c r="L438" i="51"/>
  <c r="I439" i="51"/>
  <c r="J439" i="51"/>
  <c r="L439" i="51"/>
  <c r="I440" i="51"/>
  <c r="J440" i="51"/>
  <c r="L440" i="51"/>
  <c r="I441" i="51"/>
  <c r="J441" i="51"/>
  <c r="L441" i="51"/>
  <c r="I442" i="51"/>
  <c r="J442" i="51"/>
  <c r="L442" i="51"/>
  <c r="I443" i="51"/>
  <c r="J443" i="51"/>
  <c r="L443" i="51"/>
  <c r="E444" i="51"/>
  <c r="I444" i="51"/>
  <c r="J444" i="51"/>
  <c r="L444" i="51"/>
  <c r="I445" i="51"/>
  <c r="J445" i="51"/>
  <c r="L445" i="51"/>
  <c r="I446" i="51"/>
  <c r="J446" i="51"/>
  <c r="L446" i="51"/>
  <c r="I447" i="51"/>
  <c r="J447" i="51"/>
  <c r="L447" i="51"/>
  <c r="I448" i="51"/>
  <c r="J448" i="51"/>
  <c r="L448" i="51"/>
  <c r="I449" i="51"/>
  <c r="J449" i="51"/>
  <c r="L449" i="51"/>
  <c r="I450" i="51"/>
  <c r="J450" i="51"/>
  <c r="L450" i="51"/>
  <c r="E451" i="51"/>
  <c r="I451" i="51"/>
  <c r="J451" i="51"/>
  <c r="L451" i="51"/>
  <c r="I452" i="51"/>
  <c r="J452" i="51"/>
  <c r="L452" i="51"/>
  <c r="I453" i="51"/>
  <c r="J453" i="51"/>
  <c r="L453" i="51"/>
  <c r="I454" i="51"/>
  <c r="J454" i="51"/>
  <c r="L454" i="51"/>
  <c r="I455" i="51"/>
  <c r="J455" i="51"/>
  <c r="L455" i="51"/>
  <c r="I456" i="51"/>
  <c r="J456" i="51"/>
  <c r="L456" i="51"/>
  <c r="I457" i="51"/>
  <c r="J457" i="51"/>
  <c r="L457" i="51"/>
  <c r="I458" i="51"/>
  <c r="J458" i="51"/>
  <c r="L458" i="51"/>
  <c r="I459" i="51"/>
  <c r="J459" i="51"/>
  <c r="L459" i="51"/>
  <c r="E460" i="51"/>
  <c r="I460" i="51"/>
  <c r="J460" i="51"/>
  <c r="L460" i="51"/>
  <c r="I461" i="51"/>
  <c r="J461" i="51"/>
  <c r="L461" i="51"/>
  <c r="I462" i="51"/>
  <c r="J462" i="51"/>
  <c r="L462" i="51"/>
  <c r="I463" i="51"/>
  <c r="J463" i="51"/>
  <c r="L463" i="51"/>
  <c r="I464" i="51"/>
  <c r="J464" i="51"/>
  <c r="L464" i="51"/>
  <c r="I465" i="51"/>
  <c r="J465" i="51"/>
  <c r="L465" i="51"/>
  <c r="I466" i="51"/>
  <c r="J466" i="51"/>
  <c r="L466" i="51"/>
  <c r="I467" i="51"/>
  <c r="J467" i="51"/>
  <c r="L467" i="51"/>
  <c r="E468" i="51"/>
  <c r="I468" i="51"/>
  <c r="J468" i="51"/>
  <c r="L468" i="51"/>
  <c r="E469" i="51"/>
  <c r="I469" i="51"/>
  <c r="J469" i="51"/>
  <c r="L469" i="51"/>
  <c r="I470" i="51"/>
  <c r="J470" i="51"/>
  <c r="L470" i="51"/>
  <c r="I471" i="51"/>
  <c r="J471" i="51"/>
  <c r="L471" i="51"/>
  <c r="I472" i="51"/>
  <c r="J472" i="51"/>
  <c r="L472" i="51"/>
  <c r="I473" i="51"/>
  <c r="J473" i="51"/>
  <c r="L473" i="51"/>
  <c r="I474" i="51"/>
  <c r="J474" i="51"/>
  <c r="L474" i="51"/>
  <c r="I475" i="51"/>
  <c r="J475" i="51"/>
  <c r="L475" i="51"/>
  <c r="I476" i="51"/>
  <c r="J476" i="51"/>
  <c r="L476" i="51"/>
  <c r="I477" i="51"/>
  <c r="J477" i="51"/>
  <c r="L477" i="51"/>
  <c r="I478" i="51"/>
  <c r="J478" i="51"/>
  <c r="L478" i="51"/>
  <c r="I479" i="51"/>
  <c r="J479" i="51"/>
  <c r="L479" i="51"/>
  <c r="I480" i="51"/>
  <c r="J480" i="51"/>
  <c r="L480" i="51"/>
  <c r="I481" i="51"/>
  <c r="J481" i="51"/>
  <c r="L481" i="51"/>
  <c r="E482" i="51"/>
  <c r="I482" i="51"/>
  <c r="J482" i="51"/>
  <c r="L482" i="51"/>
  <c r="L483" i="51"/>
  <c r="I3" i="52"/>
  <c r="J3" i="52"/>
  <c r="L3" i="52"/>
  <c r="I4" i="52"/>
  <c r="J4" i="52"/>
  <c r="L4" i="52"/>
  <c r="I5" i="52"/>
  <c r="J5" i="52"/>
  <c r="L5" i="52"/>
  <c r="I6" i="52"/>
  <c r="J6" i="52"/>
  <c r="L6" i="52"/>
  <c r="E7" i="52"/>
  <c r="I7" i="52"/>
  <c r="J7" i="52"/>
  <c r="L7" i="52"/>
  <c r="E8" i="52"/>
  <c r="I8" i="52"/>
  <c r="J8" i="52"/>
  <c r="L8" i="52"/>
  <c r="I9" i="52"/>
  <c r="J9" i="52"/>
  <c r="L9" i="52"/>
  <c r="I10" i="52"/>
  <c r="J10" i="52"/>
  <c r="L10" i="52"/>
  <c r="I11" i="52"/>
  <c r="J11" i="52"/>
  <c r="L11" i="52"/>
  <c r="I12" i="52"/>
  <c r="J12" i="52"/>
  <c r="L12" i="52"/>
  <c r="I13" i="52"/>
  <c r="J13" i="52"/>
  <c r="L13" i="52"/>
  <c r="I14" i="52"/>
  <c r="J14" i="52"/>
  <c r="L14" i="52"/>
  <c r="I15" i="52"/>
  <c r="J15" i="52"/>
  <c r="L15" i="52"/>
  <c r="I16" i="52"/>
  <c r="J16" i="52"/>
  <c r="L16" i="52"/>
  <c r="I17" i="52"/>
  <c r="J17" i="52"/>
  <c r="L17" i="52"/>
  <c r="I18" i="52"/>
  <c r="J18" i="52"/>
  <c r="L18" i="52"/>
  <c r="I19" i="52"/>
  <c r="J19" i="52"/>
  <c r="L19" i="52"/>
  <c r="I20" i="52"/>
  <c r="J20" i="52"/>
  <c r="L20" i="52"/>
  <c r="I21" i="52"/>
  <c r="J21" i="52"/>
  <c r="L21" i="52"/>
  <c r="I22" i="52"/>
  <c r="J22" i="52"/>
  <c r="L22" i="52"/>
  <c r="I23" i="52"/>
  <c r="J23" i="52"/>
  <c r="L23" i="52"/>
  <c r="I24" i="52"/>
  <c r="J24" i="52"/>
  <c r="L24" i="52"/>
  <c r="I25" i="52"/>
  <c r="J25" i="52"/>
  <c r="L25" i="52"/>
  <c r="I26" i="52"/>
  <c r="J26" i="52"/>
  <c r="L26" i="52"/>
  <c r="I27" i="52"/>
  <c r="J27" i="52"/>
  <c r="L27" i="52"/>
  <c r="I28" i="52"/>
  <c r="J28" i="52"/>
  <c r="L28" i="52"/>
  <c r="I29" i="52"/>
  <c r="J29" i="52"/>
  <c r="L29" i="52"/>
  <c r="I30" i="52"/>
  <c r="J30" i="52"/>
  <c r="L30" i="52"/>
  <c r="I31" i="52"/>
  <c r="J31" i="52"/>
  <c r="L31" i="52"/>
  <c r="I32" i="52"/>
  <c r="J32" i="52"/>
  <c r="L32" i="52"/>
  <c r="I33" i="52"/>
  <c r="J33" i="52"/>
  <c r="L33" i="52"/>
  <c r="I34" i="52"/>
  <c r="J34" i="52"/>
  <c r="L34" i="52"/>
  <c r="I35" i="52"/>
  <c r="J35" i="52"/>
  <c r="L35" i="52"/>
  <c r="I36" i="52"/>
  <c r="J36" i="52"/>
  <c r="L36" i="52"/>
  <c r="I37" i="52"/>
  <c r="J37" i="52"/>
  <c r="L37" i="52"/>
  <c r="I38" i="52"/>
  <c r="J38" i="52"/>
  <c r="L38" i="52"/>
  <c r="I39" i="52"/>
  <c r="J39" i="52"/>
  <c r="L39" i="52"/>
  <c r="I40" i="52"/>
  <c r="J40" i="52"/>
  <c r="L40" i="52"/>
  <c r="I41" i="52"/>
  <c r="J41" i="52"/>
  <c r="L41" i="52"/>
  <c r="I42" i="52"/>
  <c r="J42" i="52"/>
  <c r="L42" i="52"/>
  <c r="I43" i="52"/>
  <c r="J43" i="52"/>
  <c r="L43" i="52"/>
  <c r="I44" i="52"/>
  <c r="J44" i="52"/>
  <c r="L44" i="52"/>
  <c r="I45" i="52"/>
  <c r="J45" i="52"/>
  <c r="L45" i="52"/>
  <c r="I46" i="52"/>
  <c r="J46" i="52"/>
  <c r="L46" i="52"/>
  <c r="I47" i="52"/>
  <c r="J47" i="52"/>
  <c r="L47" i="52"/>
  <c r="I48" i="52"/>
  <c r="J48" i="52"/>
  <c r="L48" i="52"/>
  <c r="I49" i="52"/>
  <c r="J49" i="52"/>
  <c r="L49" i="52"/>
  <c r="I50" i="52"/>
  <c r="J50" i="52"/>
  <c r="L50" i="52"/>
  <c r="I51" i="52"/>
  <c r="J51" i="52"/>
  <c r="L51" i="52"/>
  <c r="I52" i="52"/>
  <c r="J52" i="52"/>
  <c r="L52" i="52"/>
  <c r="E53" i="52"/>
  <c r="I53" i="52"/>
  <c r="J53" i="52"/>
  <c r="L53" i="52"/>
  <c r="I54" i="52"/>
  <c r="J54" i="52"/>
  <c r="L54" i="52"/>
  <c r="E55" i="52"/>
  <c r="I55" i="52"/>
  <c r="J55" i="52"/>
  <c r="L55" i="52"/>
  <c r="E56" i="52"/>
  <c r="I56" i="52"/>
  <c r="J56" i="52"/>
  <c r="L56" i="52"/>
  <c r="I57" i="52"/>
  <c r="J57" i="52"/>
  <c r="L57" i="52"/>
  <c r="I58" i="52"/>
  <c r="J58" i="52"/>
  <c r="L58" i="52"/>
  <c r="J59" i="52"/>
  <c r="L59" i="52"/>
  <c r="E60" i="52"/>
  <c r="I60" i="52"/>
  <c r="J60" i="52"/>
  <c r="L60" i="52"/>
  <c r="E61" i="52"/>
  <c r="I61" i="52"/>
  <c r="J61" i="52"/>
  <c r="L61" i="52"/>
  <c r="I62" i="52"/>
  <c r="J62" i="52"/>
  <c r="L62" i="52"/>
  <c r="I63" i="52"/>
  <c r="J63" i="52"/>
  <c r="L63" i="52"/>
  <c r="I64" i="52"/>
  <c r="J64" i="52"/>
  <c r="L64" i="52"/>
  <c r="I65" i="52"/>
  <c r="J65" i="52"/>
  <c r="L65" i="52"/>
  <c r="I66" i="52"/>
  <c r="J66" i="52"/>
  <c r="L66" i="52"/>
  <c r="I67" i="52"/>
  <c r="J67" i="52"/>
  <c r="L67" i="52"/>
  <c r="I68" i="52"/>
  <c r="J68" i="52"/>
  <c r="L68" i="52"/>
  <c r="I69" i="52"/>
  <c r="J69" i="52"/>
  <c r="L69" i="52"/>
  <c r="I70" i="52"/>
  <c r="J70" i="52"/>
  <c r="L70" i="52"/>
  <c r="I71" i="52"/>
  <c r="J71" i="52"/>
  <c r="L71" i="52"/>
  <c r="E72" i="52"/>
  <c r="I72" i="52"/>
  <c r="J72" i="52"/>
  <c r="L72" i="52"/>
  <c r="E73" i="52"/>
  <c r="I73" i="52"/>
  <c r="J73" i="52"/>
  <c r="L73" i="52"/>
  <c r="I74" i="52"/>
  <c r="J74" i="52"/>
  <c r="L74" i="52"/>
  <c r="I75" i="52"/>
  <c r="J75" i="52"/>
  <c r="L75" i="52"/>
  <c r="E76" i="52"/>
  <c r="I76" i="52"/>
  <c r="J76" i="52"/>
  <c r="L76" i="52"/>
  <c r="E77" i="52"/>
  <c r="I77" i="52"/>
  <c r="J77" i="52"/>
  <c r="L77" i="52"/>
  <c r="E78" i="52"/>
  <c r="I78" i="52"/>
  <c r="J78" i="52"/>
  <c r="L78" i="52"/>
  <c r="E79" i="52"/>
  <c r="I79" i="52"/>
  <c r="J79" i="52"/>
  <c r="L79" i="52"/>
  <c r="E80" i="52"/>
  <c r="I80" i="52"/>
  <c r="J80" i="52"/>
  <c r="L80" i="52"/>
  <c r="E81" i="52"/>
  <c r="I81" i="52"/>
  <c r="J81" i="52"/>
  <c r="L81" i="52"/>
  <c r="I82" i="52"/>
  <c r="J82" i="52"/>
  <c r="L82" i="52"/>
  <c r="I83" i="52"/>
  <c r="J83" i="52"/>
  <c r="L83" i="52"/>
  <c r="I84" i="52"/>
  <c r="J84" i="52"/>
  <c r="L84" i="52"/>
  <c r="I85" i="52"/>
  <c r="J85" i="52"/>
  <c r="L85" i="52"/>
  <c r="I86" i="52"/>
  <c r="J86" i="52"/>
  <c r="L86" i="52"/>
  <c r="I87" i="52"/>
  <c r="J87" i="52"/>
  <c r="L87" i="52"/>
  <c r="I88" i="52"/>
  <c r="J88" i="52"/>
  <c r="L88" i="52"/>
  <c r="I89" i="52"/>
  <c r="J89" i="52"/>
  <c r="L89" i="52"/>
  <c r="I90" i="52"/>
  <c r="J90" i="52"/>
  <c r="L90" i="52"/>
  <c r="I91" i="52"/>
  <c r="J91" i="52"/>
  <c r="L91" i="52"/>
  <c r="I92" i="52"/>
  <c r="J92" i="52"/>
  <c r="L92" i="52"/>
  <c r="I93" i="52"/>
  <c r="J93" i="52"/>
  <c r="L93" i="52"/>
  <c r="I94" i="52"/>
  <c r="J94" i="52"/>
  <c r="L94" i="52"/>
  <c r="I95" i="52"/>
  <c r="J95" i="52"/>
  <c r="L95" i="52"/>
  <c r="E96" i="52"/>
  <c r="I96" i="52"/>
  <c r="J96" i="52"/>
  <c r="L96" i="52"/>
  <c r="I97" i="52"/>
  <c r="J97" i="52"/>
  <c r="L97" i="52"/>
  <c r="I98" i="52"/>
  <c r="J98" i="52"/>
  <c r="L98" i="52"/>
  <c r="I99" i="52"/>
  <c r="J99" i="52"/>
  <c r="L99" i="52"/>
  <c r="I100" i="52"/>
  <c r="J100" i="52"/>
  <c r="L100" i="52"/>
  <c r="I101" i="52"/>
  <c r="J101" i="52"/>
  <c r="L101" i="52"/>
  <c r="I102" i="52"/>
  <c r="J102" i="52"/>
  <c r="L102" i="52"/>
  <c r="I103" i="52"/>
  <c r="J103" i="52"/>
  <c r="L103" i="52"/>
  <c r="I104" i="52"/>
  <c r="J104" i="52"/>
  <c r="L104" i="52"/>
  <c r="I105" i="52"/>
  <c r="J105" i="52"/>
  <c r="L105" i="52"/>
  <c r="E106" i="52"/>
  <c r="I106" i="52"/>
  <c r="J106" i="52"/>
  <c r="L106" i="52"/>
  <c r="E107" i="52"/>
  <c r="I107" i="52"/>
  <c r="J107" i="52"/>
  <c r="L107" i="52"/>
  <c r="E108" i="52"/>
  <c r="I108" i="52"/>
  <c r="J108" i="52"/>
  <c r="L108" i="52"/>
  <c r="E109" i="52"/>
  <c r="I109" i="52"/>
  <c r="J109" i="52"/>
  <c r="L109" i="52"/>
  <c r="E110" i="52"/>
  <c r="I110" i="52"/>
  <c r="J110" i="52"/>
  <c r="L110" i="52"/>
  <c r="E111" i="52"/>
  <c r="I111" i="52"/>
  <c r="J111" i="52"/>
  <c r="L111" i="52"/>
  <c r="E112" i="52"/>
  <c r="I112" i="52"/>
  <c r="J112" i="52"/>
  <c r="L112" i="52"/>
  <c r="E113" i="52"/>
  <c r="I113" i="52"/>
  <c r="J113" i="52"/>
  <c r="L113" i="52"/>
  <c r="E114" i="52"/>
  <c r="I114" i="52"/>
  <c r="J114" i="52"/>
  <c r="L114" i="52"/>
  <c r="E115" i="52"/>
  <c r="I115" i="52"/>
  <c r="J115" i="52"/>
  <c r="L115" i="52"/>
  <c r="E116" i="52"/>
  <c r="I116" i="52"/>
  <c r="J116" i="52"/>
  <c r="L116" i="52"/>
  <c r="E117" i="52"/>
  <c r="I117" i="52"/>
  <c r="J117" i="52"/>
  <c r="L117" i="52"/>
  <c r="E118" i="52"/>
  <c r="I118" i="52"/>
  <c r="J118" i="52"/>
  <c r="L118" i="52"/>
  <c r="E119" i="52"/>
  <c r="I119" i="52"/>
  <c r="J119" i="52"/>
  <c r="L119" i="52"/>
  <c r="I120" i="52"/>
  <c r="J120" i="52"/>
  <c r="L120" i="52"/>
  <c r="I121" i="52"/>
  <c r="J121" i="52"/>
  <c r="L121" i="52"/>
  <c r="I122" i="52"/>
  <c r="J122" i="52"/>
  <c r="L122" i="52"/>
  <c r="I123" i="52"/>
  <c r="J123" i="52"/>
  <c r="L123" i="52"/>
  <c r="I124" i="52"/>
  <c r="J124" i="52"/>
  <c r="L124" i="52"/>
  <c r="I125" i="52"/>
  <c r="J125" i="52"/>
  <c r="L125" i="52"/>
  <c r="I126" i="52"/>
  <c r="J126" i="52"/>
  <c r="L126" i="52"/>
  <c r="I127" i="52"/>
  <c r="J127" i="52"/>
  <c r="L127" i="52"/>
  <c r="I128" i="52"/>
  <c r="J128" i="52"/>
  <c r="L128" i="52"/>
  <c r="I129" i="52"/>
  <c r="J129" i="52"/>
  <c r="L129" i="52"/>
  <c r="I130" i="52"/>
  <c r="J130" i="52"/>
  <c r="L130" i="52"/>
  <c r="I131" i="52"/>
  <c r="J131" i="52"/>
  <c r="L131" i="52"/>
  <c r="I132" i="52"/>
  <c r="J132" i="52"/>
  <c r="L132" i="52"/>
  <c r="I133" i="52"/>
  <c r="J133" i="52"/>
  <c r="L133" i="52"/>
  <c r="I134" i="52"/>
  <c r="J134" i="52"/>
  <c r="L134" i="52"/>
  <c r="I135" i="52"/>
  <c r="J135" i="52"/>
  <c r="L135" i="52"/>
  <c r="I136" i="52"/>
  <c r="J136" i="52"/>
  <c r="L136" i="52"/>
  <c r="I137" i="52"/>
  <c r="J137" i="52"/>
  <c r="L137" i="52"/>
  <c r="I138" i="52"/>
  <c r="J138" i="52"/>
  <c r="L138" i="52"/>
  <c r="I139" i="52"/>
  <c r="J139" i="52"/>
  <c r="L139" i="52"/>
  <c r="I140" i="52"/>
  <c r="J140" i="52"/>
  <c r="L140" i="52"/>
  <c r="I141" i="52"/>
  <c r="J141" i="52"/>
  <c r="L141" i="52"/>
  <c r="I142" i="52"/>
  <c r="J142" i="52"/>
  <c r="L142" i="52"/>
  <c r="I143" i="52"/>
  <c r="J143" i="52"/>
  <c r="L143" i="52"/>
  <c r="I144" i="52"/>
  <c r="J144" i="52"/>
  <c r="L144" i="52"/>
  <c r="I145" i="52"/>
  <c r="J145" i="52"/>
  <c r="L145" i="52"/>
  <c r="I146" i="52"/>
  <c r="J146" i="52"/>
  <c r="L146" i="52"/>
  <c r="I147" i="52"/>
  <c r="J147" i="52"/>
  <c r="L147" i="52"/>
  <c r="I148" i="52"/>
  <c r="J148" i="52"/>
  <c r="L148" i="52"/>
  <c r="I149" i="52"/>
  <c r="J149" i="52"/>
  <c r="L149" i="52"/>
  <c r="I150" i="52"/>
  <c r="J150" i="52"/>
  <c r="L150" i="52"/>
  <c r="I151" i="52"/>
  <c r="J151" i="52"/>
  <c r="L151" i="52"/>
  <c r="I152" i="52"/>
  <c r="J152" i="52"/>
  <c r="L152" i="52"/>
  <c r="I153" i="52"/>
  <c r="J153" i="52"/>
  <c r="L153" i="52"/>
  <c r="I154" i="52"/>
  <c r="J154" i="52"/>
  <c r="L154" i="52"/>
  <c r="I155" i="52"/>
  <c r="J155" i="52"/>
  <c r="L155" i="52"/>
  <c r="I156" i="52"/>
  <c r="J156" i="52"/>
  <c r="L156" i="52"/>
  <c r="I157" i="52"/>
  <c r="J157" i="52"/>
  <c r="L157" i="52"/>
  <c r="E158" i="52"/>
  <c r="I158" i="52"/>
  <c r="J158" i="52"/>
  <c r="L158" i="52"/>
  <c r="E159" i="52"/>
  <c r="I159" i="52"/>
  <c r="J159" i="52"/>
  <c r="L159" i="52"/>
  <c r="I160" i="52"/>
  <c r="J160" i="52"/>
  <c r="L160" i="52"/>
  <c r="I161" i="52"/>
  <c r="J161" i="52"/>
  <c r="L161" i="52"/>
  <c r="I162" i="52"/>
  <c r="J162" i="52"/>
  <c r="L162" i="52"/>
  <c r="E163" i="52"/>
  <c r="I163" i="52"/>
  <c r="J163" i="52"/>
  <c r="L163" i="52"/>
  <c r="J164" i="52"/>
  <c r="L164" i="52"/>
  <c r="I165" i="52"/>
  <c r="J165" i="52"/>
  <c r="L165" i="52"/>
  <c r="I166" i="52"/>
  <c r="J166" i="52"/>
  <c r="L166" i="52"/>
  <c r="I167" i="52"/>
  <c r="J167" i="52"/>
  <c r="L167" i="52"/>
  <c r="E168" i="52"/>
  <c r="I168" i="52"/>
  <c r="J168" i="52"/>
  <c r="L168" i="52"/>
  <c r="I169" i="52"/>
  <c r="J169" i="52"/>
  <c r="L169" i="52"/>
  <c r="E170" i="52"/>
  <c r="I170" i="52"/>
  <c r="J170" i="52"/>
  <c r="L170" i="52"/>
  <c r="E171" i="52"/>
  <c r="I171" i="52"/>
  <c r="J171" i="52"/>
  <c r="L171" i="52"/>
  <c r="E172" i="52"/>
  <c r="I172" i="52"/>
  <c r="J172" i="52"/>
  <c r="L172" i="52"/>
  <c r="E173" i="52"/>
  <c r="I173" i="52"/>
  <c r="J173" i="52"/>
  <c r="L173" i="52"/>
  <c r="I174" i="52"/>
  <c r="J174" i="52"/>
  <c r="L174" i="52"/>
  <c r="E175" i="52"/>
  <c r="I175" i="52"/>
  <c r="J175" i="52"/>
  <c r="L175" i="52"/>
  <c r="E176" i="52"/>
  <c r="I176" i="52"/>
  <c r="J176" i="52"/>
  <c r="L176" i="52"/>
  <c r="E177" i="52"/>
  <c r="I177" i="52"/>
  <c r="J177" i="52"/>
  <c r="L177" i="52"/>
  <c r="I178" i="52"/>
  <c r="J178" i="52"/>
  <c r="L178" i="52"/>
  <c r="I179" i="52"/>
  <c r="J179" i="52"/>
  <c r="L179" i="52"/>
  <c r="I180" i="52"/>
  <c r="J180" i="52"/>
  <c r="L180" i="52"/>
  <c r="E181" i="52"/>
  <c r="I181" i="52"/>
  <c r="J181" i="52"/>
  <c r="L181" i="52"/>
  <c r="I182" i="52"/>
  <c r="J182" i="52"/>
  <c r="L182" i="52"/>
  <c r="J183" i="52"/>
  <c r="L183" i="52"/>
  <c r="E184" i="52"/>
  <c r="I184" i="52"/>
  <c r="J184" i="52"/>
  <c r="L184" i="52"/>
  <c r="E185" i="52"/>
  <c r="I185" i="52"/>
  <c r="J185" i="52"/>
  <c r="L185" i="52"/>
  <c r="J186" i="52"/>
  <c r="L186" i="52"/>
  <c r="E187" i="52"/>
  <c r="I187" i="52"/>
  <c r="J187" i="52"/>
  <c r="L187" i="52"/>
  <c r="I188" i="52"/>
  <c r="J188" i="52"/>
  <c r="L188" i="52"/>
  <c r="I189" i="52"/>
  <c r="J189" i="52"/>
  <c r="L189" i="52"/>
  <c r="E190" i="52"/>
  <c r="I190" i="52"/>
  <c r="J190" i="52"/>
  <c r="L190" i="52"/>
  <c r="E191" i="52"/>
  <c r="I191" i="52"/>
  <c r="J191" i="52"/>
  <c r="L191" i="52"/>
  <c r="E192" i="52"/>
  <c r="I192" i="52"/>
  <c r="J192" i="52"/>
  <c r="L192" i="52"/>
  <c r="E193" i="52"/>
  <c r="I193" i="52"/>
  <c r="J193" i="52"/>
  <c r="L193" i="52"/>
  <c r="E194" i="52"/>
  <c r="I194" i="52"/>
  <c r="J194" i="52"/>
  <c r="L194" i="52"/>
  <c r="E195" i="52"/>
  <c r="I195" i="52"/>
  <c r="J195" i="52"/>
  <c r="L195" i="52"/>
  <c r="E196" i="52"/>
  <c r="I196" i="52"/>
  <c r="J196" i="52"/>
  <c r="L196" i="52"/>
  <c r="E197" i="52"/>
  <c r="I197" i="52"/>
  <c r="J197" i="52"/>
  <c r="L197" i="52"/>
  <c r="E198" i="52"/>
  <c r="I198" i="52"/>
  <c r="J198" i="52"/>
  <c r="L198" i="52"/>
  <c r="E199" i="52"/>
  <c r="I199" i="52"/>
  <c r="J199" i="52"/>
  <c r="L199" i="52"/>
  <c r="I200" i="52"/>
  <c r="J200" i="52"/>
  <c r="L200" i="52"/>
  <c r="I201" i="52"/>
  <c r="J201" i="52"/>
  <c r="L201" i="52"/>
  <c r="I202" i="52"/>
  <c r="J202" i="52"/>
  <c r="L202" i="52"/>
  <c r="E203" i="52"/>
  <c r="I203" i="52"/>
  <c r="J203" i="52"/>
  <c r="L203" i="52"/>
  <c r="I204" i="52"/>
  <c r="J204" i="52"/>
  <c r="L204" i="52"/>
  <c r="I205" i="52"/>
  <c r="J205" i="52"/>
  <c r="L205" i="52"/>
  <c r="E206" i="52"/>
  <c r="I206" i="52"/>
  <c r="J206" i="52"/>
  <c r="L206" i="52"/>
  <c r="I207" i="52"/>
  <c r="J207" i="52"/>
  <c r="L207" i="52"/>
  <c r="I208" i="52"/>
  <c r="J208" i="52"/>
  <c r="L208" i="52"/>
  <c r="E209" i="52"/>
  <c r="I209" i="52"/>
  <c r="J209" i="52"/>
  <c r="L209" i="52"/>
  <c r="E210" i="52"/>
  <c r="I210" i="52"/>
  <c r="J210" i="52"/>
  <c r="L210" i="52"/>
  <c r="E211" i="52"/>
  <c r="I211" i="52"/>
  <c r="J211" i="52"/>
  <c r="L211" i="52"/>
  <c r="E212" i="52"/>
  <c r="I212" i="52"/>
  <c r="J212" i="52"/>
  <c r="L212" i="52"/>
  <c r="E213" i="52"/>
  <c r="I213" i="52"/>
  <c r="J213" i="52"/>
  <c r="L213" i="52"/>
  <c r="I214" i="52"/>
  <c r="J214" i="52"/>
  <c r="L214" i="52"/>
  <c r="I215" i="52"/>
  <c r="J215" i="52"/>
  <c r="L215" i="52"/>
  <c r="I216" i="52"/>
  <c r="J216" i="52"/>
  <c r="L216" i="52"/>
  <c r="I217" i="52"/>
  <c r="J217" i="52"/>
  <c r="L217" i="52"/>
  <c r="E218" i="52"/>
  <c r="I218" i="52"/>
  <c r="J218" i="52"/>
  <c r="L218" i="52"/>
  <c r="E219" i="52"/>
  <c r="I219" i="52"/>
  <c r="J219" i="52"/>
  <c r="L219" i="52"/>
  <c r="E220" i="52"/>
  <c r="I220" i="52"/>
  <c r="J220" i="52"/>
  <c r="L220" i="52"/>
  <c r="E221" i="52"/>
  <c r="I221" i="52"/>
  <c r="J221" i="52"/>
  <c r="L221" i="52"/>
  <c r="I222" i="52"/>
  <c r="J222" i="52"/>
  <c r="L222" i="52"/>
  <c r="I223" i="52"/>
  <c r="J223" i="52"/>
  <c r="L223" i="52"/>
  <c r="I224" i="52"/>
  <c r="J224" i="52"/>
  <c r="L224" i="52"/>
  <c r="I225" i="52"/>
  <c r="J225" i="52"/>
  <c r="L225" i="52"/>
  <c r="I226" i="52"/>
  <c r="J226" i="52"/>
  <c r="L226" i="52"/>
  <c r="E227" i="52"/>
  <c r="I227" i="52"/>
  <c r="J227" i="52"/>
  <c r="L227" i="52"/>
  <c r="I228" i="52"/>
  <c r="J228" i="52"/>
  <c r="K228" i="52"/>
  <c r="L228" i="52"/>
  <c r="I229" i="52"/>
  <c r="J229" i="52"/>
  <c r="K229" i="52"/>
  <c r="L229" i="52"/>
  <c r="I230" i="52"/>
  <c r="J230" i="52"/>
  <c r="L230" i="52"/>
  <c r="I231" i="52"/>
  <c r="J231" i="52"/>
  <c r="L231" i="52"/>
  <c r="I232" i="52"/>
  <c r="J232" i="52"/>
  <c r="L232" i="52"/>
  <c r="I233" i="52"/>
  <c r="J233" i="52"/>
  <c r="L233" i="52"/>
  <c r="I234" i="52"/>
  <c r="J234" i="52"/>
  <c r="L234" i="52"/>
  <c r="I235" i="52"/>
  <c r="J235" i="52"/>
  <c r="L235" i="52"/>
  <c r="I236" i="52"/>
  <c r="J236" i="52"/>
  <c r="L236" i="52"/>
  <c r="I237" i="52"/>
  <c r="J237" i="52"/>
  <c r="L237" i="52"/>
  <c r="E238" i="52"/>
  <c r="I238" i="52"/>
  <c r="J238" i="52"/>
  <c r="L238" i="52"/>
  <c r="E239" i="52"/>
  <c r="I239" i="52"/>
  <c r="J239" i="52"/>
  <c r="L239" i="52"/>
  <c r="E240" i="52"/>
  <c r="I240" i="52"/>
  <c r="J240" i="52"/>
  <c r="L240" i="52"/>
  <c r="E241" i="52"/>
  <c r="I241" i="52"/>
  <c r="J241" i="52"/>
  <c r="L241" i="52"/>
  <c r="E242" i="52"/>
  <c r="I242" i="52"/>
  <c r="J242" i="52"/>
  <c r="L242" i="52"/>
  <c r="I243" i="52"/>
  <c r="J243" i="52"/>
  <c r="L243" i="52"/>
  <c r="I244" i="52"/>
  <c r="J244" i="52"/>
  <c r="L244" i="52"/>
  <c r="I245" i="52"/>
  <c r="J245" i="52"/>
  <c r="L245" i="52"/>
  <c r="I246" i="52"/>
  <c r="J246" i="52"/>
  <c r="L246" i="52"/>
  <c r="E247" i="52"/>
  <c r="I247" i="52"/>
  <c r="J247" i="52"/>
  <c r="L247" i="52"/>
  <c r="E248" i="52"/>
  <c r="I248" i="52"/>
  <c r="J248" i="52"/>
  <c r="L248" i="52"/>
  <c r="E249" i="52"/>
  <c r="I249" i="52"/>
  <c r="J249" i="52"/>
  <c r="L249" i="52"/>
  <c r="E250" i="52"/>
  <c r="I250" i="52"/>
  <c r="J250" i="52"/>
  <c r="L250" i="52"/>
  <c r="E251" i="52"/>
  <c r="I251" i="52"/>
  <c r="J251" i="52"/>
  <c r="L251" i="52"/>
  <c r="I252" i="52"/>
  <c r="J252" i="52"/>
  <c r="L252" i="52"/>
  <c r="I253" i="52"/>
  <c r="J253" i="52"/>
  <c r="L253" i="52"/>
  <c r="I254" i="52"/>
  <c r="J254" i="52"/>
  <c r="L254" i="52"/>
  <c r="I255" i="52"/>
  <c r="J255" i="52"/>
  <c r="L255" i="52"/>
  <c r="I256" i="52"/>
  <c r="J256" i="52"/>
  <c r="L256" i="52"/>
  <c r="E257" i="52"/>
  <c r="I257" i="52"/>
  <c r="J257" i="52"/>
  <c r="L257" i="52"/>
  <c r="E258" i="52"/>
  <c r="I258" i="52"/>
  <c r="J258" i="52"/>
  <c r="L258" i="52"/>
  <c r="I259" i="52"/>
  <c r="J259" i="52"/>
  <c r="L259" i="52"/>
  <c r="I260" i="52"/>
  <c r="J260" i="52"/>
  <c r="L260" i="52"/>
  <c r="I261" i="52"/>
  <c r="J261" i="52"/>
  <c r="L261" i="52"/>
  <c r="I262" i="52"/>
  <c r="J262" i="52"/>
  <c r="L262" i="52"/>
  <c r="I263" i="52"/>
  <c r="J263" i="52"/>
  <c r="L263" i="52"/>
  <c r="I264" i="52"/>
  <c r="J264" i="52"/>
  <c r="L264" i="52"/>
  <c r="I265" i="52"/>
  <c r="J265" i="52"/>
  <c r="L265" i="52"/>
  <c r="I266" i="52"/>
  <c r="J266" i="52"/>
  <c r="L266" i="52"/>
  <c r="I267" i="52"/>
  <c r="J267" i="52"/>
  <c r="L267" i="52"/>
  <c r="E268" i="52"/>
  <c r="I268" i="52"/>
  <c r="J268" i="52"/>
  <c r="L268" i="52"/>
  <c r="I269" i="52"/>
  <c r="J269" i="52"/>
  <c r="L269" i="52"/>
  <c r="E270" i="52"/>
  <c r="I270" i="52"/>
  <c r="J270" i="52"/>
  <c r="L270" i="52"/>
  <c r="E271" i="52"/>
  <c r="I271" i="52"/>
  <c r="J271" i="52"/>
  <c r="L271" i="52"/>
  <c r="E272" i="52"/>
  <c r="I272" i="52"/>
  <c r="J272" i="52"/>
  <c r="L272" i="52"/>
  <c r="E273" i="52"/>
  <c r="I273" i="52"/>
  <c r="J273" i="52"/>
  <c r="L273" i="52"/>
  <c r="E274" i="52"/>
  <c r="I274" i="52"/>
  <c r="J274" i="52"/>
  <c r="L274" i="52"/>
  <c r="E275" i="52"/>
  <c r="I275" i="52"/>
  <c r="J275" i="52"/>
  <c r="L275" i="52"/>
  <c r="E276" i="52"/>
  <c r="I276" i="52"/>
  <c r="J276" i="52"/>
  <c r="L276" i="52"/>
  <c r="E277" i="52"/>
  <c r="I277" i="52"/>
  <c r="J277" i="52"/>
  <c r="L277" i="52"/>
  <c r="E278" i="52"/>
  <c r="I278" i="52"/>
  <c r="J278" i="52"/>
  <c r="L278" i="52"/>
  <c r="E279" i="52"/>
  <c r="I279" i="52"/>
  <c r="J279" i="52"/>
  <c r="L279" i="52"/>
  <c r="E280" i="52"/>
  <c r="I280" i="52"/>
  <c r="J280" i="52"/>
  <c r="L280" i="52"/>
  <c r="E281" i="52"/>
  <c r="I281" i="52"/>
  <c r="J281" i="52"/>
  <c r="L281" i="52"/>
  <c r="E282" i="52"/>
  <c r="I282" i="52"/>
  <c r="J282" i="52"/>
  <c r="L282" i="52"/>
  <c r="E283" i="52"/>
  <c r="I283" i="52"/>
  <c r="J283" i="52"/>
  <c r="L283" i="52"/>
  <c r="E284" i="52"/>
  <c r="I284" i="52"/>
  <c r="J284" i="52"/>
  <c r="L284" i="52"/>
  <c r="I285" i="52"/>
  <c r="J285" i="52"/>
  <c r="L285" i="52"/>
  <c r="I286" i="52"/>
  <c r="J286" i="52"/>
  <c r="L286" i="52"/>
  <c r="I287" i="52"/>
  <c r="J287" i="52"/>
  <c r="L287" i="52"/>
  <c r="I288" i="52"/>
  <c r="J288" i="52"/>
  <c r="L288" i="52"/>
  <c r="I289" i="52"/>
  <c r="J289" i="52"/>
  <c r="L289" i="52"/>
  <c r="I290" i="52"/>
  <c r="J290" i="52"/>
  <c r="L290" i="52"/>
  <c r="I291" i="52"/>
  <c r="J291" i="52"/>
  <c r="L291" i="52"/>
  <c r="I292" i="52"/>
  <c r="J292" i="52"/>
  <c r="L292" i="52"/>
  <c r="I293" i="52"/>
  <c r="J293" i="52"/>
  <c r="L293" i="52"/>
  <c r="I294" i="52"/>
  <c r="J294" i="52"/>
  <c r="L294" i="52"/>
  <c r="I295" i="52"/>
  <c r="J295" i="52"/>
  <c r="L295" i="52"/>
  <c r="I296" i="52"/>
  <c r="J296" i="52"/>
  <c r="L296" i="52"/>
  <c r="I297" i="52"/>
  <c r="J297" i="52"/>
  <c r="L297" i="52"/>
  <c r="I298" i="52"/>
  <c r="J298" i="52"/>
  <c r="L298" i="52"/>
  <c r="I299" i="52"/>
  <c r="J299" i="52"/>
  <c r="L299" i="52"/>
  <c r="I300" i="52"/>
  <c r="J300" i="52"/>
  <c r="L300" i="52"/>
  <c r="I301" i="52"/>
  <c r="J301" i="52"/>
  <c r="L301" i="52"/>
  <c r="I302" i="52"/>
  <c r="J302" i="52"/>
  <c r="L302" i="52"/>
  <c r="I303" i="52"/>
  <c r="J303" i="52"/>
  <c r="L303" i="52"/>
  <c r="I304" i="52"/>
  <c r="J304" i="52"/>
  <c r="L304" i="52"/>
  <c r="I305" i="52"/>
  <c r="J305" i="52"/>
  <c r="L305" i="52"/>
  <c r="I306" i="52"/>
  <c r="J306" i="52"/>
  <c r="L306" i="52"/>
  <c r="I307" i="52"/>
  <c r="J307" i="52"/>
  <c r="L307" i="52"/>
  <c r="I308" i="52"/>
  <c r="J308" i="52"/>
  <c r="L308" i="52"/>
  <c r="I309" i="52"/>
  <c r="J309" i="52"/>
  <c r="L309" i="52"/>
  <c r="I310" i="52"/>
  <c r="J310" i="52"/>
  <c r="L310" i="52"/>
  <c r="E311" i="52"/>
  <c r="I311" i="52"/>
  <c r="J311" i="52"/>
  <c r="L311" i="52"/>
  <c r="E312" i="52"/>
  <c r="I312" i="52"/>
  <c r="J312" i="52"/>
  <c r="L312" i="52"/>
  <c r="I313" i="52"/>
  <c r="J313" i="52"/>
  <c r="L313" i="52"/>
  <c r="I314" i="52"/>
  <c r="J314" i="52"/>
  <c r="L314" i="52"/>
  <c r="E315" i="52"/>
  <c r="I315" i="52"/>
  <c r="J315" i="52"/>
  <c r="L315" i="52"/>
  <c r="E316" i="52"/>
  <c r="I316" i="52"/>
  <c r="J316" i="52"/>
  <c r="L316" i="52"/>
  <c r="E317" i="52"/>
  <c r="I317" i="52"/>
  <c r="J317" i="52"/>
  <c r="L317" i="52"/>
  <c r="E318" i="52"/>
  <c r="I318" i="52"/>
  <c r="J318" i="52"/>
  <c r="L318" i="52"/>
  <c r="E319" i="52"/>
  <c r="I319" i="52"/>
  <c r="J319" i="52"/>
  <c r="L319" i="52"/>
  <c r="E320" i="52"/>
  <c r="I320" i="52"/>
  <c r="J320" i="52"/>
  <c r="L320" i="52"/>
  <c r="I321" i="52"/>
  <c r="J321" i="52"/>
  <c r="L321" i="52"/>
  <c r="I322" i="52"/>
  <c r="J322" i="52"/>
  <c r="L322" i="52"/>
  <c r="E323" i="52"/>
  <c r="I323" i="52"/>
  <c r="J323" i="52"/>
  <c r="L323" i="52"/>
  <c r="E324" i="52"/>
  <c r="I324" i="52"/>
  <c r="J324" i="52"/>
  <c r="L324" i="52"/>
  <c r="E325" i="52"/>
  <c r="I325" i="52"/>
  <c r="J325" i="52"/>
  <c r="L325" i="52"/>
  <c r="I326" i="52"/>
  <c r="J326" i="52"/>
  <c r="L326" i="52"/>
  <c r="I327" i="52"/>
  <c r="J327" i="52"/>
  <c r="L327" i="52"/>
  <c r="I328" i="52"/>
  <c r="J328" i="52"/>
  <c r="L328" i="52"/>
  <c r="E329" i="52"/>
  <c r="I329" i="52"/>
  <c r="J329" i="52"/>
  <c r="L329" i="52"/>
  <c r="I330" i="52"/>
  <c r="J330" i="52"/>
  <c r="L330" i="52"/>
  <c r="I331" i="52"/>
  <c r="J331" i="52"/>
  <c r="L331" i="52"/>
  <c r="I332" i="52"/>
  <c r="J332" i="52"/>
  <c r="L332" i="52"/>
  <c r="I333" i="52"/>
  <c r="J333" i="52"/>
  <c r="L333" i="52"/>
  <c r="I334" i="52"/>
  <c r="J334" i="52"/>
  <c r="L334" i="52"/>
  <c r="I335" i="52"/>
  <c r="J335" i="52"/>
  <c r="L335" i="52"/>
  <c r="I336" i="52"/>
  <c r="J336" i="52"/>
  <c r="L336" i="52"/>
  <c r="E337" i="52"/>
  <c r="I337" i="52"/>
  <c r="J337" i="52"/>
  <c r="L337" i="52"/>
  <c r="E338" i="52"/>
  <c r="I338" i="52"/>
  <c r="J338" i="52"/>
  <c r="L338" i="52"/>
  <c r="E339" i="52"/>
  <c r="I339" i="52"/>
  <c r="J339" i="52"/>
  <c r="L339" i="52"/>
  <c r="E340" i="52"/>
  <c r="I340" i="52"/>
  <c r="J340" i="52"/>
  <c r="L340" i="52"/>
  <c r="E341" i="52"/>
  <c r="I341" i="52"/>
  <c r="J341" i="52"/>
  <c r="L341" i="52"/>
  <c r="E342" i="52"/>
  <c r="I342" i="52"/>
  <c r="J342" i="52"/>
  <c r="L342" i="52"/>
  <c r="E343" i="52"/>
  <c r="I343" i="52"/>
  <c r="J343" i="52"/>
  <c r="L343" i="52"/>
  <c r="E344" i="52"/>
  <c r="I344" i="52"/>
  <c r="J344" i="52"/>
  <c r="L344" i="52"/>
  <c r="E345" i="52"/>
  <c r="I345" i="52"/>
  <c r="J345" i="52"/>
  <c r="L345" i="52"/>
  <c r="I346" i="52"/>
  <c r="J346" i="52"/>
  <c r="L346" i="52"/>
  <c r="E347" i="52"/>
  <c r="I347" i="52"/>
  <c r="J347" i="52"/>
  <c r="L347" i="52"/>
  <c r="E348" i="52"/>
  <c r="I348" i="52"/>
  <c r="J348" i="52"/>
  <c r="L348" i="52"/>
  <c r="I349" i="52"/>
  <c r="J349" i="52"/>
  <c r="L349" i="52"/>
  <c r="E350" i="52"/>
  <c r="I350" i="52"/>
  <c r="J350" i="52"/>
  <c r="L350" i="52"/>
  <c r="I351" i="52"/>
  <c r="J351" i="52"/>
  <c r="L351" i="52"/>
  <c r="I352" i="52"/>
  <c r="J352" i="52"/>
  <c r="L352" i="52"/>
  <c r="I353" i="52"/>
  <c r="J353" i="52"/>
  <c r="K353" i="52"/>
  <c r="L353" i="52"/>
  <c r="I354" i="52"/>
  <c r="J354" i="52"/>
  <c r="L354" i="52"/>
  <c r="I355" i="52"/>
  <c r="J355" i="52"/>
  <c r="L355" i="52"/>
  <c r="I356" i="52"/>
  <c r="J356" i="52"/>
  <c r="L356" i="52"/>
  <c r="I357" i="52"/>
  <c r="J357" i="52"/>
  <c r="L357" i="52"/>
  <c r="I358" i="52"/>
  <c r="J358" i="52"/>
  <c r="L358" i="52"/>
  <c r="I359" i="52"/>
  <c r="J359" i="52"/>
  <c r="L359" i="52"/>
  <c r="I360" i="52"/>
  <c r="J360" i="52"/>
  <c r="L360" i="52"/>
  <c r="I361" i="52"/>
  <c r="J361" i="52"/>
  <c r="L361" i="52"/>
  <c r="I362" i="52"/>
  <c r="J362" i="52"/>
  <c r="L362" i="52"/>
  <c r="I363" i="52"/>
  <c r="J363" i="52"/>
  <c r="L363" i="52"/>
  <c r="I364" i="52"/>
  <c r="J364" i="52"/>
  <c r="L364" i="52"/>
  <c r="I365" i="52"/>
  <c r="J365" i="52"/>
  <c r="L365" i="52"/>
  <c r="I366" i="52"/>
  <c r="J366" i="52"/>
  <c r="L366" i="52"/>
  <c r="I367" i="52"/>
  <c r="J367" i="52"/>
  <c r="L367" i="52"/>
  <c r="I368" i="52"/>
  <c r="J368" i="52"/>
  <c r="L368" i="52"/>
  <c r="I369" i="52"/>
  <c r="J369" i="52"/>
  <c r="L369" i="52"/>
  <c r="I370" i="52"/>
  <c r="J370" i="52"/>
  <c r="L370" i="52"/>
  <c r="I371" i="52"/>
  <c r="J371" i="52"/>
  <c r="L371" i="52"/>
  <c r="I372" i="52"/>
  <c r="J372" i="52"/>
  <c r="L372" i="52"/>
  <c r="I373" i="52"/>
  <c r="J373" i="52"/>
  <c r="L373" i="52"/>
  <c r="I374" i="52"/>
  <c r="J374" i="52"/>
  <c r="L374" i="52"/>
  <c r="I375" i="52"/>
  <c r="J375" i="52"/>
  <c r="L375" i="52"/>
  <c r="I376" i="52"/>
  <c r="J376" i="52"/>
  <c r="L376" i="52"/>
  <c r="I377" i="52"/>
  <c r="J377" i="52"/>
  <c r="L377" i="52"/>
  <c r="I378" i="52"/>
  <c r="J378" i="52"/>
  <c r="L378" i="52"/>
  <c r="I379" i="52"/>
  <c r="J379" i="52"/>
  <c r="L379" i="52"/>
  <c r="I380" i="52"/>
  <c r="J380" i="52"/>
  <c r="L380" i="52"/>
  <c r="I381" i="52"/>
  <c r="J381" i="52"/>
  <c r="L381" i="52"/>
  <c r="I382" i="52"/>
  <c r="J382" i="52"/>
  <c r="L382" i="52"/>
  <c r="I383" i="52"/>
  <c r="J383" i="52"/>
  <c r="L383" i="52"/>
  <c r="I384" i="52"/>
  <c r="J384" i="52"/>
  <c r="L384" i="52"/>
  <c r="I385" i="52"/>
  <c r="J385" i="52"/>
  <c r="L385" i="52"/>
  <c r="I386" i="52"/>
  <c r="J386" i="52"/>
  <c r="L386" i="52"/>
  <c r="I387" i="52"/>
  <c r="J387" i="52"/>
  <c r="L387" i="52"/>
  <c r="I388" i="52"/>
  <c r="J388" i="52"/>
  <c r="L388" i="52"/>
  <c r="I389" i="52"/>
  <c r="J389" i="52"/>
  <c r="L389" i="52"/>
  <c r="I390" i="52"/>
  <c r="J390" i="52"/>
  <c r="L390" i="52"/>
  <c r="I391" i="52"/>
  <c r="J391" i="52"/>
  <c r="L391" i="52"/>
  <c r="I392" i="52"/>
  <c r="J392" i="52"/>
  <c r="L392" i="52"/>
  <c r="I393" i="52"/>
  <c r="J393" i="52"/>
  <c r="L393" i="52"/>
  <c r="I394" i="52"/>
  <c r="J394" i="52"/>
  <c r="L394" i="52"/>
  <c r="I395" i="52"/>
  <c r="J395" i="52"/>
  <c r="L395" i="52"/>
  <c r="I396" i="52"/>
  <c r="J396" i="52"/>
  <c r="L396" i="52"/>
  <c r="I397" i="52"/>
  <c r="J397" i="52"/>
  <c r="L397" i="52"/>
  <c r="I398" i="52"/>
  <c r="J398" i="52"/>
  <c r="L398" i="52"/>
  <c r="E399" i="52"/>
  <c r="I399" i="52"/>
  <c r="J399" i="52"/>
  <c r="L399" i="52"/>
  <c r="I400" i="52"/>
  <c r="J400" i="52"/>
  <c r="L400" i="52"/>
  <c r="E401" i="52"/>
  <c r="I401" i="52"/>
  <c r="J401" i="52"/>
  <c r="L401" i="52"/>
  <c r="E402" i="52"/>
  <c r="I402" i="52"/>
  <c r="J402" i="52"/>
  <c r="L402" i="52"/>
  <c r="I403" i="52"/>
  <c r="J403" i="52"/>
  <c r="L403" i="52"/>
  <c r="I404" i="52"/>
  <c r="J404" i="52"/>
  <c r="L404" i="52"/>
  <c r="I405" i="52"/>
  <c r="J405" i="52"/>
  <c r="L405" i="52"/>
  <c r="E406" i="52"/>
  <c r="I406" i="52"/>
  <c r="J406" i="52"/>
  <c r="L406" i="52"/>
  <c r="E407" i="52"/>
  <c r="I407" i="52"/>
  <c r="J407" i="52"/>
  <c r="L407" i="52"/>
  <c r="E408" i="52"/>
  <c r="I408" i="52"/>
  <c r="J408" i="52"/>
  <c r="L408" i="52"/>
  <c r="E409" i="52"/>
  <c r="I409" i="52"/>
  <c r="J409" i="52"/>
  <c r="L409" i="52"/>
  <c r="E410" i="52"/>
  <c r="I410" i="52"/>
  <c r="J410" i="52"/>
  <c r="L410" i="52"/>
  <c r="I411" i="52"/>
  <c r="J411" i="52"/>
  <c r="L411" i="52"/>
  <c r="E412" i="52"/>
  <c r="I412" i="52"/>
  <c r="J412" i="52"/>
  <c r="L412" i="52"/>
  <c r="I413" i="52"/>
  <c r="J413" i="52"/>
  <c r="L413" i="52"/>
  <c r="I414" i="52"/>
  <c r="J414" i="52"/>
  <c r="L414" i="52"/>
  <c r="E415" i="52"/>
  <c r="I415" i="52"/>
  <c r="J415" i="52"/>
  <c r="L415" i="52"/>
  <c r="E416" i="52"/>
  <c r="I416" i="52"/>
  <c r="J416" i="52"/>
  <c r="L416" i="52"/>
  <c r="E417" i="52"/>
  <c r="I417" i="52"/>
  <c r="J417" i="52"/>
  <c r="L417" i="52"/>
  <c r="E418" i="52"/>
  <c r="I418" i="52"/>
  <c r="J418" i="52"/>
  <c r="L418" i="52"/>
  <c r="I419" i="52"/>
  <c r="J419" i="52"/>
  <c r="L419" i="52"/>
  <c r="I420" i="52"/>
  <c r="J420" i="52"/>
  <c r="L420" i="52"/>
  <c r="E421" i="52"/>
  <c r="I421" i="52"/>
  <c r="J421" i="52"/>
  <c r="L421" i="52"/>
  <c r="E422" i="52"/>
  <c r="I422" i="52"/>
  <c r="J422" i="52"/>
  <c r="L422" i="52"/>
  <c r="E423" i="52"/>
  <c r="I423" i="52"/>
  <c r="J423" i="52"/>
  <c r="L423" i="52"/>
  <c r="E424" i="52"/>
  <c r="I424" i="52"/>
  <c r="J424" i="52"/>
  <c r="L424" i="52"/>
  <c r="E425" i="52"/>
  <c r="I425" i="52"/>
  <c r="J425" i="52"/>
  <c r="L425" i="52"/>
  <c r="E426" i="52"/>
  <c r="I426" i="52"/>
  <c r="J426" i="52"/>
  <c r="L426" i="52"/>
  <c r="I427" i="52"/>
  <c r="J427" i="52"/>
  <c r="L427" i="52"/>
  <c r="E428" i="52"/>
  <c r="I428" i="52"/>
  <c r="J428" i="52"/>
  <c r="L428" i="52"/>
  <c r="E429" i="52"/>
  <c r="I429" i="52"/>
  <c r="J429" i="52"/>
  <c r="L429" i="52"/>
  <c r="I430" i="52"/>
  <c r="J430" i="52"/>
  <c r="L430" i="52"/>
  <c r="E431" i="52"/>
  <c r="I431" i="52"/>
  <c r="J431" i="52"/>
  <c r="L431" i="52"/>
  <c r="E432" i="52"/>
  <c r="I432" i="52"/>
  <c r="J432" i="52"/>
  <c r="L432" i="52"/>
  <c r="E433" i="52"/>
  <c r="I433" i="52"/>
  <c r="J433" i="52"/>
  <c r="L433" i="52"/>
  <c r="E434" i="52"/>
  <c r="I434" i="52"/>
  <c r="J434" i="52"/>
  <c r="L434" i="52"/>
  <c r="E435" i="52"/>
  <c r="I435" i="52"/>
  <c r="J435" i="52"/>
  <c r="L435" i="52"/>
  <c r="E436" i="52"/>
  <c r="I436" i="52"/>
  <c r="J436" i="52"/>
  <c r="L436" i="52"/>
  <c r="I437" i="52"/>
  <c r="J437" i="52"/>
  <c r="L437" i="52"/>
  <c r="I438" i="52"/>
  <c r="J438" i="52"/>
  <c r="L438" i="52"/>
  <c r="E439" i="52"/>
  <c r="I439" i="52"/>
  <c r="J439" i="52"/>
  <c r="L439" i="52"/>
  <c r="I440" i="52"/>
  <c r="J440" i="52"/>
  <c r="L440" i="52"/>
  <c r="I441" i="52"/>
  <c r="J441" i="52"/>
  <c r="L441" i="52"/>
  <c r="I442" i="52"/>
  <c r="J442" i="52"/>
  <c r="L442" i="52"/>
  <c r="I443" i="52"/>
  <c r="J443" i="52"/>
  <c r="L443" i="52"/>
  <c r="I444" i="52"/>
  <c r="J444" i="52"/>
  <c r="L444" i="52"/>
  <c r="I445" i="52"/>
  <c r="J445" i="52"/>
  <c r="L445" i="52"/>
  <c r="I446" i="52"/>
  <c r="J446" i="52"/>
  <c r="L446" i="52"/>
  <c r="I447" i="52"/>
  <c r="J447" i="52"/>
  <c r="L447" i="52"/>
  <c r="I448" i="52"/>
  <c r="J448" i="52"/>
  <c r="L448" i="52"/>
  <c r="I449" i="52"/>
  <c r="J449" i="52"/>
  <c r="L449" i="52"/>
  <c r="I450" i="52"/>
  <c r="J450" i="52"/>
  <c r="L450" i="52"/>
  <c r="I451" i="52"/>
  <c r="J451" i="52"/>
  <c r="L451" i="52"/>
  <c r="I452" i="52"/>
  <c r="J452" i="52"/>
  <c r="L452" i="52"/>
  <c r="I453" i="52"/>
  <c r="J453" i="52"/>
  <c r="L453" i="52"/>
  <c r="I454" i="52"/>
  <c r="J454" i="52"/>
  <c r="L454" i="52"/>
  <c r="I455" i="52"/>
  <c r="J455" i="52"/>
  <c r="L455" i="52"/>
  <c r="I456" i="52"/>
  <c r="J456" i="52"/>
  <c r="L456" i="52"/>
  <c r="I457" i="52"/>
  <c r="J457" i="52"/>
  <c r="L457" i="52"/>
  <c r="I458" i="52"/>
  <c r="J458" i="52"/>
  <c r="L458" i="52"/>
  <c r="I459" i="52"/>
  <c r="J459" i="52"/>
  <c r="L459" i="52"/>
  <c r="I460" i="52"/>
  <c r="J460" i="52"/>
  <c r="L460" i="52"/>
  <c r="E461" i="52"/>
  <c r="I461" i="52"/>
  <c r="J461" i="52"/>
  <c r="L461" i="52"/>
  <c r="I462" i="52"/>
  <c r="J462" i="52"/>
  <c r="L462" i="52"/>
  <c r="I463" i="52"/>
  <c r="J463" i="52"/>
  <c r="L463" i="52"/>
  <c r="I464" i="52"/>
  <c r="J464" i="52"/>
  <c r="L464" i="52"/>
  <c r="I465" i="52"/>
  <c r="J465" i="52"/>
  <c r="L465" i="52"/>
  <c r="I466" i="52"/>
  <c r="J466" i="52"/>
  <c r="L466" i="52"/>
  <c r="I467" i="52"/>
  <c r="J467" i="52"/>
  <c r="L467" i="52"/>
  <c r="I468" i="52"/>
  <c r="J468" i="52"/>
  <c r="L468" i="52"/>
  <c r="I469" i="52"/>
  <c r="J469" i="52"/>
  <c r="L469" i="52"/>
  <c r="I470" i="52"/>
  <c r="J470" i="52"/>
  <c r="L470" i="52"/>
  <c r="I471" i="52"/>
  <c r="J471" i="52"/>
  <c r="L471" i="52"/>
  <c r="I472" i="52"/>
  <c r="J472" i="52"/>
  <c r="L472" i="52"/>
  <c r="I473" i="52"/>
  <c r="J473" i="52"/>
  <c r="L473" i="52"/>
  <c r="I474" i="52"/>
  <c r="J474" i="52"/>
  <c r="L474" i="52"/>
  <c r="I475" i="52"/>
  <c r="J475" i="52"/>
  <c r="L475" i="52"/>
  <c r="I476" i="52"/>
  <c r="J476" i="52"/>
  <c r="L476" i="52"/>
  <c r="I477" i="52"/>
  <c r="J477" i="52"/>
  <c r="L477" i="52"/>
  <c r="I478" i="52"/>
  <c r="J478" i="52"/>
  <c r="L478" i="52"/>
  <c r="I479" i="52"/>
  <c r="J479" i="52"/>
  <c r="L479" i="52"/>
  <c r="I480" i="52"/>
  <c r="J480" i="52"/>
  <c r="L480" i="52"/>
  <c r="I481" i="52"/>
  <c r="J481" i="52"/>
  <c r="L481" i="52"/>
  <c r="I482" i="52"/>
  <c r="J482" i="52"/>
  <c r="L482" i="52"/>
  <c r="I483" i="52"/>
  <c r="J483" i="52"/>
  <c r="L483" i="52"/>
  <c r="I484" i="52"/>
  <c r="J484" i="52"/>
  <c r="L484" i="52"/>
  <c r="I485" i="52"/>
  <c r="J485" i="52"/>
  <c r="L485" i="52"/>
  <c r="I486" i="52"/>
  <c r="J486" i="52"/>
  <c r="L486" i="52"/>
  <c r="I487" i="52"/>
  <c r="J487" i="52"/>
  <c r="L487" i="52"/>
  <c r="I488" i="52"/>
  <c r="J488" i="52"/>
  <c r="L488" i="52"/>
  <c r="I489" i="52"/>
  <c r="J489" i="52"/>
  <c r="L489" i="52"/>
  <c r="I490" i="52"/>
  <c r="J490" i="52"/>
  <c r="L490" i="52"/>
  <c r="I491" i="52"/>
  <c r="J491" i="52"/>
  <c r="L491" i="52"/>
  <c r="I492" i="52"/>
  <c r="J492" i="52"/>
  <c r="L492" i="52"/>
  <c r="E493" i="52"/>
  <c r="I493" i="52"/>
  <c r="J493" i="52"/>
  <c r="L493" i="52"/>
  <c r="E494" i="52"/>
  <c r="I494" i="52"/>
  <c r="J494" i="52"/>
  <c r="L494" i="52"/>
  <c r="E495" i="52"/>
  <c r="I495" i="52"/>
  <c r="J495" i="52"/>
  <c r="L495" i="52"/>
  <c r="I496" i="52"/>
  <c r="J496" i="52"/>
  <c r="L496" i="52"/>
  <c r="E497" i="52"/>
  <c r="I497" i="52"/>
  <c r="J497" i="52"/>
  <c r="L497" i="52"/>
  <c r="I498" i="52"/>
  <c r="J498" i="52"/>
  <c r="L498" i="52"/>
  <c r="I499" i="52"/>
  <c r="J499" i="52"/>
  <c r="L499" i="52"/>
  <c r="I500" i="52"/>
  <c r="J500" i="52"/>
  <c r="L500" i="52"/>
  <c r="I501" i="52"/>
  <c r="J501" i="52"/>
  <c r="L501" i="52"/>
  <c r="E502" i="52"/>
  <c r="I502" i="52"/>
  <c r="J502" i="52"/>
  <c r="L502" i="52"/>
  <c r="I503" i="52"/>
  <c r="J503" i="52"/>
  <c r="L503" i="52"/>
  <c r="I504" i="52"/>
  <c r="J504" i="52"/>
  <c r="L504" i="52"/>
  <c r="I505" i="52"/>
  <c r="J505" i="52"/>
  <c r="L505" i="52"/>
  <c r="I506" i="52"/>
  <c r="J506" i="52"/>
  <c r="L506" i="52"/>
  <c r="I507" i="52"/>
  <c r="J507" i="52"/>
  <c r="L507" i="52"/>
  <c r="I508" i="52"/>
  <c r="J508" i="52"/>
  <c r="L508" i="52"/>
  <c r="I509" i="52"/>
  <c r="J509" i="52"/>
  <c r="L509" i="52"/>
  <c r="I510" i="52"/>
  <c r="J510" i="52"/>
  <c r="L510" i="52"/>
  <c r="I511" i="52"/>
  <c r="J511" i="52"/>
  <c r="L511" i="52"/>
  <c r="I512" i="52"/>
  <c r="J512" i="52"/>
  <c r="L512" i="52"/>
  <c r="I513" i="52"/>
  <c r="J513" i="52"/>
  <c r="L513" i="52"/>
  <c r="I514" i="52"/>
  <c r="J514" i="52"/>
  <c r="L514" i="52"/>
  <c r="I515" i="52"/>
  <c r="J515" i="52"/>
  <c r="L515" i="52"/>
  <c r="L516" i="52"/>
  <c r="I241" i="38"/>
  <c r="J241" i="38"/>
  <c r="L241" i="38"/>
  <c r="I240" i="38"/>
  <c r="J240" i="38"/>
  <c r="L240" i="38"/>
  <c r="I239" i="38"/>
  <c r="J239" i="38"/>
  <c r="L239" i="38"/>
  <c r="I238" i="38"/>
  <c r="J238" i="38"/>
  <c r="L238" i="38"/>
  <c r="I237" i="38"/>
  <c r="J237" i="38"/>
  <c r="L237" i="38"/>
  <c r="I236" i="38"/>
  <c r="J236" i="38"/>
  <c r="L236" i="38"/>
  <c r="I235" i="38"/>
  <c r="J235" i="38"/>
  <c r="L235" i="38"/>
  <c r="I234" i="38"/>
  <c r="J234" i="38"/>
  <c r="L234" i="38"/>
  <c r="I233" i="38"/>
  <c r="J233" i="38"/>
  <c r="L233" i="38"/>
  <c r="I232" i="38"/>
  <c r="J232" i="38"/>
  <c r="L232" i="38"/>
  <c r="I231" i="38"/>
  <c r="J231" i="38"/>
  <c r="L231" i="38"/>
  <c r="I230" i="38"/>
  <c r="J230" i="38"/>
  <c r="L230" i="38"/>
  <c r="I229" i="38"/>
  <c r="J229" i="38"/>
  <c r="L229" i="38"/>
  <c r="I228" i="38"/>
  <c r="J228" i="38"/>
  <c r="L228" i="38"/>
  <c r="I227" i="38"/>
  <c r="J227" i="38"/>
  <c r="L227" i="38"/>
  <c r="I226" i="38"/>
  <c r="J226" i="38"/>
  <c r="L226" i="38"/>
  <c r="I225" i="38"/>
  <c r="J225" i="38"/>
  <c r="L225" i="38"/>
  <c r="I224" i="38"/>
  <c r="J224" i="38"/>
  <c r="L224" i="38"/>
  <c r="I223" i="38"/>
  <c r="J223" i="38"/>
  <c r="K223" i="38"/>
  <c r="L223" i="38"/>
  <c r="I222" i="38"/>
  <c r="J222" i="38"/>
  <c r="K222" i="38"/>
  <c r="L222" i="38"/>
  <c r="E221" i="38"/>
  <c r="I221" i="38"/>
  <c r="J221" i="38"/>
  <c r="L221" i="38"/>
  <c r="I220" i="38"/>
  <c r="J220" i="38"/>
  <c r="L220" i="38"/>
  <c r="J219" i="38"/>
  <c r="L219" i="38"/>
  <c r="I218" i="38"/>
  <c r="J218" i="38"/>
  <c r="L218" i="38"/>
  <c r="I217" i="38"/>
  <c r="J217" i="38"/>
  <c r="L217" i="38"/>
  <c r="I216" i="38"/>
  <c r="J216" i="38"/>
  <c r="L216" i="38"/>
  <c r="I215" i="38"/>
  <c r="J215" i="38"/>
  <c r="L215" i="38"/>
  <c r="I214" i="38"/>
  <c r="J214" i="38"/>
  <c r="L214" i="38"/>
  <c r="I213" i="38"/>
  <c r="J213" i="38"/>
  <c r="L213" i="38"/>
  <c r="I212" i="38"/>
  <c r="J212" i="38"/>
  <c r="L212" i="38"/>
  <c r="I211" i="38"/>
  <c r="J211" i="38"/>
  <c r="L211" i="38"/>
  <c r="I210" i="38"/>
  <c r="J210" i="38"/>
  <c r="L210" i="38"/>
  <c r="I209" i="38"/>
  <c r="J209" i="38"/>
  <c r="L209" i="38"/>
  <c r="I208" i="38"/>
  <c r="J208" i="38"/>
  <c r="L208" i="38"/>
  <c r="I207" i="38"/>
  <c r="J207" i="38"/>
  <c r="L207" i="38"/>
  <c r="I206" i="38"/>
  <c r="J206" i="38"/>
  <c r="L206" i="38"/>
  <c r="I205" i="38"/>
  <c r="J205" i="38"/>
  <c r="L205" i="38"/>
  <c r="E204" i="38"/>
  <c r="I204" i="38"/>
  <c r="J204" i="38"/>
  <c r="L204" i="38"/>
  <c r="E203" i="38"/>
  <c r="I203" i="38"/>
  <c r="J203" i="38"/>
  <c r="L203" i="38"/>
  <c r="E202" i="38"/>
  <c r="I202" i="38"/>
  <c r="J202" i="38"/>
  <c r="L202" i="38"/>
  <c r="I201" i="38"/>
  <c r="J201" i="38"/>
  <c r="L201" i="38"/>
  <c r="E200" i="38"/>
  <c r="I200" i="38"/>
  <c r="J200" i="38"/>
  <c r="L200" i="38"/>
  <c r="I199" i="38"/>
  <c r="J199" i="38"/>
  <c r="L199" i="38"/>
  <c r="I198" i="38"/>
  <c r="J198" i="38"/>
  <c r="L198" i="38"/>
  <c r="I197" i="38"/>
  <c r="J197" i="38"/>
  <c r="L197" i="38"/>
  <c r="I196" i="38"/>
  <c r="J196" i="38"/>
  <c r="L196" i="38"/>
  <c r="I195" i="38"/>
  <c r="J195" i="38"/>
  <c r="L195" i="38"/>
  <c r="I194" i="38"/>
  <c r="J194" i="38"/>
  <c r="L194" i="38"/>
  <c r="I193" i="38"/>
  <c r="J193" i="38"/>
  <c r="L193" i="38"/>
  <c r="E192" i="38"/>
  <c r="I192" i="38"/>
  <c r="J192" i="38"/>
  <c r="L192" i="38"/>
  <c r="E191" i="38"/>
  <c r="I191" i="38"/>
  <c r="J191" i="38"/>
  <c r="L191" i="38"/>
  <c r="E190" i="38"/>
  <c r="I190" i="38"/>
  <c r="J190" i="38"/>
  <c r="L190" i="38"/>
  <c r="E189" i="38"/>
  <c r="I189" i="38"/>
  <c r="J189" i="38"/>
  <c r="L189" i="38"/>
  <c r="E188" i="38"/>
  <c r="I188" i="38"/>
  <c r="J188" i="38"/>
  <c r="L188" i="38"/>
  <c r="E187" i="38"/>
  <c r="I187" i="38"/>
  <c r="J187" i="38"/>
  <c r="L187" i="38"/>
  <c r="I186" i="38"/>
  <c r="J186" i="38"/>
  <c r="L186" i="38"/>
  <c r="I185" i="38"/>
  <c r="J185" i="38"/>
  <c r="L185" i="38"/>
  <c r="I184" i="38"/>
  <c r="J184" i="38"/>
  <c r="L184" i="38"/>
  <c r="I183" i="38"/>
  <c r="J183" i="38"/>
  <c r="L183" i="38"/>
  <c r="I182" i="38"/>
  <c r="J182" i="38"/>
  <c r="L182" i="38"/>
  <c r="I181" i="38"/>
  <c r="J181" i="38"/>
  <c r="L181" i="38"/>
  <c r="I180" i="38"/>
  <c r="J180" i="38"/>
  <c r="L180" i="38"/>
  <c r="I179" i="38"/>
  <c r="J179" i="38"/>
  <c r="K179" i="38"/>
  <c r="L179" i="38"/>
  <c r="I178" i="38"/>
  <c r="J178" i="38"/>
  <c r="L178" i="38"/>
  <c r="E177" i="38"/>
  <c r="I177" i="38"/>
  <c r="J177" i="38"/>
  <c r="L177" i="38"/>
  <c r="I176" i="38"/>
  <c r="J176" i="38"/>
  <c r="L176" i="38"/>
  <c r="I175" i="38"/>
  <c r="J175" i="38"/>
  <c r="L175" i="38"/>
  <c r="E174" i="38"/>
  <c r="I174" i="38"/>
  <c r="J174" i="38"/>
  <c r="L174" i="38"/>
  <c r="I173" i="38"/>
  <c r="J173" i="38"/>
  <c r="L173" i="38"/>
  <c r="I172" i="38"/>
  <c r="J172" i="38"/>
  <c r="L172" i="38"/>
  <c r="I171" i="38"/>
  <c r="J171" i="38"/>
  <c r="L171" i="38"/>
  <c r="I170" i="38"/>
  <c r="J170" i="38"/>
  <c r="L170" i="38"/>
  <c r="I169" i="38"/>
  <c r="J169" i="38"/>
  <c r="L169" i="38"/>
  <c r="I168" i="38"/>
  <c r="J168" i="38"/>
  <c r="L168" i="38"/>
  <c r="I167" i="38"/>
  <c r="J167" i="38"/>
  <c r="L167" i="38"/>
  <c r="I166" i="38"/>
  <c r="J166" i="38"/>
  <c r="L166" i="38"/>
  <c r="I165" i="38"/>
  <c r="J165" i="38"/>
  <c r="L165" i="38"/>
  <c r="I164" i="38"/>
  <c r="J164" i="38"/>
  <c r="L164" i="38"/>
  <c r="I163" i="38"/>
  <c r="J163" i="38"/>
  <c r="L163" i="38"/>
  <c r="I162" i="38"/>
  <c r="J162" i="38"/>
  <c r="L162" i="38"/>
  <c r="I161" i="38"/>
  <c r="J161" i="38"/>
  <c r="L161" i="38"/>
  <c r="I160" i="38"/>
  <c r="J160" i="38"/>
  <c r="L160" i="38"/>
  <c r="I159" i="38"/>
  <c r="J159" i="38"/>
  <c r="L159" i="38"/>
  <c r="I158" i="38"/>
  <c r="J158" i="38"/>
  <c r="L158" i="38"/>
  <c r="I157" i="38"/>
  <c r="J157" i="38"/>
  <c r="L157" i="38"/>
  <c r="I156" i="38"/>
  <c r="J156" i="38"/>
  <c r="L156" i="38"/>
  <c r="I155" i="38"/>
  <c r="J155" i="38"/>
  <c r="L155" i="38"/>
  <c r="I154" i="38"/>
  <c r="J154" i="38"/>
  <c r="L154" i="38"/>
  <c r="I153" i="38"/>
  <c r="J153" i="38"/>
  <c r="L153" i="38"/>
  <c r="I152" i="38"/>
  <c r="J152" i="38"/>
  <c r="L152" i="38"/>
  <c r="I151" i="38"/>
  <c r="J151" i="38"/>
  <c r="L151" i="38"/>
  <c r="I150" i="38"/>
  <c r="J150" i="38"/>
  <c r="L150" i="38"/>
  <c r="I149" i="38"/>
  <c r="J149" i="38"/>
  <c r="L149" i="38"/>
  <c r="I148" i="38"/>
  <c r="J148" i="38"/>
  <c r="L148" i="38"/>
  <c r="I147" i="38"/>
  <c r="J147" i="38"/>
  <c r="L147" i="38"/>
  <c r="I146" i="38"/>
  <c r="J146" i="38"/>
  <c r="L146" i="38"/>
  <c r="I145" i="38"/>
  <c r="J145" i="38"/>
  <c r="L145" i="38"/>
  <c r="I144" i="38"/>
  <c r="J144" i="38"/>
  <c r="L144" i="38"/>
  <c r="I143" i="38"/>
  <c r="J143" i="38"/>
  <c r="L143" i="38"/>
  <c r="I142" i="38"/>
  <c r="J142" i="38"/>
  <c r="L142" i="38"/>
  <c r="I141" i="38"/>
  <c r="J141" i="38"/>
  <c r="L141" i="38"/>
  <c r="I140" i="38"/>
  <c r="J140" i="38"/>
  <c r="L140" i="38"/>
  <c r="I139" i="38"/>
  <c r="J139" i="38"/>
  <c r="L139" i="38"/>
  <c r="I138" i="38"/>
  <c r="J138" i="38"/>
  <c r="L138" i="38"/>
  <c r="I137" i="38"/>
  <c r="J137" i="38"/>
  <c r="L137" i="38"/>
  <c r="I136" i="38"/>
  <c r="J136" i="38"/>
  <c r="L136" i="38"/>
  <c r="I135" i="38"/>
  <c r="J135" i="38"/>
  <c r="L135" i="38"/>
  <c r="E134" i="38"/>
  <c r="I134" i="38"/>
  <c r="J134" i="38"/>
  <c r="L134" i="38"/>
  <c r="E133" i="38"/>
  <c r="I133" i="38"/>
  <c r="J133" i="38"/>
  <c r="L133" i="38"/>
  <c r="I132" i="38"/>
  <c r="J132" i="38"/>
  <c r="L132" i="38"/>
  <c r="I131" i="38"/>
  <c r="J131" i="38"/>
  <c r="L131" i="38"/>
  <c r="I130" i="38"/>
  <c r="J130" i="38"/>
  <c r="L130" i="38"/>
  <c r="I129" i="38"/>
  <c r="J129" i="38"/>
  <c r="L129" i="38"/>
  <c r="I128" i="38"/>
  <c r="J128" i="38"/>
  <c r="L128" i="38"/>
  <c r="I127" i="38"/>
  <c r="J127" i="38"/>
  <c r="L127" i="38"/>
  <c r="I126" i="38"/>
  <c r="J126" i="38"/>
  <c r="L126" i="38"/>
  <c r="I125" i="38"/>
  <c r="J125" i="38"/>
  <c r="L125" i="38"/>
  <c r="I124" i="38"/>
  <c r="J124" i="38"/>
  <c r="L124" i="38"/>
  <c r="I123" i="38"/>
  <c r="J123" i="38"/>
  <c r="L123" i="38"/>
  <c r="I122" i="38"/>
  <c r="J122" i="38"/>
  <c r="L122" i="38"/>
  <c r="I121" i="38"/>
  <c r="J121" i="38"/>
  <c r="L121" i="38"/>
  <c r="I120" i="38"/>
  <c r="J120" i="38"/>
  <c r="L120" i="38"/>
  <c r="I119" i="38"/>
  <c r="J119" i="38"/>
  <c r="L119" i="38"/>
  <c r="I118" i="38"/>
  <c r="J118" i="38"/>
  <c r="L118" i="38"/>
  <c r="I117" i="38"/>
  <c r="J117" i="38"/>
  <c r="L117" i="38"/>
  <c r="I116" i="38"/>
  <c r="J116" i="38"/>
  <c r="L116" i="38"/>
  <c r="I115" i="38"/>
  <c r="J115" i="38"/>
  <c r="L115" i="38"/>
  <c r="I114" i="38"/>
  <c r="J114" i="38"/>
  <c r="L114" i="38"/>
  <c r="I113" i="38"/>
  <c r="J113" i="38"/>
  <c r="L113" i="38"/>
  <c r="I112" i="38"/>
  <c r="J112" i="38"/>
  <c r="L112" i="38"/>
  <c r="I111" i="38"/>
  <c r="J111" i="38"/>
  <c r="L111" i="38"/>
  <c r="I110" i="38"/>
  <c r="J110" i="38"/>
  <c r="L110" i="38"/>
  <c r="I109" i="38"/>
  <c r="J109" i="38"/>
  <c r="L109" i="38"/>
  <c r="I108" i="38"/>
  <c r="J108" i="38"/>
  <c r="L108" i="38"/>
  <c r="I107" i="38"/>
  <c r="J107" i="38"/>
  <c r="L107" i="38"/>
  <c r="I106" i="38"/>
  <c r="J106" i="38"/>
  <c r="L106" i="38"/>
  <c r="I105" i="38"/>
  <c r="J105" i="38"/>
  <c r="L105" i="38"/>
  <c r="I104" i="38"/>
  <c r="J104" i="38"/>
  <c r="L104" i="38"/>
  <c r="I103" i="38"/>
  <c r="J103" i="38"/>
  <c r="L103" i="38"/>
  <c r="I102" i="38"/>
  <c r="J102" i="38"/>
  <c r="L102" i="38"/>
  <c r="I101" i="38"/>
  <c r="J101" i="38"/>
  <c r="L101" i="38"/>
  <c r="I100" i="38"/>
  <c r="J100" i="38"/>
  <c r="L100" i="38"/>
  <c r="I99" i="38"/>
  <c r="J99" i="38"/>
  <c r="L99" i="38"/>
  <c r="I98" i="38"/>
  <c r="J98" i="38"/>
  <c r="L98" i="38"/>
  <c r="I97" i="38"/>
  <c r="J97" i="38"/>
  <c r="L97" i="38"/>
  <c r="I96" i="38"/>
  <c r="J96" i="38"/>
  <c r="L96" i="38"/>
  <c r="I95" i="38"/>
  <c r="J95" i="38"/>
  <c r="L95" i="38"/>
  <c r="I94" i="38"/>
  <c r="J94" i="38"/>
  <c r="L94" i="38"/>
  <c r="I93" i="38"/>
  <c r="J93" i="38"/>
  <c r="L93" i="38"/>
  <c r="I92" i="38"/>
  <c r="J92" i="38"/>
  <c r="L92" i="38"/>
  <c r="I91" i="38"/>
  <c r="J91" i="38"/>
  <c r="L91" i="38"/>
  <c r="I90" i="38"/>
  <c r="J90" i="38"/>
  <c r="L90" i="38"/>
  <c r="I89" i="38"/>
  <c r="J89" i="38"/>
  <c r="L89" i="38"/>
  <c r="I88" i="38"/>
  <c r="J88" i="38"/>
  <c r="L88" i="38"/>
  <c r="I87" i="38"/>
  <c r="J87" i="38"/>
  <c r="L87" i="38"/>
  <c r="I86" i="38"/>
  <c r="J86" i="38"/>
  <c r="L86" i="38"/>
  <c r="I85" i="38"/>
  <c r="J85" i="38"/>
  <c r="L85" i="38"/>
  <c r="I84" i="38"/>
  <c r="J84" i="38"/>
  <c r="L84" i="38"/>
  <c r="I83" i="38"/>
  <c r="J83" i="38"/>
  <c r="L83" i="38"/>
  <c r="I82" i="38"/>
  <c r="J82" i="38"/>
  <c r="L82" i="38"/>
  <c r="I81" i="38"/>
  <c r="J81" i="38"/>
  <c r="L81" i="38"/>
  <c r="I80" i="38"/>
  <c r="J80" i="38"/>
  <c r="L80" i="38"/>
  <c r="I79" i="38"/>
  <c r="J79" i="38"/>
  <c r="L79" i="38"/>
  <c r="I78" i="38"/>
  <c r="J78" i="38"/>
  <c r="L78" i="38"/>
  <c r="I77" i="38"/>
  <c r="J77" i="38"/>
  <c r="L77" i="38"/>
  <c r="I76" i="38"/>
  <c r="J76" i="38"/>
  <c r="L76" i="38"/>
  <c r="I75" i="38"/>
  <c r="J75" i="38"/>
  <c r="L75" i="38"/>
  <c r="I74" i="38"/>
  <c r="J74" i="38"/>
  <c r="L74" i="38"/>
  <c r="I73" i="38"/>
  <c r="J73" i="38"/>
  <c r="L73" i="38"/>
  <c r="I72" i="38"/>
  <c r="J72" i="38"/>
  <c r="L72" i="38"/>
  <c r="I71" i="38"/>
  <c r="J71" i="38"/>
  <c r="L71" i="38"/>
  <c r="I70" i="38"/>
  <c r="J70" i="38"/>
  <c r="L70" i="38"/>
  <c r="I69" i="38"/>
  <c r="J69" i="38"/>
  <c r="L69" i="38"/>
  <c r="I68" i="38"/>
  <c r="J68" i="38"/>
  <c r="L68" i="38"/>
  <c r="I67" i="38"/>
  <c r="J67" i="38"/>
  <c r="L67" i="38"/>
  <c r="I66" i="38"/>
  <c r="J66" i="38"/>
  <c r="L66" i="38"/>
  <c r="I65" i="38"/>
  <c r="J65" i="38"/>
  <c r="L65" i="38"/>
  <c r="I64" i="38"/>
  <c r="J64" i="38"/>
  <c r="L64" i="38"/>
  <c r="I63" i="38"/>
  <c r="J63" i="38"/>
  <c r="L63" i="38"/>
  <c r="I62" i="38"/>
  <c r="J62" i="38"/>
  <c r="L62" i="38"/>
  <c r="I61" i="38"/>
  <c r="J61" i="38"/>
  <c r="L61" i="38"/>
  <c r="I60" i="38"/>
  <c r="J60" i="38"/>
  <c r="L60" i="38"/>
  <c r="I59" i="38"/>
  <c r="J59" i="38"/>
  <c r="L59" i="38"/>
  <c r="I58" i="38"/>
  <c r="J58" i="38"/>
  <c r="L58" i="38"/>
  <c r="I57" i="38"/>
  <c r="J57" i="38"/>
  <c r="L57" i="38"/>
  <c r="I56" i="38"/>
  <c r="J56" i="38"/>
  <c r="L56" i="38"/>
  <c r="I55" i="38"/>
  <c r="J55" i="38"/>
  <c r="L55" i="38"/>
  <c r="I54" i="38"/>
  <c r="J54" i="38"/>
  <c r="L54" i="38"/>
  <c r="I53" i="38"/>
  <c r="J53" i="38"/>
  <c r="L53" i="38"/>
  <c r="J52" i="38"/>
  <c r="L52" i="38"/>
  <c r="I51" i="38"/>
  <c r="J51" i="38"/>
  <c r="L51" i="38"/>
  <c r="I50" i="38"/>
  <c r="J50" i="38"/>
  <c r="L50" i="38"/>
  <c r="I49" i="38"/>
  <c r="J49" i="38"/>
  <c r="L49" i="38"/>
  <c r="E48" i="38"/>
  <c r="I48" i="38"/>
  <c r="J48" i="38"/>
  <c r="L48" i="38"/>
  <c r="I47" i="38"/>
  <c r="J47" i="38"/>
  <c r="L47" i="38"/>
  <c r="E46" i="38"/>
  <c r="I46" i="38"/>
  <c r="J46" i="38"/>
  <c r="L46" i="38"/>
  <c r="I45" i="38"/>
  <c r="J45" i="38"/>
  <c r="L45" i="38"/>
  <c r="I44" i="38"/>
  <c r="J44" i="38"/>
  <c r="L44" i="38"/>
  <c r="I43" i="38"/>
  <c r="J43" i="38"/>
  <c r="L43" i="38"/>
  <c r="E42" i="38"/>
  <c r="I42" i="38"/>
  <c r="J42" i="38"/>
  <c r="L42" i="38"/>
  <c r="E41" i="38"/>
  <c r="I41" i="38"/>
  <c r="J41" i="38"/>
  <c r="L41" i="38"/>
  <c r="I40" i="38"/>
  <c r="J40" i="38"/>
  <c r="L40" i="38"/>
  <c r="I39" i="38"/>
  <c r="J39" i="38"/>
  <c r="L39" i="38"/>
  <c r="I38" i="38"/>
  <c r="J38" i="38"/>
  <c r="L38" i="38"/>
  <c r="I37" i="38"/>
  <c r="J37" i="38"/>
  <c r="L37" i="38"/>
  <c r="I36" i="38"/>
  <c r="J36" i="38"/>
  <c r="L36" i="38"/>
  <c r="I35" i="38"/>
  <c r="J35" i="38"/>
  <c r="L35" i="38"/>
  <c r="I34" i="38"/>
  <c r="J34" i="38"/>
  <c r="L34" i="38"/>
  <c r="I33" i="38"/>
  <c r="J33" i="38"/>
  <c r="L33" i="38"/>
  <c r="I32" i="38"/>
  <c r="J32" i="38"/>
  <c r="L32" i="38"/>
  <c r="I31" i="38"/>
  <c r="J31" i="38"/>
  <c r="L31" i="38"/>
  <c r="J30" i="38"/>
  <c r="L30" i="38"/>
  <c r="I29" i="38"/>
  <c r="J29" i="38"/>
  <c r="L29" i="38"/>
  <c r="I28" i="38"/>
  <c r="J28" i="38"/>
  <c r="L28" i="38"/>
  <c r="I27" i="38"/>
  <c r="J27" i="38"/>
  <c r="L27" i="38"/>
  <c r="I26" i="38"/>
  <c r="J26" i="38"/>
  <c r="L26" i="38"/>
  <c r="I25" i="38"/>
  <c r="J25" i="38"/>
  <c r="L25" i="38"/>
  <c r="I24" i="38"/>
  <c r="J24" i="38"/>
  <c r="L24" i="38"/>
  <c r="I23" i="38"/>
  <c r="J23" i="38"/>
  <c r="L23" i="38"/>
  <c r="I22" i="38"/>
  <c r="J22" i="38"/>
  <c r="L22" i="38"/>
  <c r="I21" i="38"/>
  <c r="J21" i="38"/>
  <c r="L21" i="38"/>
  <c r="I20" i="38"/>
  <c r="J20" i="38"/>
  <c r="L20" i="38"/>
  <c r="I19" i="38"/>
  <c r="J19" i="38"/>
  <c r="L19" i="38"/>
  <c r="I18" i="38"/>
  <c r="J18" i="38"/>
  <c r="L18" i="38"/>
  <c r="I17" i="38"/>
  <c r="J17" i="38"/>
  <c r="L17" i="38"/>
  <c r="I16" i="38"/>
  <c r="J16" i="38"/>
  <c r="L16" i="38"/>
  <c r="I15" i="38"/>
  <c r="J15" i="38"/>
  <c r="L15" i="38"/>
  <c r="I14" i="38"/>
  <c r="J14" i="38"/>
  <c r="L14" i="38"/>
  <c r="I13" i="38"/>
  <c r="J13" i="38"/>
  <c r="L13" i="38"/>
  <c r="I12" i="38"/>
  <c r="J12" i="38"/>
  <c r="L12" i="38"/>
  <c r="I11" i="38"/>
  <c r="J11" i="38"/>
  <c r="L11" i="38"/>
  <c r="I10" i="38"/>
  <c r="J10" i="38"/>
  <c r="L10" i="38"/>
  <c r="I9" i="38"/>
  <c r="J9" i="38"/>
  <c r="L9" i="38"/>
  <c r="I8" i="38"/>
  <c r="J8" i="38"/>
  <c r="L8" i="38"/>
  <c r="I7" i="38"/>
  <c r="J7" i="38"/>
  <c r="L7" i="38"/>
  <c r="I6" i="38"/>
  <c r="J6" i="38"/>
  <c r="L6" i="38"/>
  <c r="I5" i="38"/>
  <c r="J5" i="38"/>
  <c r="L5" i="38"/>
  <c r="I4" i="38"/>
  <c r="J4" i="38"/>
  <c r="L4" i="38"/>
  <c r="I3" i="38"/>
  <c r="J3" i="38"/>
  <c r="L3" i="38"/>
  <c r="I241" i="12"/>
  <c r="J241" i="12"/>
  <c r="L241" i="12"/>
  <c r="I240" i="12"/>
  <c r="J240" i="12"/>
  <c r="L240" i="12"/>
  <c r="I239" i="12"/>
  <c r="J239" i="12"/>
  <c r="L239" i="12"/>
  <c r="I238" i="12"/>
  <c r="J238" i="12"/>
  <c r="L238" i="12"/>
  <c r="I237" i="12"/>
  <c r="J237" i="12"/>
  <c r="L237" i="12"/>
  <c r="I236" i="12"/>
  <c r="J236" i="12"/>
  <c r="L236" i="12"/>
  <c r="I235" i="12"/>
  <c r="J235" i="12"/>
  <c r="L235" i="12"/>
  <c r="E234" i="12"/>
  <c r="I234" i="12"/>
  <c r="J234" i="12"/>
  <c r="L234" i="12"/>
  <c r="E233" i="12"/>
  <c r="I233" i="12"/>
  <c r="J233" i="12"/>
  <c r="L233" i="12"/>
  <c r="E232" i="12"/>
  <c r="I232" i="12"/>
  <c r="J232" i="12"/>
  <c r="L232" i="12"/>
  <c r="I231" i="12"/>
  <c r="J231" i="12"/>
  <c r="L231" i="12"/>
  <c r="I230" i="12"/>
  <c r="J230" i="12"/>
  <c r="L230" i="12"/>
  <c r="K229" i="12"/>
  <c r="I229" i="12"/>
  <c r="J229" i="12"/>
  <c r="L229" i="12"/>
  <c r="I228" i="12"/>
  <c r="J228" i="12"/>
  <c r="L228" i="12"/>
  <c r="I227" i="12"/>
  <c r="J227" i="12"/>
  <c r="L227" i="12"/>
  <c r="I226" i="12"/>
  <c r="J226" i="12"/>
  <c r="L226" i="12"/>
  <c r="I225" i="12"/>
  <c r="J225" i="12"/>
  <c r="L225" i="12"/>
  <c r="I224" i="12"/>
  <c r="J224" i="12"/>
  <c r="L224" i="12"/>
  <c r="I223" i="12"/>
  <c r="J223" i="12"/>
  <c r="L223" i="12"/>
  <c r="I222" i="12"/>
  <c r="J222" i="12"/>
  <c r="L222" i="12"/>
  <c r="E221" i="12"/>
  <c r="I221" i="12"/>
  <c r="J221" i="12"/>
  <c r="L221" i="12"/>
  <c r="E220" i="12"/>
  <c r="I220" i="12"/>
  <c r="J220" i="12"/>
  <c r="L220" i="12"/>
  <c r="E219" i="12"/>
  <c r="I219" i="12"/>
  <c r="J219" i="12"/>
  <c r="L219" i="12"/>
  <c r="I218" i="12"/>
  <c r="J218" i="12"/>
  <c r="L218" i="12"/>
  <c r="I217" i="12"/>
  <c r="J217" i="12"/>
  <c r="L217" i="12"/>
  <c r="I216" i="12"/>
  <c r="J216" i="12"/>
  <c r="L216" i="12"/>
  <c r="I215" i="12"/>
  <c r="J215" i="12"/>
  <c r="L215" i="12"/>
  <c r="I214" i="12"/>
  <c r="J214" i="12"/>
  <c r="L214" i="12"/>
  <c r="I213" i="12"/>
  <c r="J213" i="12"/>
  <c r="L213" i="12"/>
  <c r="I212" i="12"/>
  <c r="J212" i="12"/>
  <c r="L212" i="12"/>
  <c r="I211" i="12"/>
  <c r="J211" i="12"/>
  <c r="L211" i="12"/>
  <c r="I210" i="12"/>
  <c r="J210" i="12"/>
  <c r="L210" i="12"/>
  <c r="I209" i="12"/>
  <c r="J209" i="12"/>
  <c r="L209" i="12"/>
  <c r="I208" i="12"/>
  <c r="J208" i="12"/>
  <c r="L208" i="12"/>
  <c r="I207" i="12"/>
  <c r="J207" i="12"/>
  <c r="L207" i="12"/>
  <c r="I206" i="12"/>
  <c r="J206" i="12"/>
  <c r="L206" i="12"/>
  <c r="E205" i="12"/>
  <c r="I205" i="12"/>
  <c r="J205" i="12"/>
  <c r="L205" i="12"/>
  <c r="I204" i="12"/>
  <c r="J204" i="12"/>
  <c r="L204" i="12"/>
  <c r="E203" i="12"/>
  <c r="I203" i="12"/>
  <c r="J203" i="12"/>
  <c r="L203" i="12"/>
  <c r="E202" i="12"/>
  <c r="I202" i="12"/>
  <c r="J202" i="12"/>
  <c r="L202" i="12"/>
  <c r="E201" i="12"/>
  <c r="I201" i="12"/>
  <c r="J201" i="12"/>
  <c r="L201" i="12"/>
  <c r="I200" i="12"/>
  <c r="J200" i="12"/>
  <c r="L200" i="12"/>
  <c r="I199" i="12"/>
  <c r="J199" i="12"/>
  <c r="L199" i="12"/>
  <c r="E198" i="12"/>
  <c r="I198" i="12"/>
  <c r="J198" i="12"/>
  <c r="L198" i="12"/>
  <c r="E197" i="12"/>
  <c r="I197" i="12"/>
  <c r="J197" i="12"/>
  <c r="L197" i="12"/>
  <c r="E196" i="12"/>
  <c r="I196" i="12"/>
  <c r="J196" i="12"/>
  <c r="L196" i="12"/>
  <c r="E195" i="12"/>
  <c r="I195" i="12"/>
  <c r="J195" i="12"/>
  <c r="L195" i="12"/>
  <c r="J194" i="12"/>
  <c r="L194" i="12"/>
  <c r="E193" i="12"/>
  <c r="I193" i="12"/>
  <c r="J193" i="12"/>
  <c r="L193" i="12"/>
  <c r="E192" i="12"/>
  <c r="I192" i="12"/>
  <c r="J192" i="12"/>
  <c r="L192" i="12"/>
  <c r="I191" i="12"/>
  <c r="J191" i="12"/>
  <c r="L191" i="12"/>
  <c r="E190" i="12"/>
  <c r="I190" i="12"/>
  <c r="J190" i="12"/>
  <c r="L190" i="12"/>
  <c r="I189" i="12"/>
  <c r="J189" i="12"/>
  <c r="L189" i="12"/>
  <c r="I188" i="12"/>
  <c r="J188" i="12"/>
  <c r="L188" i="12"/>
  <c r="I187" i="12"/>
  <c r="J187" i="12"/>
  <c r="L187" i="12"/>
  <c r="I186" i="12"/>
  <c r="J186" i="12"/>
  <c r="L186" i="12"/>
  <c r="I185" i="12"/>
  <c r="J185" i="12"/>
  <c r="L185" i="12"/>
  <c r="I184" i="12"/>
  <c r="J184" i="12"/>
  <c r="L184" i="12"/>
  <c r="E183" i="12"/>
  <c r="I183" i="12"/>
  <c r="J183" i="12"/>
  <c r="L183" i="12"/>
  <c r="E182" i="12"/>
  <c r="I182" i="12"/>
  <c r="J182" i="12"/>
  <c r="L182" i="12"/>
  <c r="E181" i="12"/>
  <c r="I181" i="12"/>
  <c r="J181" i="12"/>
  <c r="L181" i="12"/>
  <c r="E180" i="12"/>
  <c r="I180" i="12"/>
  <c r="J180" i="12"/>
  <c r="L180" i="12"/>
  <c r="E179" i="12"/>
  <c r="I179" i="12"/>
  <c r="J179" i="12"/>
  <c r="L179" i="12"/>
  <c r="E178" i="12"/>
  <c r="I178" i="12"/>
  <c r="J178" i="12"/>
  <c r="L178" i="12"/>
  <c r="E177" i="12"/>
  <c r="I177" i="12"/>
  <c r="J177" i="12"/>
  <c r="L177" i="12"/>
  <c r="E176" i="12"/>
  <c r="I176" i="12"/>
  <c r="J176" i="12"/>
  <c r="L176" i="12"/>
  <c r="E175" i="12"/>
  <c r="I175" i="12"/>
  <c r="J175" i="12"/>
  <c r="L175" i="12"/>
  <c r="I174" i="12"/>
  <c r="J174" i="12"/>
  <c r="L174" i="12"/>
  <c r="E173" i="12"/>
  <c r="I173" i="12"/>
  <c r="J173" i="12"/>
  <c r="L173" i="12"/>
  <c r="E172" i="12"/>
  <c r="I172" i="12"/>
  <c r="J172" i="12"/>
  <c r="L172" i="12"/>
  <c r="E171" i="12"/>
  <c r="I171" i="12"/>
  <c r="J171" i="12"/>
  <c r="L171" i="12"/>
  <c r="E170" i="12"/>
  <c r="I170" i="12"/>
  <c r="J170" i="12"/>
  <c r="L170" i="12"/>
  <c r="E169" i="12"/>
  <c r="I169" i="12"/>
  <c r="J169" i="12"/>
  <c r="L169" i="12"/>
  <c r="I168" i="12"/>
  <c r="J168" i="12"/>
  <c r="L168" i="12"/>
  <c r="I167" i="12"/>
  <c r="J167" i="12"/>
  <c r="L167" i="12"/>
  <c r="E166" i="12"/>
  <c r="I166" i="12"/>
  <c r="J166" i="12"/>
  <c r="L166" i="12"/>
  <c r="I165" i="12"/>
  <c r="J165" i="12"/>
  <c r="L165" i="12"/>
  <c r="I164" i="12"/>
  <c r="J164" i="12"/>
  <c r="L164" i="12"/>
  <c r="E163" i="12"/>
  <c r="I163" i="12"/>
  <c r="J163" i="12"/>
  <c r="L163" i="12"/>
  <c r="I162" i="12"/>
  <c r="J162" i="12"/>
  <c r="L162" i="12"/>
  <c r="I161" i="12"/>
  <c r="J161" i="12"/>
  <c r="L161" i="12"/>
  <c r="E160" i="12"/>
  <c r="I160" i="12"/>
  <c r="J160" i="12"/>
  <c r="L160" i="12"/>
  <c r="I159" i="12"/>
  <c r="J159" i="12"/>
  <c r="L159" i="12"/>
  <c r="I158" i="12"/>
  <c r="J158" i="12"/>
  <c r="L158" i="12"/>
  <c r="I157" i="12"/>
  <c r="J157" i="12"/>
  <c r="L157" i="12"/>
  <c r="I156" i="12"/>
  <c r="J156" i="12"/>
  <c r="L156" i="12"/>
  <c r="I155" i="12"/>
  <c r="J155" i="12"/>
  <c r="L155" i="12"/>
  <c r="I154" i="12"/>
  <c r="J154" i="12"/>
  <c r="L154" i="12"/>
  <c r="I153" i="12"/>
  <c r="J153" i="12"/>
  <c r="L153" i="12"/>
  <c r="I152" i="12"/>
  <c r="J152" i="12"/>
  <c r="L152" i="12"/>
  <c r="I151" i="12"/>
  <c r="J151" i="12"/>
  <c r="L151" i="12"/>
  <c r="I150" i="12"/>
  <c r="J150" i="12"/>
  <c r="L150" i="12"/>
  <c r="I149" i="12"/>
  <c r="J149" i="12"/>
  <c r="L149" i="12"/>
  <c r="I148" i="12"/>
  <c r="J148" i="12"/>
  <c r="L148" i="12"/>
  <c r="I147" i="12"/>
  <c r="J147" i="12"/>
  <c r="L147" i="12"/>
  <c r="I146" i="12"/>
  <c r="J146" i="12"/>
  <c r="L146" i="12"/>
  <c r="I145" i="12"/>
  <c r="J145" i="12"/>
  <c r="L145" i="12"/>
  <c r="I144" i="12"/>
  <c r="J144" i="12"/>
  <c r="L144" i="12"/>
  <c r="I143" i="12"/>
  <c r="J143" i="12"/>
  <c r="L143" i="12"/>
  <c r="I142" i="12"/>
  <c r="J142" i="12"/>
  <c r="L142" i="12"/>
  <c r="I141" i="12"/>
  <c r="J141" i="12"/>
  <c r="L141" i="12"/>
  <c r="I140" i="12"/>
  <c r="J140" i="12"/>
  <c r="L140" i="12"/>
  <c r="I139" i="12"/>
  <c r="J139" i="12"/>
  <c r="L139" i="12"/>
  <c r="I138" i="12"/>
  <c r="J138" i="12"/>
  <c r="L138" i="12"/>
  <c r="I137" i="12"/>
  <c r="J137" i="12"/>
  <c r="L137" i="12"/>
  <c r="E136" i="12"/>
  <c r="I136" i="12"/>
  <c r="J136" i="12"/>
  <c r="L136" i="12"/>
  <c r="I135" i="12"/>
  <c r="J135" i="12"/>
  <c r="L135" i="12"/>
  <c r="I134" i="12"/>
  <c r="J134" i="12"/>
  <c r="L134" i="12"/>
  <c r="I133" i="12"/>
  <c r="J133" i="12"/>
  <c r="L133" i="12"/>
  <c r="I132" i="12"/>
  <c r="J132" i="12"/>
  <c r="L132" i="12"/>
  <c r="E131" i="12"/>
  <c r="I131" i="12"/>
  <c r="J131" i="12"/>
  <c r="L131" i="12"/>
  <c r="E130" i="12"/>
  <c r="I130" i="12"/>
  <c r="J130" i="12"/>
  <c r="L130" i="12"/>
  <c r="I129" i="12"/>
  <c r="J129" i="12"/>
  <c r="L129" i="12"/>
  <c r="I128" i="12"/>
  <c r="J128" i="12"/>
  <c r="L128" i="12"/>
  <c r="I127" i="12"/>
  <c r="J127" i="12"/>
  <c r="L127" i="12"/>
  <c r="I126" i="12"/>
  <c r="J126" i="12"/>
  <c r="L126" i="12"/>
  <c r="I125" i="12"/>
  <c r="J125" i="12"/>
  <c r="L125" i="12"/>
  <c r="I124" i="12"/>
  <c r="J124" i="12"/>
  <c r="L124" i="12"/>
  <c r="I123" i="12"/>
  <c r="J123" i="12"/>
  <c r="L123" i="12"/>
  <c r="I122" i="12"/>
  <c r="J122" i="12"/>
  <c r="L122" i="12"/>
  <c r="I121" i="12"/>
  <c r="J121" i="12"/>
  <c r="L121" i="12"/>
  <c r="I120" i="12"/>
  <c r="J120" i="12"/>
  <c r="L120" i="12"/>
  <c r="I119" i="12"/>
  <c r="J119" i="12"/>
  <c r="L119" i="12"/>
  <c r="I118" i="12"/>
  <c r="J118" i="12"/>
  <c r="L118" i="12"/>
  <c r="I117" i="12"/>
  <c r="J117" i="12"/>
  <c r="L117" i="12"/>
  <c r="I116" i="12"/>
  <c r="J116" i="12"/>
  <c r="L116" i="12"/>
  <c r="I115" i="12"/>
  <c r="J115" i="12"/>
  <c r="L115" i="12"/>
  <c r="I114" i="12"/>
  <c r="J114" i="12"/>
  <c r="L114" i="12"/>
  <c r="I113" i="12"/>
  <c r="J113" i="12"/>
  <c r="L113" i="12"/>
  <c r="I112" i="12"/>
  <c r="J112" i="12"/>
  <c r="L112" i="12"/>
  <c r="I111" i="12"/>
  <c r="J111" i="12"/>
  <c r="L111" i="12"/>
  <c r="I110" i="12"/>
  <c r="J110" i="12"/>
  <c r="L110" i="12"/>
  <c r="I109" i="12"/>
  <c r="J109" i="12"/>
  <c r="L109" i="12"/>
  <c r="I108" i="12"/>
  <c r="J108" i="12"/>
  <c r="L108" i="12"/>
  <c r="E107" i="12"/>
  <c r="I107" i="12"/>
  <c r="J107" i="12"/>
  <c r="L107" i="12"/>
  <c r="E106" i="12"/>
  <c r="I106" i="12"/>
  <c r="J106" i="12"/>
  <c r="L106" i="12"/>
  <c r="E105" i="12"/>
  <c r="I105" i="12"/>
  <c r="J105" i="12"/>
  <c r="L105" i="12"/>
  <c r="E104" i="12"/>
  <c r="I104" i="12"/>
  <c r="J104" i="12"/>
  <c r="L104" i="12"/>
  <c r="I103" i="12"/>
  <c r="J103" i="12"/>
  <c r="L103" i="12"/>
  <c r="I102" i="12"/>
  <c r="J102" i="12"/>
  <c r="L102" i="12"/>
  <c r="E101" i="12"/>
  <c r="I101" i="12"/>
  <c r="J101" i="12"/>
  <c r="L101" i="12"/>
  <c r="I100" i="12"/>
  <c r="J100" i="12"/>
  <c r="L100" i="12"/>
  <c r="E99" i="12"/>
  <c r="I99" i="12"/>
  <c r="J99" i="12"/>
  <c r="L99" i="12"/>
  <c r="I98" i="12"/>
  <c r="J98" i="12"/>
  <c r="L98" i="12"/>
  <c r="I97" i="12"/>
  <c r="J97" i="12"/>
  <c r="L97" i="12"/>
  <c r="I96" i="12"/>
  <c r="J96" i="12"/>
  <c r="L96" i="12"/>
  <c r="I95" i="12"/>
  <c r="J95" i="12"/>
  <c r="L95" i="12"/>
  <c r="I94" i="12"/>
  <c r="J94" i="12"/>
  <c r="L94" i="12"/>
  <c r="I93" i="12"/>
  <c r="J93" i="12"/>
  <c r="L93" i="12"/>
  <c r="I92" i="12"/>
  <c r="J92" i="12"/>
  <c r="L92" i="12"/>
  <c r="I91" i="12"/>
  <c r="J91" i="12"/>
  <c r="L91" i="12"/>
  <c r="I90" i="12"/>
  <c r="J90" i="12"/>
  <c r="L90" i="12"/>
  <c r="I89" i="12"/>
  <c r="J89" i="12"/>
  <c r="L89" i="12"/>
  <c r="I88" i="12"/>
  <c r="J88" i="12"/>
  <c r="L88" i="12"/>
  <c r="I87" i="12"/>
  <c r="J87" i="12"/>
  <c r="L87" i="12"/>
  <c r="I86" i="12"/>
  <c r="J86" i="12"/>
  <c r="L86" i="12"/>
  <c r="I85" i="12"/>
  <c r="J85" i="12"/>
  <c r="L85" i="12"/>
  <c r="I84" i="12"/>
  <c r="J84" i="12"/>
  <c r="L84" i="12"/>
  <c r="I83" i="12"/>
  <c r="J83" i="12"/>
  <c r="L83" i="12"/>
  <c r="I82" i="12"/>
  <c r="J82" i="12"/>
  <c r="L82" i="12"/>
  <c r="I81" i="12"/>
  <c r="J81" i="12"/>
  <c r="L81" i="12"/>
  <c r="I80" i="12"/>
  <c r="J80" i="12"/>
  <c r="L80" i="12"/>
  <c r="I79" i="12"/>
  <c r="J79" i="12"/>
  <c r="L79" i="12"/>
  <c r="I78" i="12"/>
  <c r="J78" i="12"/>
  <c r="L78" i="12"/>
  <c r="I77" i="12"/>
  <c r="J77" i="12"/>
  <c r="L77" i="12"/>
  <c r="I76" i="12"/>
  <c r="J76" i="12"/>
  <c r="L76" i="12"/>
  <c r="I75" i="12"/>
  <c r="J75" i="12"/>
  <c r="L75" i="12"/>
  <c r="E74" i="12"/>
  <c r="I74" i="12"/>
  <c r="J74" i="12"/>
  <c r="L74" i="12"/>
  <c r="I73" i="12"/>
  <c r="J73" i="12"/>
  <c r="L73" i="12"/>
  <c r="I72" i="12"/>
  <c r="J72" i="12"/>
  <c r="L72" i="12"/>
  <c r="I71" i="12"/>
  <c r="J71" i="12"/>
  <c r="L71" i="12"/>
  <c r="I70" i="12"/>
  <c r="J70" i="12"/>
  <c r="L70" i="12"/>
  <c r="I69" i="12"/>
  <c r="J69" i="12"/>
  <c r="L69" i="12"/>
  <c r="I68" i="12"/>
  <c r="J68" i="12"/>
  <c r="L68" i="12"/>
  <c r="I67" i="12"/>
  <c r="J67" i="12"/>
  <c r="L67" i="12"/>
  <c r="I66" i="12"/>
  <c r="J66" i="12"/>
  <c r="L66" i="12"/>
  <c r="I65" i="12"/>
  <c r="J65" i="12"/>
  <c r="L65" i="12"/>
  <c r="I64" i="12"/>
  <c r="J64" i="12"/>
  <c r="L64" i="12"/>
  <c r="E63" i="12"/>
  <c r="I63" i="12"/>
  <c r="J63" i="12"/>
  <c r="L63" i="12"/>
  <c r="E62" i="12"/>
  <c r="I62" i="12"/>
  <c r="J62" i="12"/>
  <c r="L62" i="12"/>
  <c r="I61" i="12"/>
  <c r="J61" i="12"/>
  <c r="L61" i="12"/>
  <c r="I60" i="12"/>
  <c r="J60" i="12"/>
  <c r="L60" i="12"/>
  <c r="E59" i="12"/>
  <c r="I59" i="12"/>
  <c r="J59" i="12"/>
  <c r="L59" i="12"/>
  <c r="I58" i="12"/>
  <c r="J58" i="12"/>
  <c r="L58" i="12"/>
  <c r="I57" i="12"/>
  <c r="J57" i="12"/>
  <c r="L57" i="12"/>
  <c r="I56" i="12"/>
  <c r="J56" i="12"/>
  <c r="L56" i="12"/>
  <c r="I55" i="12"/>
  <c r="J55" i="12"/>
  <c r="L55" i="12"/>
  <c r="I54" i="12"/>
  <c r="J54" i="12"/>
  <c r="L54" i="12"/>
  <c r="I53" i="12"/>
  <c r="J53" i="12"/>
  <c r="L53" i="12"/>
  <c r="I52" i="12"/>
  <c r="J52" i="12"/>
  <c r="L52" i="12"/>
  <c r="I51" i="12"/>
  <c r="J51" i="12"/>
  <c r="L51" i="12"/>
  <c r="J50" i="12"/>
  <c r="L50" i="12"/>
  <c r="E49" i="12"/>
  <c r="I49" i="12"/>
  <c r="J49" i="12"/>
  <c r="L49" i="12"/>
  <c r="E48" i="12"/>
  <c r="I48" i="12"/>
  <c r="J48" i="12"/>
  <c r="L48" i="12"/>
  <c r="I47" i="12"/>
  <c r="J47" i="12"/>
  <c r="L47" i="12"/>
  <c r="I46" i="12"/>
  <c r="J46" i="12"/>
  <c r="L46" i="12"/>
  <c r="I45" i="12"/>
  <c r="J45" i="12"/>
  <c r="L45" i="12"/>
  <c r="I44" i="12"/>
  <c r="J44" i="12"/>
  <c r="L44" i="12"/>
  <c r="I43" i="12"/>
  <c r="J43" i="12"/>
  <c r="L43" i="12"/>
  <c r="E42" i="12"/>
  <c r="I42" i="12"/>
  <c r="J42" i="12"/>
  <c r="L42" i="12"/>
  <c r="I41" i="12"/>
  <c r="J41" i="12"/>
  <c r="L41" i="12"/>
  <c r="E40" i="12"/>
  <c r="I40" i="12"/>
  <c r="J40" i="12"/>
  <c r="L40" i="12"/>
  <c r="E39" i="12"/>
  <c r="I39" i="12"/>
  <c r="J39" i="12"/>
  <c r="L39" i="12"/>
  <c r="I38" i="12"/>
  <c r="J38" i="12"/>
  <c r="L38" i="12"/>
  <c r="E37" i="12"/>
  <c r="I37" i="12"/>
  <c r="J37" i="12"/>
  <c r="L37" i="12"/>
  <c r="E36" i="12"/>
  <c r="I36" i="12"/>
  <c r="J36" i="12"/>
  <c r="L36" i="12"/>
  <c r="E35" i="12"/>
  <c r="I35" i="12"/>
  <c r="J35" i="12"/>
  <c r="L35" i="12"/>
  <c r="E34" i="12"/>
  <c r="I34" i="12"/>
  <c r="J34" i="12"/>
  <c r="L34" i="12"/>
  <c r="I33" i="12"/>
  <c r="J33" i="12"/>
  <c r="L33" i="12"/>
  <c r="E32" i="12"/>
  <c r="I32" i="12"/>
  <c r="J32" i="12"/>
  <c r="L32" i="12"/>
  <c r="J31" i="12"/>
  <c r="L31" i="12"/>
  <c r="I30" i="12"/>
  <c r="J30" i="12"/>
  <c r="L30" i="12"/>
  <c r="I29" i="12"/>
  <c r="J29" i="12"/>
  <c r="L29" i="12"/>
  <c r="I28" i="12"/>
  <c r="J28" i="12"/>
  <c r="L28" i="12"/>
  <c r="E27" i="12"/>
  <c r="I27" i="12"/>
  <c r="J27" i="12"/>
  <c r="L27" i="12"/>
  <c r="E26" i="12"/>
  <c r="I26" i="12"/>
  <c r="J26" i="12"/>
  <c r="L26" i="12"/>
  <c r="E25" i="12"/>
  <c r="I25" i="12"/>
  <c r="J25" i="12"/>
  <c r="L25" i="12"/>
  <c r="E24" i="12"/>
  <c r="I24" i="12"/>
  <c r="J24" i="12"/>
  <c r="L24" i="12"/>
  <c r="E23" i="12"/>
  <c r="I23" i="12"/>
  <c r="J23" i="12"/>
  <c r="L23" i="12"/>
  <c r="E22" i="12"/>
  <c r="I22" i="12"/>
  <c r="J22" i="12"/>
  <c r="L22" i="12"/>
  <c r="E21" i="12"/>
  <c r="I21" i="12"/>
  <c r="J21" i="12"/>
  <c r="L21" i="12"/>
  <c r="E20" i="12"/>
  <c r="I20" i="12"/>
  <c r="J20" i="12"/>
  <c r="L20" i="12"/>
  <c r="E19" i="12"/>
  <c r="I19" i="12"/>
  <c r="J19" i="12"/>
  <c r="L19" i="12"/>
  <c r="E18" i="12"/>
  <c r="I18" i="12"/>
  <c r="J18" i="12"/>
  <c r="L18" i="12"/>
  <c r="E17" i="12"/>
  <c r="I17" i="12"/>
  <c r="J17" i="12"/>
  <c r="L17" i="12"/>
  <c r="E16" i="12"/>
  <c r="I16" i="12"/>
  <c r="J16" i="12"/>
  <c r="L16" i="12"/>
  <c r="E15" i="12"/>
  <c r="I15" i="12"/>
  <c r="J15" i="12"/>
  <c r="L15" i="12"/>
  <c r="E14" i="12"/>
  <c r="I14" i="12"/>
  <c r="J14" i="12"/>
  <c r="L14" i="12"/>
  <c r="I13" i="12"/>
  <c r="J13" i="12"/>
  <c r="L13" i="12"/>
  <c r="I12" i="12"/>
  <c r="J12" i="12"/>
  <c r="L12" i="12"/>
  <c r="I11" i="12"/>
  <c r="J11" i="12"/>
  <c r="L11" i="12"/>
  <c r="I10" i="12"/>
  <c r="J10" i="12"/>
  <c r="L10" i="12"/>
  <c r="I9" i="12"/>
  <c r="J9" i="12"/>
  <c r="L9" i="12"/>
  <c r="I8" i="12"/>
  <c r="J8" i="12"/>
  <c r="L8" i="12"/>
  <c r="I7" i="12"/>
  <c r="J7" i="12"/>
  <c r="L7" i="12"/>
  <c r="I6" i="12"/>
  <c r="J6" i="12"/>
  <c r="L6" i="12"/>
  <c r="I5" i="12"/>
  <c r="J5" i="12"/>
  <c r="L5" i="12"/>
  <c r="I4" i="12"/>
  <c r="J4" i="12"/>
  <c r="L4" i="12"/>
  <c r="I3" i="12"/>
  <c r="J3" i="12"/>
  <c r="L3" i="12"/>
  <c r="I245" i="37"/>
  <c r="J245" i="37"/>
  <c r="L245" i="37"/>
  <c r="I244" i="37"/>
  <c r="J244" i="37"/>
  <c r="L244" i="37"/>
  <c r="I243" i="37"/>
  <c r="J243" i="37"/>
  <c r="L243" i="37"/>
  <c r="I242" i="37"/>
  <c r="J242" i="37"/>
  <c r="L242" i="37"/>
  <c r="I241" i="37"/>
  <c r="J241" i="37"/>
  <c r="L241" i="37"/>
  <c r="I240" i="37"/>
  <c r="J240" i="37"/>
  <c r="L240" i="37"/>
  <c r="E239" i="37"/>
  <c r="I239" i="37"/>
  <c r="J239" i="37"/>
  <c r="L239" i="37"/>
  <c r="I238" i="37"/>
  <c r="J238" i="37"/>
  <c r="L238" i="37"/>
  <c r="E237" i="37"/>
  <c r="I237" i="37"/>
  <c r="J237" i="37"/>
  <c r="L237" i="37"/>
  <c r="I236" i="37"/>
  <c r="J236" i="37"/>
  <c r="L236" i="37"/>
  <c r="I235" i="37"/>
  <c r="J235" i="37"/>
  <c r="L235" i="37"/>
  <c r="I234" i="37"/>
  <c r="J234" i="37"/>
  <c r="L234" i="37"/>
  <c r="I233" i="37"/>
  <c r="J233" i="37"/>
  <c r="L233" i="37"/>
  <c r="I232" i="37"/>
  <c r="J232" i="37"/>
  <c r="L232" i="37"/>
  <c r="I231" i="37"/>
  <c r="J231" i="37"/>
  <c r="L231" i="37"/>
  <c r="I230" i="37"/>
  <c r="J230" i="37"/>
  <c r="L230" i="37"/>
  <c r="I229" i="37"/>
  <c r="J229" i="37"/>
  <c r="L229" i="37"/>
  <c r="I228" i="37"/>
  <c r="J228" i="37"/>
  <c r="K228" i="37"/>
  <c r="L228" i="37"/>
  <c r="I227" i="37"/>
  <c r="J227" i="37"/>
  <c r="K227" i="37"/>
  <c r="L227" i="37"/>
  <c r="E226" i="37"/>
  <c r="I226" i="37"/>
  <c r="J226" i="37"/>
  <c r="L226" i="37"/>
  <c r="E225" i="37"/>
  <c r="I225" i="37"/>
  <c r="J225" i="37"/>
  <c r="L225" i="37"/>
  <c r="E224" i="37"/>
  <c r="I224" i="37"/>
  <c r="J224" i="37"/>
  <c r="L224" i="37"/>
  <c r="E223" i="37"/>
  <c r="I223" i="37"/>
  <c r="J223" i="37"/>
  <c r="L223" i="37"/>
  <c r="E222" i="37"/>
  <c r="I222" i="37"/>
  <c r="J222" i="37"/>
  <c r="L222" i="37"/>
  <c r="E221" i="37"/>
  <c r="I221" i="37"/>
  <c r="J221" i="37"/>
  <c r="L221" i="37"/>
  <c r="I220" i="37"/>
  <c r="J220" i="37"/>
  <c r="L220" i="37"/>
  <c r="I219" i="37"/>
  <c r="J219" i="37"/>
  <c r="L219" i="37"/>
  <c r="I218" i="37"/>
  <c r="J218" i="37"/>
  <c r="L218" i="37"/>
  <c r="I217" i="37"/>
  <c r="J217" i="37"/>
  <c r="L217" i="37"/>
  <c r="I216" i="37"/>
  <c r="J216" i="37"/>
  <c r="L216" i="37"/>
  <c r="I215" i="37"/>
  <c r="J215" i="37"/>
  <c r="L215" i="37"/>
  <c r="I214" i="37"/>
  <c r="J214" i="37"/>
  <c r="L214" i="37"/>
  <c r="I213" i="37"/>
  <c r="J213" i="37"/>
  <c r="L213" i="37"/>
  <c r="I212" i="37"/>
  <c r="J212" i="37"/>
  <c r="L212" i="37"/>
  <c r="I211" i="37"/>
  <c r="J211" i="37"/>
  <c r="L211" i="37"/>
  <c r="I210" i="37"/>
  <c r="J210" i="37"/>
  <c r="L210" i="37"/>
  <c r="I209" i="37"/>
  <c r="J209" i="37"/>
  <c r="L209" i="37"/>
  <c r="I208" i="37"/>
  <c r="J208" i="37"/>
  <c r="L208" i="37"/>
  <c r="I207" i="37"/>
  <c r="J207" i="37"/>
  <c r="L207" i="37"/>
  <c r="J206" i="37"/>
  <c r="L206" i="37"/>
  <c r="I205" i="37"/>
  <c r="J205" i="37"/>
  <c r="L205" i="37"/>
  <c r="I204" i="37"/>
  <c r="J204" i="37"/>
  <c r="L204" i="37"/>
  <c r="E203" i="37"/>
  <c r="I203" i="37"/>
  <c r="J203" i="37"/>
  <c r="L203" i="37"/>
  <c r="I202" i="37"/>
  <c r="J202" i="37"/>
  <c r="L202" i="37"/>
  <c r="E201" i="37"/>
  <c r="I201" i="37"/>
  <c r="J201" i="37"/>
  <c r="L201" i="37"/>
  <c r="I200" i="37"/>
  <c r="J200" i="37"/>
  <c r="L200" i="37"/>
  <c r="I199" i="37"/>
  <c r="J199" i="37"/>
  <c r="L199" i="37"/>
  <c r="E198" i="37"/>
  <c r="I198" i="37"/>
  <c r="J198" i="37"/>
  <c r="L198" i="37"/>
  <c r="I197" i="37"/>
  <c r="J197" i="37"/>
  <c r="L197" i="37"/>
  <c r="I196" i="37"/>
  <c r="J196" i="37"/>
  <c r="L196" i="37"/>
  <c r="I195" i="37"/>
  <c r="J195" i="37"/>
  <c r="L195" i="37"/>
  <c r="I194" i="37"/>
  <c r="J194" i="37"/>
  <c r="L194" i="37"/>
  <c r="I193" i="37"/>
  <c r="J193" i="37"/>
  <c r="L193" i="37"/>
  <c r="E192" i="37"/>
  <c r="I192" i="37"/>
  <c r="J192" i="37"/>
  <c r="L192" i="37"/>
  <c r="E191" i="37"/>
  <c r="I191" i="37"/>
  <c r="J191" i="37"/>
  <c r="L191" i="37"/>
  <c r="E190" i="37"/>
  <c r="I190" i="37"/>
  <c r="J190" i="37"/>
  <c r="L190" i="37"/>
  <c r="E189" i="37"/>
  <c r="I189" i="37"/>
  <c r="J189" i="37"/>
  <c r="L189" i="37"/>
  <c r="E188" i="37"/>
  <c r="I188" i="37"/>
  <c r="J188" i="37"/>
  <c r="L188" i="37"/>
  <c r="E187" i="37"/>
  <c r="I187" i="37"/>
  <c r="J187" i="37"/>
  <c r="L187" i="37"/>
  <c r="E186" i="37"/>
  <c r="I186" i="37"/>
  <c r="J186" i="37"/>
  <c r="L186" i="37"/>
  <c r="E185" i="37"/>
  <c r="I185" i="37"/>
  <c r="J185" i="37"/>
  <c r="L185" i="37"/>
  <c r="E184" i="37"/>
  <c r="I184" i="37"/>
  <c r="J184" i="37"/>
  <c r="L184" i="37"/>
  <c r="E183" i="37"/>
  <c r="I183" i="37"/>
  <c r="J183" i="37"/>
  <c r="L183" i="37"/>
  <c r="E182" i="37"/>
  <c r="I182" i="37"/>
  <c r="J182" i="37"/>
  <c r="L182" i="37"/>
  <c r="E181" i="37"/>
  <c r="I181" i="37"/>
  <c r="J181" i="37"/>
  <c r="L181" i="37"/>
  <c r="E180" i="37"/>
  <c r="I180" i="37"/>
  <c r="J180" i="37"/>
  <c r="L180" i="37"/>
  <c r="E179" i="37"/>
  <c r="I179" i="37"/>
  <c r="J179" i="37"/>
  <c r="L179" i="37"/>
  <c r="E178" i="37"/>
  <c r="I178" i="37"/>
  <c r="J178" i="37"/>
  <c r="L178" i="37"/>
  <c r="E177" i="37"/>
  <c r="I177" i="37"/>
  <c r="J177" i="37"/>
  <c r="L177" i="37"/>
  <c r="E176" i="37"/>
  <c r="I176" i="37"/>
  <c r="J176" i="37"/>
  <c r="L176" i="37"/>
  <c r="I175" i="37"/>
  <c r="J175" i="37"/>
  <c r="L175" i="37"/>
  <c r="I174" i="37"/>
  <c r="J174" i="37"/>
  <c r="L174" i="37"/>
  <c r="I173" i="37"/>
  <c r="J173" i="37"/>
  <c r="L173" i="37"/>
  <c r="I172" i="37"/>
  <c r="J172" i="37"/>
  <c r="L172" i="37"/>
  <c r="E171" i="37"/>
  <c r="I171" i="37"/>
  <c r="J171" i="37"/>
  <c r="L171" i="37"/>
  <c r="I170" i="37"/>
  <c r="J170" i="37"/>
  <c r="L170" i="37"/>
  <c r="I169" i="37"/>
  <c r="J169" i="37"/>
  <c r="L169" i="37"/>
  <c r="I168" i="37"/>
  <c r="J168" i="37"/>
  <c r="L168" i="37"/>
  <c r="I167" i="37"/>
  <c r="J167" i="37"/>
  <c r="L167" i="37"/>
  <c r="I166" i="37"/>
  <c r="J166" i="37"/>
  <c r="L166" i="37"/>
  <c r="I165" i="37"/>
  <c r="J165" i="37"/>
  <c r="L165" i="37"/>
  <c r="I164" i="37"/>
  <c r="J164" i="37"/>
  <c r="L164" i="37"/>
  <c r="I163" i="37"/>
  <c r="J163" i="37"/>
  <c r="L163" i="37"/>
  <c r="I162" i="37"/>
  <c r="J162" i="37"/>
  <c r="L162" i="37"/>
  <c r="I161" i="37"/>
  <c r="J161" i="37"/>
  <c r="L161" i="37"/>
  <c r="I160" i="37"/>
  <c r="J160" i="37"/>
  <c r="L160" i="37"/>
  <c r="I159" i="37"/>
  <c r="J159" i="37"/>
  <c r="L159" i="37"/>
  <c r="I158" i="37"/>
  <c r="J158" i="37"/>
  <c r="L158" i="37"/>
  <c r="I157" i="37"/>
  <c r="J157" i="37"/>
  <c r="L157" i="37"/>
  <c r="I156" i="37"/>
  <c r="J156" i="37"/>
  <c r="L156" i="37"/>
  <c r="I155" i="37"/>
  <c r="J155" i="37"/>
  <c r="L155" i="37"/>
  <c r="I154" i="37"/>
  <c r="J154" i="37"/>
  <c r="L154" i="37"/>
  <c r="I153" i="37"/>
  <c r="J153" i="37"/>
  <c r="L153" i="37"/>
  <c r="I152" i="37"/>
  <c r="J152" i="37"/>
  <c r="L152" i="37"/>
  <c r="I151" i="37"/>
  <c r="J151" i="37"/>
  <c r="L151" i="37"/>
  <c r="I150" i="37"/>
  <c r="J150" i="37"/>
  <c r="L150" i="37"/>
  <c r="I149" i="37"/>
  <c r="J149" i="37"/>
  <c r="L149" i="37"/>
  <c r="I148" i="37"/>
  <c r="J148" i="37"/>
  <c r="L148" i="37"/>
  <c r="I147" i="37"/>
  <c r="J147" i="37"/>
  <c r="L147" i="37"/>
  <c r="I146" i="37"/>
  <c r="J146" i="37"/>
  <c r="L146" i="37"/>
  <c r="I145" i="37"/>
  <c r="J145" i="37"/>
  <c r="L145" i="37"/>
  <c r="I144" i="37"/>
  <c r="J144" i="37"/>
  <c r="L144" i="37"/>
  <c r="I143" i="37"/>
  <c r="J143" i="37"/>
  <c r="L143" i="37"/>
  <c r="I142" i="37"/>
  <c r="J142" i="37"/>
  <c r="L142" i="37"/>
  <c r="I141" i="37"/>
  <c r="J141" i="37"/>
  <c r="L141" i="37"/>
  <c r="E140" i="37"/>
  <c r="I140" i="37"/>
  <c r="J140" i="37"/>
  <c r="L140" i="37"/>
  <c r="I139" i="37"/>
  <c r="J139" i="37"/>
  <c r="L139" i="37"/>
  <c r="I138" i="37"/>
  <c r="J138" i="37"/>
  <c r="L138" i="37"/>
  <c r="I137" i="37"/>
  <c r="J137" i="37"/>
  <c r="L137" i="37"/>
  <c r="E136" i="37"/>
  <c r="I136" i="37"/>
  <c r="J136" i="37"/>
  <c r="L136" i="37"/>
  <c r="I135" i="37"/>
  <c r="J135" i="37"/>
  <c r="L135" i="37"/>
  <c r="E134" i="37"/>
  <c r="I134" i="37"/>
  <c r="J134" i="37"/>
  <c r="L134" i="37"/>
  <c r="E133" i="37"/>
  <c r="I133" i="37"/>
  <c r="J133" i="37"/>
  <c r="L133" i="37"/>
  <c r="I132" i="37"/>
  <c r="J132" i="37"/>
  <c r="L132" i="37"/>
  <c r="I131" i="37"/>
  <c r="J131" i="37"/>
  <c r="L131" i="37"/>
  <c r="I130" i="37"/>
  <c r="J130" i="37"/>
  <c r="L130" i="37"/>
  <c r="I129" i="37"/>
  <c r="J129" i="37"/>
  <c r="L129" i="37"/>
  <c r="I128" i="37"/>
  <c r="J128" i="37"/>
  <c r="L128" i="37"/>
  <c r="I127" i="37"/>
  <c r="J127" i="37"/>
  <c r="L127" i="37"/>
  <c r="I126" i="37"/>
  <c r="J126" i="37"/>
  <c r="L126" i="37"/>
  <c r="I125" i="37"/>
  <c r="J125" i="37"/>
  <c r="L125" i="37"/>
  <c r="I124" i="37"/>
  <c r="J124" i="37"/>
  <c r="L124" i="37"/>
  <c r="I123" i="37"/>
  <c r="J123" i="37"/>
  <c r="L123" i="37"/>
  <c r="I122" i="37"/>
  <c r="J122" i="37"/>
  <c r="L122" i="37"/>
  <c r="I121" i="37"/>
  <c r="J121" i="37"/>
  <c r="L121" i="37"/>
  <c r="I120" i="37"/>
  <c r="J120" i="37"/>
  <c r="L120" i="37"/>
  <c r="I119" i="37"/>
  <c r="J119" i="37"/>
  <c r="L119" i="37"/>
  <c r="I118" i="37"/>
  <c r="J118" i="37"/>
  <c r="L118" i="37"/>
  <c r="E117" i="37"/>
  <c r="I117" i="37"/>
  <c r="J117" i="37"/>
  <c r="L117" i="37"/>
  <c r="E116" i="37"/>
  <c r="I116" i="37"/>
  <c r="J116" i="37"/>
  <c r="L116" i="37"/>
  <c r="E115" i="37"/>
  <c r="I115" i="37"/>
  <c r="J115" i="37"/>
  <c r="L115" i="37"/>
  <c r="I114" i="37"/>
  <c r="J114" i="37"/>
  <c r="L114" i="37"/>
  <c r="I113" i="37"/>
  <c r="J113" i="37"/>
  <c r="L113" i="37"/>
  <c r="I112" i="37"/>
  <c r="J112" i="37"/>
  <c r="L112" i="37"/>
  <c r="E111" i="37"/>
  <c r="I111" i="37"/>
  <c r="J111" i="37"/>
  <c r="L111" i="37"/>
  <c r="E110" i="37"/>
  <c r="I110" i="37"/>
  <c r="J110" i="37"/>
  <c r="L110" i="37"/>
  <c r="I109" i="37"/>
  <c r="J109" i="37"/>
  <c r="L109" i="37"/>
  <c r="E108" i="37"/>
  <c r="I108" i="37"/>
  <c r="J108" i="37"/>
  <c r="L108" i="37"/>
  <c r="E107" i="37"/>
  <c r="I107" i="37"/>
  <c r="J107" i="37"/>
  <c r="L107" i="37"/>
  <c r="I106" i="37"/>
  <c r="J106" i="37"/>
  <c r="L106" i="37"/>
  <c r="E105" i="37"/>
  <c r="I105" i="37"/>
  <c r="J105" i="37"/>
  <c r="L105" i="37"/>
  <c r="I104" i="37"/>
  <c r="J104" i="37"/>
  <c r="L104" i="37"/>
  <c r="I103" i="37"/>
  <c r="J103" i="37"/>
  <c r="L103" i="37"/>
  <c r="I102" i="37"/>
  <c r="J102" i="37"/>
  <c r="L102" i="37"/>
  <c r="E101" i="37"/>
  <c r="I101" i="37"/>
  <c r="J101" i="37"/>
  <c r="L101" i="37"/>
  <c r="I100" i="37"/>
  <c r="J100" i="37"/>
  <c r="L100" i="37"/>
  <c r="E99" i="37"/>
  <c r="I99" i="37"/>
  <c r="J99" i="37"/>
  <c r="L99" i="37"/>
  <c r="E98" i="37"/>
  <c r="I98" i="37"/>
  <c r="J98" i="37"/>
  <c r="L98" i="37"/>
  <c r="I97" i="37"/>
  <c r="J97" i="37"/>
  <c r="L97" i="37"/>
  <c r="E96" i="37"/>
  <c r="I96" i="37"/>
  <c r="J96" i="37"/>
  <c r="L96" i="37"/>
  <c r="I95" i="37"/>
  <c r="J95" i="37"/>
  <c r="L95" i="37"/>
  <c r="I94" i="37"/>
  <c r="J94" i="37"/>
  <c r="L94" i="37"/>
  <c r="I93" i="37"/>
  <c r="J93" i="37"/>
  <c r="L93" i="37"/>
  <c r="I92" i="37"/>
  <c r="J92" i="37"/>
  <c r="L92" i="37"/>
  <c r="I91" i="37"/>
  <c r="J91" i="37"/>
  <c r="L91" i="37"/>
  <c r="I90" i="37"/>
  <c r="J90" i="37"/>
  <c r="L90" i="37"/>
  <c r="I89" i="37"/>
  <c r="J89" i="37"/>
  <c r="L89" i="37"/>
  <c r="I88" i="37"/>
  <c r="J88" i="37"/>
  <c r="L88" i="37"/>
  <c r="I87" i="37"/>
  <c r="J87" i="37"/>
  <c r="L87" i="37"/>
  <c r="I86" i="37"/>
  <c r="J86" i="37"/>
  <c r="L86" i="37"/>
  <c r="I85" i="37"/>
  <c r="J85" i="37"/>
  <c r="L85" i="37"/>
  <c r="I84" i="37"/>
  <c r="J84" i="37"/>
  <c r="L84" i="37"/>
  <c r="I83" i="37"/>
  <c r="J83" i="37"/>
  <c r="L83" i="37"/>
  <c r="E82" i="37"/>
  <c r="I82" i="37"/>
  <c r="J82" i="37"/>
  <c r="L82" i="37"/>
  <c r="I81" i="37"/>
  <c r="J81" i="37"/>
  <c r="L81" i="37"/>
  <c r="I80" i="37"/>
  <c r="J80" i="37"/>
  <c r="L80" i="37"/>
  <c r="E79" i="37"/>
  <c r="I79" i="37"/>
  <c r="J79" i="37"/>
  <c r="L79" i="37"/>
  <c r="E78" i="37"/>
  <c r="I78" i="37"/>
  <c r="J78" i="37"/>
  <c r="L78" i="37"/>
  <c r="I77" i="37"/>
  <c r="J77" i="37"/>
  <c r="L77" i="37"/>
  <c r="I76" i="37"/>
  <c r="J76" i="37"/>
  <c r="L76" i="37"/>
  <c r="E75" i="37"/>
  <c r="I75" i="37"/>
  <c r="J75" i="37"/>
  <c r="L75" i="37"/>
  <c r="I74" i="37"/>
  <c r="J74" i="37"/>
  <c r="L74" i="37"/>
  <c r="I73" i="37"/>
  <c r="J73" i="37"/>
  <c r="L73" i="37"/>
  <c r="I72" i="37"/>
  <c r="J72" i="37"/>
  <c r="L72" i="37"/>
  <c r="I71" i="37"/>
  <c r="J71" i="37"/>
  <c r="L71" i="37"/>
  <c r="I70" i="37"/>
  <c r="J70" i="37"/>
  <c r="L70" i="37"/>
  <c r="I69" i="37"/>
  <c r="J69" i="37"/>
  <c r="L69" i="37"/>
  <c r="I68" i="37"/>
  <c r="J68" i="37"/>
  <c r="L68" i="37"/>
  <c r="I67" i="37"/>
  <c r="J67" i="37"/>
  <c r="L67" i="37"/>
  <c r="I66" i="37"/>
  <c r="J66" i="37"/>
  <c r="L66" i="37"/>
  <c r="I65" i="37"/>
  <c r="J65" i="37"/>
  <c r="L65" i="37"/>
  <c r="I64" i="37"/>
  <c r="J64" i="37"/>
  <c r="L64" i="37"/>
  <c r="I63" i="37"/>
  <c r="J63" i="37"/>
  <c r="L63" i="37"/>
  <c r="I62" i="37"/>
  <c r="J62" i="37"/>
  <c r="L62" i="37"/>
  <c r="I61" i="37"/>
  <c r="J61" i="37"/>
  <c r="L61" i="37"/>
  <c r="I60" i="37"/>
  <c r="J60" i="37"/>
  <c r="L60" i="37"/>
  <c r="I59" i="37"/>
  <c r="J59" i="37"/>
  <c r="L59" i="37"/>
  <c r="I58" i="37"/>
  <c r="J58" i="37"/>
  <c r="L58" i="37"/>
  <c r="E57" i="37"/>
  <c r="I57" i="37"/>
  <c r="J57" i="37"/>
  <c r="L57" i="37"/>
  <c r="E56" i="37"/>
  <c r="I56" i="37"/>
  <c r="J56" i="37"/>
  <c r="L56" i="37"/>
  <c r="E55" i="37"/>
  <c r="I55" i="37"/>
  <c r="J55" i="37"/>
  <c r="L55" i="37"/>
  <c r="I54" i="37"/>
  <c r="J54" i="37"/>
  <c r="L54" i="37"/>
  <c r="I53" i="37"/>
  <c r="J53" i="37"/>
  <c r="L53" i="37"/>
  <c r="I52" i="37"/>
  <c r="J52" i="37"/>
  <c r="L52" i="37"/>
  <c r="I51" i="37"/>
  <c r="J51" i="37"/>
  <c r="L51" i="37"/>
  <c r="E50" i="37"/>
  <c r="I50" i="37"/>
  <c r="J50" i="37"/>
  <c r="L50" i="37"/>
  <c r="I49" i="37"/>
  <c r="J49" i="37"/>
  <c r="L49" i="37"/>
  <c r="I48" i="37"/>
  <c r="J48" i="37"/>
  <c r="L48" i="37"/>
  <c r="I47" i="37"/>
  <c r="J47" i="37"/>
  <c r="L47" i="37"/>
  <c r="I46" i="37"/>
  <c r="J46" i="37"/>
  <c r="L46" i="37"/>
  <c r="I45" i="37"/>
  <c r="J45" i="37"/>
  <c r="L45" i="37"/>
  <c r="I44" i="37"/>
  <c r="J44" i="37"/>
  <c r="L44" i="37"/>
  <c r="I43" i="37"/>
  <c r="J43" i="37"/>
  <c r="L43" i="37"/>
  <c r="I42" i="37"/>
  <c r="J42" i="37"/>
  <c r="L42" i="37"/>
  <c r="I41" i="37"/>
  <c r="J41" i="37"/>
  <c r="L41" i="37"/>
  <c r="I40" i="37"/>
  <c r="J40" i="37"/>
  <c r="L40" i="37"/>
  <c r="I39" i="37"/>
  <c r="J39" i="37"/>
  <c r="L39" i="37"/>
  <c r="I38" i="37"/>
  <c r="J38" i="37"/>
  <c r="L38" i="37"/>
  <c r="J37" i="37"/>
  <c r="L37" i="37"/>
  <c r="I36" i="37"/>
  <c r="J36" i="37"/>
  <c r="L36" i="37"/>
  <c r="I35" i="37"/>
  <c r="J35" i="37"/>
  <c r="L35" i="37"/>
  <c r="I34" i="37"/>
  <c r="J34" i="37"/>
  <c r="L34" i="37"/>
  <c r="I33" i="37"/>
  <c r="J33" i="37"/>
  <c r="L33" i="37"/>
  <c r="J32" i="37"/>
  <c r="L32" i="37"/>
  <c r="I31" i="37"/>
  <c r="J31" i="37"/>
  <c r="L31" i="37"/>
  <c r="I30" i="37"/>
  <c r="J30" i="37"/>
  <c r="L30" i="37"/>
  <c r="I29" i="37"/>
  <c r="J29" i="37"/>
  <c r="L29" i="37"/>
  <c r="I28" i="37"/>
  <c r="J28" i="37"/>
  <c r="L28" i="37"/>
  <c r="I27" i="37"/>
  <c r="J27" i="37"/>
  <c r="L27" i="37"/>
  <c r="I26" i="37"/>
  <c r="J26" i="37"/>
  <c r="L26" i="37"/>
  <c r="I25" i="37"/>
  <c r="J25" i="37"/>
  <c r="L25" i="37"/>
  <c r="I24" i="37"/>
  <c r="J24" i="37"/>
  <c r="L24" i="37"/>
  <c r="I23" i="37"/>
  <c r="J23" i="37"/>
  <c r="L23" i="37"/>
  <c r="I22" i="37"/>
  <c r="J22" i="37"/>
  <c r="L22" i="37"/>
  <c r="I21" i="37"/>
  <c r="J21" i="37"/>
  <c r="L21" i="37"/>
  <c r="J20" i="37"/>
  <c r="L20" i="37"/>
  <c r="I19" i="37"/>
  <c r="J19" i="37"/>
  <c r="L19" i="37"/>
  <c r="I18" i="37"/>
  <c r="J18" i="37"/>
  <c r="L18" i="37"/>
  <c r="I17" i="37"/>
  <c r="J17" i="37"/>
  <c r="L17" i="37"/>
  <c r="I16" i="37"/>
  <c r="J16" i="37"/>
  <c r="L16" i="37"/>
  <c r="I15" i="37"/>
  <c r="J15" i="37"/>
  <c r="L15" i="37"/>
  <c r="I14" i="37"/>
  <c r="J14" i="37"/>
  <c r="L14" i="37"/>
  <c r="I13" i="37"/>
  <c r="J13" i="37"/>
  <c r="L13" i="37"/>
  <c r="I12" i="37"/>
  <c r="J12" i="37"/>
  <c r="L12" i="37"/>
  <c r="I11" i="37"/>
  <c r="J11" i="37"/>
  <c r="L11" i="37"/>
  <c r="I10" i="37"/>
  <c r="J10" i="37"/>
  <c r="L10" i="37"/>
  <c r="I9" i="37"/>
  <c r="J9" i="37"/>
  <c r="L9" i="37"/>
  <c r="I8" i="37"/>
  <c r="J8" i="37"/>
  <c r="L8" i="37"/>
  <c r="I7" i="37"/>
  <c r="J7" i="37"/>
  <c r="L7" i="37"/>
  <c r="I6" i="37"/>
  <c r="J6" i="37"/>
  <c r="L6" i="37"/>
  <c r="I5" i="37"/>
  <c r="J5" i="37"/>
  <c r="L5" i="37"/>
  <c r="I4" i="37"/>
  <c r="J4" i="37"/>
  <c r="L4" i="37"/>
  <c r="I3" i="37"/>
  <c r="J3" i="37"/>
  <c r="L3" i="37"/>
  <c r="I246" i="37"/>
  <c r="J246" i="37"/>
  <c r="L246" i="37"/>
  <c r="I242" i="38"/>
  <c r="J242" i="38"/>
  <c r="L242" i="38"/>
  <c r="L243" i="38"/>
  <c r="L245" i="38"/>
  <c r="L247" i="37"/>
  <c r="L256" i="37"/>
  <c r="L258" i="37"/>
  <c r="L260" i="37"/>
  <c r="L262" i="37"/>
  <c r="I254" i="37"/>
  <c r="I252" i="37"/>
  <c r="I255" i="37"/>
  <c r="L249" i="37"/>
  <c r="L251" i="37"/>
  <c r="L253" i="37"/>
  <c r="M166" i="37"/>
  <c r="I242" i="12"/>
  <c r="J242" i="12"/>
  <c r="L242" i="12"/>
  <c r="L243" i="12"/>
  <c r="L245" i="12"/>
</calcChain>
</file>

<file path=xl/sharedStrings.xml><?xml version="1.0" encoding="utf-8"?>
<sst xmlns="http://schemas.openxmlformats.org/spreadsheetml/2006/main" count="28395" uniqueCount="1193">
  <si>
    <t>Invoice Date</t>
  </si>
  <si>
    <t>Supplier/Distributor</t>
  </si>
  <si>
    <t>QTY</t>
  </si>
  <si>
    <t>Pounds</t>
  </si>
  <si>
    <t>Menu items</t>
  </si>
  <si>
    <t>Weight (lb)</t>
  </si>
  <si>
    <t>Weight (kg)</t>
  </si>
  <si>
    <t>GWP (kg CO2-eq/kg)</t>
  </si>
  <si>
    <t>GHGE (kg CO2-eq)</t>
  </si>
  <si>
    <t>White Oak Pastures</t>
  </si>
  <si>
    <t>beef</t>
  </si>
  <si>
    <t>beef ground</t>
  </si>
  <si>
    <t>beef patties</t>
  </si>
  <si>
    <t>Savannah River Farms</t>
  </si>
  <si>
    <t>cured bacon ends and pieces</t>
  </si>
  <si>
    <t>pork</t>
  </si>
  <si>
    <t>pork belly</t>
  </si>
  <si>
    <t>italian bulk</t>
  </si>
  <si>
    <t>chorizo bulk</t>
  </si>
  <si>
    <t>bacon</t>
  </si>
  <si>
    <t>sausage patties</t>
  </si>
  <si>
    <t>pork chops</t>
  </si>
  <si>
    <t>Common Market</t>
  </si>
  <si>
    <t>green cabbage</t>
  </si>
  <si>
    <t>sweet potatoes</t>
  </si>
  <si>
    <t>ginger gold apples</t>
  </si>
  <si>
    <t>gala apples</t>
  </si>
  <si>
    <t>River view Farms</t>
  </si>
  <si>
    <t>grits</t>
  </si>
  <si>
    <t>cornmeal</t>
  </si>
  <si>
    <t>Georgia Halal Meat (Emory)</t>
  </si>
  <si>
    <t>chicken breast</t>
  </si>
  <si>
    <t>lamb K</t>
  </si>
  <si>
    <t>beef K</t>
  </si>
  <si>
    <t>beef bots.</t>
  </si>
  <si>
    <t>lamb bots.</t>
  </si>
  <si>
    <t>chicken breast (says 1 box and 1 box = 40lbs)</t>
  </si>
  <si>
    <t>beef keewia</t>
  </si>
  <si>
    <t>Mayfield Dairy</t>
  </si>
  <si>
    <t>5gl homo disp</t>
  </si>
  <si>
    <t>5gl 2%</t>
  </si>
  <si>
    <t>5 glskim</t>
  </si>
  <si>
    <t>5 gl true moo</t>
  </si>
  <si>
    <t>1qt dp h and h</t>
  </si>
  <si>
    <t>1qt dp mg oldsty</t>
  </si>
  <si>
    <t>1gl buttermilk</t>
  </si>
  <si>
    <t>5gl skim</t>
  </si>
  <si>
    <t>5gl true moo choc</t>
  </si>
  <si>
    <t>Royal</t>
  </si>
  <si>
    <t>Oranges</t>
  </si>
  <si>
    <t>Inland Seafood--Springer Mountain</t>
  </si>
  <si>
    <t>chicken breast filet</t>
  </si>
  <si>
    <t>chicken breast chunk</t>
  </si>
  <si>
    <t>chicken boneless thigh</t>
  </si>
  <si>
    <t>chicken bone-in thigh</t>
  </si>
  <si>
    <t>oranges</t>
  </si>
  <si>
    <t>parsley italian</t>
  </si>
  <si>
    <t>snow peas</t>
  </si>
  <si>
    <t>green large pepper</t>
  </si>
  <si>
    <t>red pepper</t>
  </si>
  <si>
    <t>pineapple crownless</t>
  </si>
  <si>
    <t>russet potato</t>
  </si>
  <si>
    <t>red potato</t>
  </si>
  <si>
    <t>yukon gold potato</t>
  </si>
  <si>
    <t>brussel sprouts</t>
  </si>
  <si>
    <t>shredded carrots</t>
  </si>
  <si>
    <t>cauliflower florets</t>
  </si>
  <si>
    <t>chopped kale</t>
  </si>
  <si>
    <t>onion diced</t>
  </si>
  <si>
    <t>green diced pepper</t>
  </si>
  <si>
    <t>tomato diced</t>
  </si>
  <si>
    <t>romaine hearts</t>
  </si>
  <si>
    <t>shallots peeled</t>
  </si>
  <si>
    <t>spinach washed</t>
  </si>
  <si>
    <t>strawberry clamshell</t>
  </si>
  <si>
    <t>tofu firm</t>
  </si>
  <si>
    <t xml:space="preserve">tomato </t>
  </si>
  <si>
    <t>tomato grape red</t>
  </si>
  <si>
    <t>lemon grass</t>
  </si>
  <si>
    <t>root ginger</t>
  </si>
  <si>
    <t>asparagus</t>
  </si>
  <si>
    <t>bananas</t>
  </si>
  <si>
    <t>edamame beans</t>
  </si>
  <si>
    <t>green tip beans</t>
  </si>
  <si>
    <t>blackberry</t>
  </si>
  <si>
    <t>blueberry</t>
  </si>
  <si>
    <t>brocolli</t>
  </si>
  <si>
    <t>carrot</t>
  </si>
  <si>
    <t>cilantro</t>
  </si>
  <si>
    <t>cucumber</t>
  </si>
  <si>
    <t>eggplant</t>
  </si>
  <si>
    <t>chinese garlic</t>
  </si>
  <si>
    <t>red grape</t>
  </si>
  <si>
    <t xml:space="preserve">basil </t>
  </si>
  <si>
    <t>chives</t>
  </si>
  <si>
    <t>dill</t>
  </si>
  <si>
    <t>oregano</t>
  </si>
  <si>
    <t>rosemary</t>
  </si>
  <si>
    <t>thyme</t>
  </si>
  <si>
    <t>yellow squash</t>
  </si>
  <si>
    <t>zucchini squash</t>
  </si>
  <si>
    <t>lime juice</t>
  </si>
  <si>
    <t>cantaloupe</t>
  </si>
  <si>
    <t>honeydew</t>
  </si>
  <si>
    <t>button mushroom</t>
  </si>
  <si>
    <t>portobello mushroom</t>
  </si>
  <si>
    <t>sliced thick mushroom</t>
  </si>
  <si>
    <t>green onion</t>
  </si>
  <si>
    <t>red jumbo onion</t>
  </si>
  <si>
    <t>yello jumbo onion</t>
  </si>
  <si>
    <t>48 heads romaine hearts</t>
  </si>
  <si>
    <t>4lb spinach</t>
  </si>
  <si>
    <t>8lb strawberry clamshell</t>
  </si>
  <si>
    <t xml:space="preserve">10lb snap pea </t>
  </si>
  <si>
    <t>10lb red tomato</t>
  </si>
  <si>
    <t>138 ct red apple</t>
  </si>
  <si>
    <t>40lb bananas</t>
  </si>
  <si>
    <t>12ct blackberry clamshell</t>
  </si>
  <si>
    <t>12ct blueberry clamshell</t>
  </si>
  <si>
    <t>4lb broccoli</t>
  </si>
  <si>
    <t>30ct cilantro</t>
  </si>
  <si>
    <t>4gl garlic</t>
  </si>
  <si>
    <t>12qt lemon juice</t>
  </si>
  <si>
    <t>10lb mushroom</t>
  </si>
  <si>
    <t>50lb yellow onion</t>
  </si>
  <si>
    <t>30ct parsley</t>
  </si>
  <si>
    <t>10/9 green pepper</t>
  </si>
  <si>
    <t>10/9 red pepper</t>
  </si>
  <si>
    <t>10ct crownless pineapple</t>
  </si>
  <si>
    <t>50lb potato</t>
  </si>
  <si>
    <t>50lb potato yukon</t>
  </si>
  <si>
    <t>4lb cauliflower</t>
  </si>
  <si>
    <t>113 ct oranges</t>
  </si>
  <si>
    <t>12 ct shiss chard</t>
  </si>
  <si>
    <t>10/9 bushel cucumber</t>
  </si>
  <si>
    <t>10/9 bushel eggplant</t>
  </si>
  <si>
    <t xml:space="preserve"> yellow squash</t>
  </si>
  <si>
    <t>lbs</t>
  </si>
  <si>
    <t>lbs per gallon</t>
  </si>
  <si>
    <t>Grams to lbs</t>
  </si>
  <si>
    <t>Number of gallons</t>
  </si>
  <si>
    <t>Density (g/cm3)</t>
  </si>
  <si>
    <t>cm3 to gallon conversion</t>
  </si>
  <si>
    <t xml:space="preserve"> zucchini squash</t>
  </si>
  <si>
    <t>lbs per quart</t>
  </si>
  <si>
    <t>Number of quarts</t>
  </si>
  <si>
    <t>cm3 to quart conversion</t>
  </si>
  <si>
    <t>10lb snow peas</t>
  </si>
  <si>
    <t>10/9 bushel green pepper</t>
  </si>
  <si>
    <t>10/9 bushel red pepper</t>
  </si>
  <si>
    <t>50lb red potato</t>
  </si>
  <si>
    <t>5gl tofu</t>
  </si>
  <si>
    <t>23lb tomato</t>
  </si>
  <si>
    <t>10lb tomato grape red</t>
  </si>
  <si>
    <t>10lb tomato</t>
  </si>
  <si>
    <t>20lb edamame</t>
  </si>
  <si>
    <t>18lb red grape</t>
  </si>
  <si>
    <t>12ct leeks</t>
  </si>
  <si>
    <t>38lb limes</t>
  </si>
  <si>
    <t>4dz bags onion</t>
  </si>
  <si>
    <t>40lb sweet potato</t>
  </si>
  <si>
    <t>3/4 bushel yellow squash</t>
  </si>
  <si>
    <t>1/2 bushel zucchini squash</t>
  </si>
  <si>
    <t>celery</t>
  </si>
  <si>
    <t>mozzarella cheese</t>
  </si>
  <si>
    <t>mushroom portabella</t>
  </si>
  <si>
    <t>crownless pineapple</t>
  </si>
  <si>
    <t>mushroom thick</t>
  </si>
  <si>
    <t>green pepper</t>
  </si>
  <si>
    <t xml:space="preserve">pineapple </t>
  </si>
  <si>
    <t>mushroom button</t>
  </si>
  <si>
    <t>October 2018 Week 1 (September 28 to October 4)</t>
  </si>
  <si>
    <t xml:space="preserve">QTY </t>
  </si>
  <si>
    <t>Pounds (Royal)</t>
  </si>
  <si>
    <t>ground beef</t>
  </si>
  <si>
    <t>Georgia Halal Meat</t>
  </si>
  <si>
    <t>lamb k</t>
  </si>
  <si>
    <t>beef k</t>
  </si>
  <si>
    <t>lamb bot</t>
  </si>
  <si>
    <t>boneless butt</t>
  </si>
  <si>
    <t>golden delicious apples</t>
  </si>
  <si>
    <t>1qt h and h</t>
  </si>
  <si>
    <t>1qt mg oldsty</t>
  </si>
  <si>
    <t>cheese mozzarella</t>
  </si>
  <si>
    <t>basil</t>
  </si>
  <si>
    <t>lemon juice</t>
  </si>
  <si>
    <t>green lettuce</t>
  </si>
  <si>
    <t>mushroom sliced</t>
  </si>
  <si>
    <t>onion yellow</t>
  </si>
  <si>
    <t>yellow onion</t>
  </si>
  <si>
    <t>strawberry puree</t>
  </si>
  <si>
    <t>cumin</t>
  </si>
  <si>
    <t xml:space="preserve">strawbery </t>
  </si>
  <si>
    <t>tofu</t>
  </si>
  <si>
    <t>tomato</t>
  </si>
  <si>
    <t>tomato red grape</t>
  </si>
  <si>
    <t>Inland Seafood (Springer Mtn)</t>
  </si>
  <si>
    <t>chicken wings</t>
  </si>
  <si>
    <t>veal knuckle</t>
  </si>
  <si>
    <t>chicken thighs</t>
  </si>
  <si>
    <t>chicken bone-in thighs</t>
  </si>
  <si>
    <t>Inland Seafood</t>
  </si>
  <si>
    <t>avocado</t>
  </si>
  <si>
    <t>red beets</t>
  </si>
  <si>
    <t>broccoli</t>
  </si>
  <si>
    <t>garlic</t>
  </si>
  <si>
    <t>basil herbs</t>
  </si>
  <si>
    <t>oregano herbs</t>
  </si>
  <si>
    <t>rosemary herbs</t>
  </si>
  <si>
    <t>thyme herbs</t>
  </si>
  <si>
    <t>mushroom portobello</t>
  </si>
  <si>
    <t>red onion</t>
  </si>
  <si>
    <t>potato yukon gold</t>
  </si>
  <si>
    <t>collards</t>
  </si>
  <si>
    <t xml:space="preserve">strawberry </t>
  </si>
  <si>
    <t>ginger</t>
  </si>
  <si>
    <t>shallots</t>
  </si>
  <si>
    <t>fingerling potato</t>
  </si>
  <si>
    <t>pepper</t>
  </si>
  <si>
    <t>carrot stick</t>
  </si>
  <si>
    <t>cauliflower</t>
  </si>
  <si>
    <t>celery sticks</t>
  </si>
  <si>
    <t>onion yellow diced</t>
  </si>
  <si>
    <t>onion yellow sliced</t>
  </si>
  <si>
    <t>carrots + red cabbage slaw</t>
  </si>
  <si>
    <t>tomato sliced</t>
  </si>
  <si>
    <t>blackfish seasoning</t>
  </si>
  <si>
    <t>thyme herb</t>
  </si>
  <si>
    <t>pear</t>
  </si>
  <si>
    <t>pear red</t>
  </si>
  <si>
    <t>baby arugula</t>
  </si>
  <si>
    <t>green swiss chard</t>
  </si>
  <si>
    <t>red swiss chard</t>
  </si>
  <si>
    <t>mushroom</t>
  </si>
  <si>
    <t>italian parsley</t>
  </si>
  <si>
    <t>butternut squash</t>
  </si>
  <si>
    <t>green beans</t>
  </si>
  <si>
    <t>bok choy</t>
  </si>
  <si>
    <t>cabbage green</t>
  </si>
  <si>
    <t>greek yogurt</t>
  </si>
  <si>
    <t>dill herbs</t>
  </si>
  <si>
    <t>rosemary hrbs</t>
  </si>
  <si>
    <t>squash yellow</t>
  </si>
  <si>
    <t>squash zucchini</t>
  </si>
  <si>
    <t>potato yukon</t>
  </si>
  <si>
    <t>brussels sprouts</t>
  </si>
  <si>
    <t>carrot shred</t>
  </si>
  <si>
    <t>paprika spice</t>
  </si>
  <si>
    <t>strawberry</t>
  </si>
  <si>
    <t>Bananas #4 Color</t>
  </si>
  <si>
    <t>Beans Edamame (No Shell)</t>
  </si>
  <si>
    <t xml:space="preserve">Beans Green </t>
  </si>
  <si>
    <t>Blackberry</t>
  </si>
  <si>
    <t xml:space="preserve">Broccoli </t>
  </si>
  <si>
    <t xml:space="preserve">Cucumber </t>
  </si>
  <si>
    <t xml:space="preserve">Eggplant </t>
  </si>
  <si>
    <t xml:space="preserve">Grape </t>
  </si>
  <si>
    <t xml:space="preserve">Lettuce </t>
  </si>
  <si>
    <t xml:space="preserve">Cantaloupe </t>
  </si>
  <si>
    <t xml:space="preserve">Honeydew </t>
  </si>
  <si>
    <t xml:space="preserve">Mushroom </t>
  </si>
  <si>
    <t xml:space="preserve">Onion  Green </t>
  </si>
  <si>
    <t xml:space="preserve">Onion  Red  </t>
  </si>
  <si>
    <t xml:space="preserve">Onion  Yellow </t>
  </si>
  <si>
    <t xml:space="preserve">Pear </t>
  </si>
  <si>
    <t xml:space="preserve">Pepper  Green </t>
  </si>
  <si>
    <t xml:space="preserve">Pepper  </t>
  </si>
  <si>
    <t xml:space="preserve">Pineapple Crownless </t>
  </si>
  <si>
    <t xml:space="preserve">Potato   Red </t>
  </si>
  <si>
    <t>Pr Carrot Shred</t>
  </si>
  <si>
    <t xml:space="preserve">Pr Cauliflower </t>
  </si>
  <si>
    <t xml:space="preserve">Pr Collards </t>
  </si>
  <si>
    <t xml:space="preserve">Pr Onion Yel </t>
  </si>
  <si>
    <t xml:space="preserve">Pr Tomato Diced </t>
  </si>
  <si>
    <t xml:space="preserve">Romaine Hearts </t>
  </si>
  <si>
    <t>Squash  Yellow</t>
  </si>
  <si>
    <t xml:space="preserve">Squash  Zucchini </t>
  </si>
  <si>
    <t xml:space="preserve">Strawberry </t>
  </si>
  <si>
    <t>Tofu Firm 5 Gal</t>
  </si>
  <si>
    <t>November Week 1 2018: October 26 to November 1 (P2 Week 1)</t>
  </si>
  <si>
    <t>Packs (Sysco)</t>
  </si>
  <si>
    <t xml:space="preserve">Pounds </t>
  </si>
  <si>
    <t xml:space="preserve">leg of lamb </t>
  </si>
  <si>
    <t>White Oak</t>
  </si>
  <si>
    <t>granny smith apples</t>
  </si>
  <si>
    <t>zesty italian links</t>
  </si>
  <si>
    <t>boneless pork loin</t>
  </si>
  <si>
    <t>pork shoulder</t>
  </si>
  <si>
    <t>bratwurst links</t>
  </si>
  <si>
    <t>fuji apples</t>
  </si>
  <si>
    <t>winesap apples</t>
  </si>
  <si>
    <t>Café Campesino</t>
  </si>
  <si>
    <t>coffee medium blend</t>
  </si>
  <si>
    <t xml:space="preserve">cofee decaf </t>
  </si>
  <si>
    <t>1qt heavy whipping cream</t>
  </si>
  <si>
    <t>chicken boneless thighs</t>
  </si>
  <si>
    <t>chicken cut wings</t>
  </si>
  <si>
    <t>Beans Green Tip</t>
  </si>
  <si>
    <t>Broccoli Florets</t>
  </si>
  <si>
    <t>Carrot</t>
  </si>
  <si>
    <t>Cilantro</t>
  </si>
  <si>
    <t>Cucumber LOCAL</t>
  </si>
  <si>
    <t>Eggplant   Choice LOCAL</t>
  </si>
  <si>
    <t>Garlic   Peeled Choice (U.S. GROWN)</t>
  </si>
  <si>
    <t>Grape   Red</t>
  </si>
  <si>
    <t>Herbs Basil</t>
  </si>
  <si>
    <t>Herbs Mint 1/4#</t>
  </si>
  <si>
    <t>Herbs Oregano</t>
  </si>
  <si>
    <t>Herbs Rosemary</t>
  </si>
  <si>
    <t>Herbs Thyme</t>
  </si>
  <si>
    <t>Lettuce Green Leaf Filet</t>
  </si>
  <si>
    <t>Melon   Cantaloupe  9 Ct</t>
  </si>
  <si>
    <t>Melon   Honeydew 8ct</t>
  </si>
  <si>
    <t>Mushroom</t>
  </si>
  <si>
    <t>Onion   Green Iceless</t>
  </si>
  <si>
    <t>Onion   Yellow Jumbo</t>
  </si>
  <si>
    <t>Parsley  Italian</t>
  </si>
  <si>
    <t>Pear 100-120 Ct</t>
  </si>
  <si>
    <t>Peas  Green Frozen</t>
  </si>
  <si>
    <t>Peas  Snow</t>
  </si>
  <si>
    <t>Pepper   Green  Large LOCAL</t>
  </si>
  <si>
    <t>Pepper   Red</t>
  </si>
  <si>
    <t>Pr Carrot Stick</t>
  </si>
  <si>
    <t>Pr Cauliflower Florets FB</t>
  </si>
  <si>
    <t>Pr Celery Sticks 4/5#</t>
  </si>
  <si>
    <t>Pr Collards Cleaned-Chopped</t>
  </si>
  <si>
    <t>Pr Onion  Yel  Diced 1/4"</t>
  </si>
  <si>
    <t>Pr Pepper  Green Diced 1/4"</t>
  </si>
  <si>
    <t>Pr Tomato Diced 1/4" TY LOCAL</t>
  </si>
  <si>
    <t>Romaine  Hearts  (FB)</t>
  </si>
  <si>
    <t>Spinach Washed  Flatleaf</t>
  </si>
  <si>
    <t>Squash   Yellow  #2 LOCAL</t>
  </si>
  <si>
    <t>Squash   Zucchini  Medium LOCAL</t>
  </si>
  <si>
    <t>Strawberry Clamshell (DAR)</t>
  </si>
  <si>
    <t>Tomato</t>
  </si>
  <si>
    <t>Tomato   Grape Red Bulk LOCAL</t>
  </si>
  <si>
    <t>Juice Lemon Qt 12/1</t>
  </si>
  <si>
    <t>Asparagus   Standard</t>
  </si>
  <si>
    <t>Cabbage Green Box</t>
  </si>
  <si>
    <t>Chard Red Swiss</t>
  </si>
  <si>
    <t>Onion   Red</t>
  </si>
  <si>
    <t>Pineapple Crownless 8-11ct</t>
  </si>
  <si>
    <t>Potato    Red  A</t>
  </si>
  <si>
    <t>Potato</t>
  </si>
  <si>
    <t>Pr Collards Cleaned-Chopped LOCAL</t>
  </si>
  <si>
    <t>Romaine  Hearts</t>
  </si>
  <si>
    <t>Chard Rainbow Swiss</t>
  </si>
  <si>
    <t>Beans Green Tip LOCAL</t>
  </si>
  <si>
    <t>IDP Cucumber 1 1/9 Bushel LOCAL</t>
  </si>
  <si>
    <t>IDP Squash Yellow LOCAL</t>
  </si>
  <si>
    <t>Potato    Sweet Jumbo LOCAL</t>
  </si>
  <si>
    <t>Pr Cauliflower Florets</t>
  </si>
  <si>
    <t>Celery</t>
  </si>
  <si>
    <t>Honey Bears Wildflw 24/12oz Georgia</t>
  </si>
  <si>
    <t>Cheese Mozzarella Fine Shred</t>
  </si>
  <si>
    <t>Pr Brussels Sprouts Halved</t>
  </si>
  <si>
    <t>Pr Kale Chopped &amp; Cleaned NL LOCAL</t>
  </si>
  <si>
    <t>S-Caribbean Jerk Seas 20oz 8294</t>
  </si>
  <si>
    <t>Sugar Snap</t>
  </si>
  <si>
    <t>broccoli Florets</t>
  </si>
  <si>
    <t>yelloq squash</t>
  </si>
  <si>
    <t>Beets Red</t>
  </si>
  <si>
    <t>Eggplant  Choice LOCAL</t>
  </si>
  <si>
    <t>Garlic  Peeled Choice (U.S. GROWN)</t>
  </si>
  <si>
    <t>Grape  Red</t>
  </si>
  <si>
    <t>IQF Peaches Sliced</t>
  </si>
  <si>
    <t>Melon  Cantaloupe</t>
  </si>
  <si>
    <t>Melon  Honeydew 8ct</t>
  </si>
  <si>
    <t>Mushroom   Sliced Thick 5# LOCAL</t>
  </si>
  <si>
    <t>Onion  Red   Jumbo</t>
  </si>
  <si>
    <t>Onion  Yellow Jumbo</t>
  </si>
  <si>
    <t>Peas Snow</t>
  </si>
  <si>
    <t>Pepper  Green Large LOCAL</t>
  </si>
  <si>
    <t>Pepper  Red</t>
  </si>
  <si>
    <t>Pineapple Crownless 8-110</t>
  </si>
  <si>
    <t>cinammon</t>
  </si>
  <si>
    <t>curry masala</t>
  </si>
  <si>
    <t>strawberry Clamshell (DAR)</t>
  </si>
  <si>
    <t>tofu Firm 5 Gal</t>
  </si>
  <si>
    <t>kimchi</t>
  </si>
  <si>
    <t>CREAM SOUR SEL 13%</t>
  </si>
  <si>
    <t>EGG LIQ WHL CAGE FREE W/CITRIC</t>
  </si>
  <si>
    <t>BUTTER SOLID UNSLTD USDA AA</t>
  </si>
  <si>
    <t>YOGURT PLAIN GREEK BAG OIKOS</t>
  </si>
  <si>
    <t>YOGURT VANILLA GRK BAG OIKOS</t>
  </si>
  <si>
    <t>EGG WHITE CAGE FREE LIQ</t>
  </si>
  <si>
    <t>EGG SHELL CG FR LG HFAC GR A</t>
  </si>
  <si>
    <t>CHEESE CREAM ORIG LOAF</t>
  </si>
  <si>
    <t>CHEESE GOAT FRCH PLAIN LOG</t>
  </si>
  <si>
    <t>CHEESE COTTAGE SMALL CURD 4%</t>
  </si>
  <si>
    <t>CHEESE AMER YEL 160 SLI</t>
  </si>
  <si>
    <t>CHEESE CHDR MILD FTHR SHRD</t>
  </si>
  <si>
    <t>CHEESE MOZZ FTHR SHRD PART SKM</t>
  </si>
  <si>
    <t>CHEESE PARM GRATED PURE</t>
  </si>
  <si>
    <t>CHEESE RICOTTA WHL MLK CLS</t>
  </si>
  <si>
    <t>HAM CAPICOLA BUTT HOT</t>
  </si>
  <si>
    <t>HAM PIT BNLS CKD</t>
  </si>
  <si>
    <t>BEEF EYE OF RND HALAL IAP</t>
  </si>
  <si>
    <t>PEPPERONI SLI CHRPRF 15-17 CT</t>
  </si>
  <si>
    <t>SALMON LOIN PAC 4 OZ IQF</t>
  </si>
  <si>
    <t>TURKEY BRST SMKD SKLS PREM</t>
  </si>
  <si>
    <t>SAUSAGE CHICKEN BRK LINK</t>
  </si>
  <si>
    <t>BACON TURKEY LAYFLT</t>
  </si>
  <si>
    <t>POTATO TATER PUFF</t>
  </si>
  <si>
    <t>POTATO H/BRN IQF LOOSE SHRED</t>
  </si>
  <si>
    <t>PEA GREEN GR A P</t>
  </si>
  <si>
    <t>POTATO FRY STEAK HSE</t>
  </si>
  <si>
    <t>12 CT</t>
  </si>
  <si>
    <t>TORTILLA FLOUR PRESSED 6 IN</t>
  </si>
  <si>
    <t>DOUGH BISCUIT SOUTHERN STY MIN</t>
  </si>
  <si>
    <t>BREAD FOCACCIA QTR SHEET</t>
  </si>
  <si>
    <t>CORN WHL KERNEL</t>
  </si>
  <si>
    <t>POTATO CHIP NAT FRY 1/8</t>
  </si>
  <si>
    <t>BANANA PLANTAIN SLI SWEET</t>
  </si>
  <si>
    <t>WRAP TORTILLA TOMATO BASIL 12</t>
  </si>
  <si>
    <t>WRAP TORTILLA SPINACH HERB 12</t>
  </si>
  <si>
    <t>POTATO SWEET THIN REG CUT 5/16</t>
  </si>
  <si>
    <t>BURGER BLK BEAN SPCY</t>
  </si>
  <si>
    <t>NOODLE LO MEIN</t>
  </si>
  <si>
    <t>POTATO FRY 3/8 COLSSL CRISP</t>
  </si>
  <si>
    <t>BEAN BLACK LOW SODIUM</t>
  </si>
  <si>
    <t>GRAIN SPECIALTY BULGUR WHEAT</t>
  </si>
  <si>
    <t>50 CT</t>
  </si>
  <si>
    <t>COCOA MIX INDIV</t>
  </si>
  <si>
    <t>RICE PARBOILED</t>
  </si>
  <si>
    <t>SUGAR BROWN LIGHT CANE</t>
  </si>
  <si>
    <t>BARLEY PEARLED</t>
  </si>
  <si>
    <t>TUNA CHUNK SKIP JACK FAD FREE</t>
  </si>
  <si>
    <t>COUSCOUS INTL</t>
  </si>
  <si>
    <t>RICE JASMINE</t>
  </si>
  <si>
    <t>CRACKER SALTINE ZESTA</t>
  </si>
  <si>
    <t>FLOUR HI-GLUTEN ALL TRUMP</t>
  </si>
  <si>
    <t>TOMATO CRUSHED ALL PURP FCY CA</t>
  </si>
  <si>
    <t>CORN STARCH</t>
  </si>
  <si>
    <t>SUGAR GRANULATED XFN</t>
  </si>
  <si>
    <t>SYRUP PANCAKE &amp;  WAFFLE</t>
  </si>
  <si>
    <t>CEREAL FROSTED FLAKES</t>
  </si>
  <si>
    <t>BEAN GREAT NORTHERN DRIED</t>
  </si>
  <si>
    <t>JELLY GRAPE</t>
  </si>
  <si>
    <t>MIX PANCAKE BTRMLK COMPLT</t>
  </si>
  <si>
    <t>BEAN KIDNEY LIGHT RED</t>
  </si>
  <si>
    <t>OIL CANOLA PURE ZTF</t>
  </si>
  <si>
    <t>CRACKER OYSTER DOTS</t>
  </si>
  <si>
    <t>SUGAR GRANULATED XFINE CANE</t>
  </si>
  <si>
    <t>CEREAL HOT OAT KETTLE HEARTY</t>
  </si>
  <si>
    <t>OLIVE RIPE SLICED</t>
  </si>
  <si>
    <t>FLOUR H&amp; R ALL PURP ENRICH BLCH</t>
  </si>
  <si>
    <t>ARTICHOKE HEART QTR 100-140</t>
  </si>
  <si>
    <t>PEPPER CHIPOTLE IN ADOBO SAUCE</t>
  </si>
  <si>
    <t>SAUCE CHILI SWEET THAI</t>
  </si>
  <si>
    <t>VINEGAR BALSAMIC ITALY</t>
  </si>
  <si>
    <t>SALT KOSHER FLAKE COARSE</t>
  </si>
  <si>
    <t>RICE PARBOILED BRN WHLGN LNGRN</t>
  </si>
  <si>
    <t>CEREAL GRANOLA OATSN HNY BLKPK</t>
  </si>
  <si>
    <t>CRANBERRY DRIED CRAISINS</t>
  </si>
  <si>
    <t>OIL CANOLA</t>
  </si>
  <si>
    <t>MUSTARD YELLOW PLS JUG</t>
  </si>
  <si>
    <t>SALT GRANULATED IODIZED</t>
  </si>
  <si>
    <t>PASTA PENNE RIGATE</t>
  </si>
  <si>
    <t>RICE CALROSE MED GRN SUSHI</t>
  </si>
  <si>
    <t>SAUCE CHILI SRIRACHA</t>
  </si>
  <si>
    <t>PASTA GEMELLI</t>
  </si>
  <si>
    <t>PASTA FARFALLE</t>
  </si>
  <si>
    <t>MILK SOY VAN BAG</t>
  </si>
  <si>
    <t>MILK SOY CHOC BAG</t>
  </si>
  <si>
    <t>MILK NFAT 100% LACT CAL ENRCHD</t>
  </si>
  <si>
    <t>ICE CREAM JUST PEACHY</t>
  </si>
  <si>
    <t>ICE CREAM STWBRY</t>
  </si>
  <si>
    <t>ICE CREAM CHOC</t>
  </si>
  <si>
    <t>ICE CREAM FRCH VAN</t>
  </si>
  <si>
    <t>CEREAL LUCKY CHARMS GLUTN FR</t>
  </si>
  <si>
    <t>December Week 1 2018: November 30 to December 6 (P3 Week 1)</t>
  </si>
  <si>
    <t>Pack (Sysco)</t>
  </si>
  <si>
    <t>chicken skinless boneless thighs</t>
  </si>
  <si>
    <t>chicken bone in thighs</t>
  </si>
  <si>
    <t>chicken drumsticks</t>
  </si>
  <si>
    <t>Apple   Fuji 125/138ct</t>
  </si>
  <si>
    <t>Apple   Granny Smith  125/138ct</t>
  </si>
  <si>
    <t>Beans Edamame (In Shell)</t>
  </si>
  <si>
    <t>Brussels Sprouts</t>
  </si>
  <si>
    <t>Chard Rainbow Swiss LOCAL</t>
  </si>
  <si>
    <t>Grapefruit Red</t>
  </si>
  <si>
    <t>Leeks</t>
  </si>
  <si>
    <t>Parsley  Italian Cleaned&amp;Washed</t>
  </si>
  <si>
    <t>Parsnips</t>
  </si>
  <si>
    <t>Pr Pepper  Green Diced 1/4" LOCAL</t>
  </si>
  <si>
    <t>Pr Squash Bnut Dice 1" LOCAL</t>
  </si>
  <si>
    <t>Sugar Snap Pea Stringless</t>
  </si>
  <si>
    <t>Lettuce Field Mix 12#</t>
  </si>
  <si>
    <t>tomato grap red bulk local</t>
  </si>
  <si>
    <t>Corn  Yellow LOCAL</t>
  </si>
  <si>
    <t>IDP Squash Zucchini LOCAL</t>
  </si>
  <si>
    <t>Shallots Peeled</t>
  </si>
  <si>
    <t>Root Ginger</t>
  </si>
  <si>
    <t>whole dairy milk</t>
  </si>
  <si>
    <t>Bok Choy</t>
  </si>
  <si>
    <t>Chard Green Swiss</t>
  </si>
  <si>
    <t>Grapefruit Red LOCAL</t>
  </si>
  <si>
    <t>IQF Peaches  Sliced</t>
  </si>
  <si>
    <t>4 Bags</t>
  </si>
  <si>
    <t>Pr Corn Shucked / Yellow LOCAL</t>
  </si>
  <si>
    <t>Pr Slaw W/ Carrots/Red Cabbage</t>
  </si>
  <si>
    <t>Pr Squash Bnut Diced 3/4" LOCAL</t>
  </si>
  <si>
    <t>Blackberry Driscoll</t>
  </si>
  <si>
    <t>Chard Green Swiss LOCAL</t>
  </si>
  <si>
    <t>bananas #4 Color</t>
  </si>
  <si>
    <t>beans green Tip LOCAL</t>
  </si>
  <si>
    <t>kale</t>
  </si>
  <si>
    <t>lettuce green Leaf Filet</t>
  </si>
  <si>
    <t>onion red jumbo</t>
  </si>
  <si>
    <t>pineapple Crownless 8-11ct</t>
  </si>
  <si>
    <t>potato russet</t>
  </si>
  <si>
    <t>sweet potato</t>
  </si>
  <si>
    <t>brussels Sprouts</t>
  </si>
  <si>
    <t>pepper green diced</t>
  </si>
  <si>
    <t>spinach Washed  Flatleaf</t>
  </si>
  <si>
    <t>root Ginger</t>
  </si>
  <si>
    <t>Dairy Products</t>
  </si>
  <si>
    <t>ICE CREAM VAN BEAN</t>
  </si>
  <si>
    <t>CHEESE MOZZ FRSH SLI 18 CT</t>
  </si>
  <si>
    <t>MILK SOY PLAIN</t>
  </si>
  <si>
    <t>CHEESE MOZZ FTHR SHRD WHL MILK</t>
  </si>
  <si>
    <t>CHEESE BLUE CRUMBLE</t>
  </si>
  <si>
    <t>CHEESE PARM FANCY SHRED</t>
  </si>
  <si>
    <t>ICE CREAM BIRTHDAY CAKE</t>
  </si>
  <si>
    <t>Meats</t>
  </si>
  <si>
    <t>CORN DOG ALL MEAT MINI 240/.67</t>
  </si>
  <si>
    <t>Seafood</t>
  </si>
  <si>
    <t>POLLOCK FLT IQF 4-6OZ CHN</t>
  </si>
  <si>
    <t>COD LOIN 4OZ IQF MSC</t>
  </si>
  <si>
    <t>Poultry</t>
  </si>
  <si>
    <t>Frozen</t>
  </si>
  <si>
    <t>CHURRO PRFRD MEXICAN PASTRY</t>
  </si>
  <si>
    <t>POTATO H/BRN DICE SKIN-ON CTRY</t>
  </si>
  <si>
    <t>TORTILLA CORN WHT 6 IN</t>
  </si>
  <si>
    <t>STRIP CHICKEN-FREE LTY SEASON</t>
  </si>
  <si>
    <t>BURGER VEG BEYOND PATTY</t>
  </si>
  <si>
    <t>BANANA PLANTAIN FRZN SWEET SLI</t>
  </si>
  <si>
    <t>Canned and dry goods</t>
  </si>
  <si>
    <t>BEAN GARBANZO LOW SODIUM</t>
  </si>
  <si>
    <t>BEAN KIDNEY DK RED LOW SODIUM</t>
  </si>
  <si>
    <t>PEPPER JALAPENO NACHO SLI</t>
  </si>
  <si>
    <t>CEREAL HOT GRITS QUICK</t>
  </si>
  <si>
    <t>MAYONNAISE REAL</t>
  </si>
  <si>
    <t>TOMATO DICED IN JCE NO SALT CA</t>
  </si>
  <si>
    <t>CEREAL APPLE JACKS</t>
  </si>
  <si>
    <t>TOMATO GRND PLD IN PUREE</t>
  </si>
  <si>
    <t>MOLASSES UNSULFURED</t>
  </si>
  <si>
    <t>CEREAL CINN TST CRUN BULKPAK</t>
  </si>
  <si>
    <t>SAUCE HOISIN</t>
  </si>
  <si>
    <t>OIL SESAME SEED PURE</t>
  </si>
  <si>
    <t>BREAD CRUMB JAP PANKO TOASTED</t>
  </si>
  <si>
    <t>SEASONING CAJUN</t>
  </si>
  <si>
    <t>SPICE CURRY POWDER</t>
  </si>
  <si>
    <t>SPICE GARLIC GRANULATED</t>
  </si>
  <si>
    <t>PEPPER CHILI GREEN DICED</t>
  </si>
  <si>
    <t>SPICE PEPPER BLK SHAKER GRND</t>
  </si>
  <si>
    <t>YEAST ACTIVE DRY</t>
  </si>
  <si>
    <t>VINEGAR WINE RED PLS</t>
  </si>
  <si>
    <t>PEPPER RED ROASTED WHOLE</t>
  </si>
  <si>
    <t>PASTE TAHINI</t>
  </si>
  <si>
    <t>MUSTARD DIJON PLS JUG</t>
  </si>
  <si>
    <t>SEASONING OLD BAY</t>
  </si>
  <si>
    <t>KETCHUP FANCY POUCH DISPENSER</t>
  </si>
  <si>
    <t>RICE BASMATI</t>
  </si>
  <si>
    <t>BEAN GREAT NRTHRN FCY</t>
  </si>
  <si>
    <t>PASTA MACARONI ELBOW</t>
  </si>
  <si>
    <t>SEASONING ITALIAN WHL</t>
  </si>
  <si>
    <t>TURKEY BRST FRCH CUT RTC</t>
  </si>
  <si>
    <t>TURKEY SAUSAGE LINK RAW</t>
  </si>
  <si>
    <t>QUINOA GRAIN WHT</t>
  </si>
  <si>
    <t>HONEY LIGHT AMBER</t>
  </si>
  <si>
    <t>SAUCE SOY SWEET</t>
  </si>
  <si>
    <t>CORN MEAL WHITE</t>
  </si>
  <si>
    <t>TOMATO PASTE FANCY CA</t>
  </si>
  <si>
    <t>CEREAL CHEERIO GLUTEN FR</t>
  </si>
  <si>
    <t>WINE COOKING BURGUNDY</t>
  </si>
  <si>
    <t>PRESERVE APRICOT</t>
  </si>
  <si>
    <t>WINE COOKING SAUTERNE</t>
  </si>
  <si>
    <t>MIX CORNBREAD SOTHRN STY CMPLT</t>
  </si>
  <si>
    <t>CEREAL COCOA PUFFS BULKPAK</t>
  </si>
  <si>
    <t>SPICE CUMIN GRND</t>
  </si>
  <si>
    <t>SPICE PAPRIKA XFCY</t>
  </si>
  <si>
    <t>SEASONING CARIBBEAN JERK</t>
  </si>
  <si>
    <t>SAUCE SOY LESS SODIUM</t>
  </si>
  <si>
    <t>SAUCE PEPPER CAYENNE RED HOT</t>
  </si>
  <si>
    <t>NOODLE YAKI SOBA</t>
  </si>
  <si>
    <t>CHEESE CREAM LOAF</t>
  </si>
  <si>
    <t>FRANK BEEF 8X1 F/C</t>
  </si>
  <si>
    <t>BUN HOAGIE WHT 6 HNGD HARTHBK</t>
  </si>
  <si>
    <t>RAISIN SEEDLESS</t>
  </si>
  <si>
    <t>BEAN PINTO DRIED MULTI-CLEAN</t>
  </si>
  <si>
    <t>PEA BLACKEYE DRIED</t>
  </si>
  <si>
    <t>RAISIN SEEDLESS GOLDEN</t>
  </si>
  <si>
    <t>SAUCE HOT</t>
  </si>
  <si>
    <t>PICKLE SLI DILL HAM SC 1/8 PLS</t>
  </si>
  <si>
    <t>VINEGAR RICE WINE SEAS 4.5%</t>
  </si>
  <si>
    <t>SPICE CHILI POWDER LT</t>
  </si>
  <si>
    <t>SPICE ONION POWDER</t>
  </si>
  <si>
    <t>WRAP TORTILLA FLOUR 12</t>
  </si>
  <si>
    <t>ICE CREAM COOKIES &amp;  CRM</t>
  </si>
  <si>
    <t>January Week 3 2018: January 18 to January 24 (P4 Week 4)</t>
  </si>
  <si>
    <t>beef bot</t>
  </si>
  <si>
    <t>Café campesino</t>
  </si>
  <si>
    <t>medium coffee blend</t>
  </si>
  <si>
    <t>decaf coffee</t>
  </si>
  <si>
    <t>mandarin orange</t>
  </si>
  <si>
    <t>pink lady apples</t>
  </si>
  <si>
    <t>homo disp milk</t>
  </si>
  <si>
    <t>2% milk</t>
  </si>
  <si>
    <t>h and h</t>
  </si>
  <si>
    <t>skim milk</t>
  </si>
  <si>
    <t>true moo choc</t>
  </si>
  <si>
    <t>buttermilk</t>
  </si>
  <si>
    <t>hvy whip cream</t>
  </si>
  <si>
    <t>Inland Seafodd</t>
  </si>
  <si>
    <t>rainbow trout (farmed)</t>
  </si>
  <si>
    <t>catfish (farmed)</t>
  </si>
  <si>
    <t>Broccoli Florets 4/3</t>
  </si>
  <si>
    <t>Cauliflower</t>
  </si>
  <si>
    <t>Cucumber</t>
  </si>
  <si>
    <t>Eggplant   Choice</t>
  </si>
  <si>
    <t>Juice Lime Quart 12/1</t>
  </si>
  <si>
    <t>Tomato   Grape Red LOCAL</t>
  </si>
  <si>
    <t>Pepper   Jalapeno Bulk</t>
  </si>
  <si>
    <t>Apple   Granny Smith</t>
  </si>
  <si>
    <t>Mushroom    Sliced Thick 5#</t>
  </si>
  <si>
    <t>Pr Butternut Squash 3/4" 20-12oz</t>
  </si>
  <si>
    <t>Tomato   Grape Red Bulk</t>
  </si>
  <si>
    <t>Avocado</t>
  </si>
  <si>
    <t>Broccoli Florets 6/3</t>
  </si>
  <si>
    <t>Melon   Honeydew 6ct</t>
  </si>
  <si>
    <t>Pr Kale Chopped &amp; Cleaned NL</t>
  </si>
  <si>
    <t>Strawberry  Clamshell</t>
  </si>
  <si>
    <t>Cranberries Frozen</t>
  </si>
  <si>
    <t>Pr Carrot Diced 1/4"</t>
  </si>
  <si>
    <t>apples sliced</t>
  </si>
  <si>
    <t>Blueberry FB</t>
  </si>
  <si>
    <t>IDP Squash Zucchini</t>
  </si>
  <si>
    <t>Pepper   Green  Large</t>
  </si>
  <si>
    <t>Sweet potato Jumbo LOCAL</t>
  </si>
  <si>
    <t>Potato    Yukon Gold</t>
  </si>
  <si>
    <t>Pr Celery Diced 1/4" 4/5#</t>
  </si>
  <si>
    <t>Celery LOCAL</t>
  </si>
  <si>
    <t>Lemon  Grass</t>
  </si>
  <si>
    <t>CHEESE BRIE IMPORTED</t>
  </si>
  <si>
    <t>MARGARINE SOFT BUTRY SPRD TUB</t>
  </si>
  <si>
    <t>FRANK ALL-BEEF 8X1 6 IN</t>
  </si>
  <si>
    <t>BEEF BRISKET DCKL-OFF CH 120</t>
  </si>
  <si>
    <t>CORN DOG TURKEY MINI</t>
  </si>
  <si>
    <t>POTATO FRY TWISTER ORIG BTTERD</t>
  </si>
  <si>
    <t>BREAD PITA FLAT 7</t>
  </si>
  <si>
    <t>CHEESE STICK PLANK 5CHEESE</t>
  </si>
  <si>
    <t>DOUGH COBBLER CRUST SHEET</t>
  </si>
  <si>
    <t>DOUGH BISCUIT SOTHRN E-Z SPLIT</t>
  </si>
  <si>
    <t>BEAN BAKED VEGETARIAN RED SOD</t>
  </si>
  <si>
    <t>BEAN LENTIL DRIED</t>
  </si>
  <si>
    <t>CAPER SPANISH NONPAREIL</t>
  </si>
  <si>
    <t>BEAN KIDNEY LIGHT RED DRIED</t>
  </si>
  <si>
    <t>SUGAR CONFECTIONER 10X CANE</t>
  </si>
  <si>
    <t>SUNFLOWER KERNEL OIL RST SALT</t>
  </si>
  <si>
    <t>SPICE ONION GRANULATED</t>
  </si>
  <si>
    <t>SPICE PEPPER BLK TABLE GRND</t>
  </si>
  <si>
    <t>SPICE PEPPER CAYENNE GRND</t>
  </si>
  <si>
    <t>EXTRACT VANILLA IMIT</t>
  </si>
  <si>
    <t>BEAN BLACK TURTLE DRIED WASH</t>
  </si>
  <si>
    <t>SUNFLOWER SEED SPREAD CREAMY</t>
  </si>
  <si>
    <t>VINEGAR BLSMIC AGED ITALY  PL</t>
  </si>
  <si>
    <t>CREAM HEAVY WHIPPING 36% ESL</t>
  </si>
  <si>
    <t>PASTA PENNE WHL GRAIN 100%</t>
  </si>
  <si>
    <t>PASTA PENNE RIGATE GLUTEN FREE</t>
  </si>
  <si>
    <t>SAUSAGE SMKD PK/TRKY/BF ROPE</t>
  </si>
  <si>
    <t>BUN WHITE HMBRGR SLI 4 IN</t>
  </si>
  <si>
    <t>BUN HOT DOG</t>
  </si>
  <si>
    <t>675 GR</t>
  </si>
  <si>
    <t>BREAD SANDWICH WHT</t>
  </si>
  <si>
    <t>CHEESE GOUDA SMK</t>
  </si>
  <si>
    <t>SALAMI GENOA</t>
  </si>
  <si>
    <t>COUSCOUS INTL ISRAELI</t>
  </si>
  <si>
    <t>PASTA ZITI</t>
  </si>
  <si>
    <t>CRACKER GOLDFISH WHL GRAIN</t>
  </si>
  <si>
    <t>SAUCE SOY GLUTEN FREE</t>
  </si>
  <si>
    <t>NOODLE CHOW MEIN</t>
  </si>
  <si>
    <t>COOKIE CRUMB OREO MED CRUNCH</t>
  </si>
  <si>
    <t>PEPPER BANANA RINGS</t>
  </si>
  <si>
    <t>PASTA SPAGHETTI</t>
  </si>
  <si>
    <t>RICE ARBORIO</t>
  </si>
  <si>
    <t>February Week 1 2019: February 1 to February 7 (P5 Week 1)</t>
  </si>
  <si>
    <t>Southern Swiss Dairy</t>
  </si>
  <si>
    <t>vanilla ice cream</t>
  </si>
  <si>
    <t>strawberry ice cream</t>
  </si>
  <si>
    <t>chocolate ice cream</t>
  </si>
  <si>
    <t>andouille links</t>
  </si>
  <si>
    <t>pork loin</t>
  </si>
  <si>
    <t>pork tenderloin</t>
  </si>
  <si>
    <t>whole milk</t>
  </si>
  <si>
    <t>chocolate milk</t>
  </si>
  <si>
    <t>medium blend coffee</t>
  </si>
  <si>
    <t>heavy whip cream</t>
  </si>
  <si>
    <t>Northside Deli Provisions (Boar's Head)</t>
  </si>
  <si>
    <t>smokemaster bf ham</t>
  </si>
  <si>
    <t>corned beef natural</t>
  </si>
  <si>
    <t>mesquite turkey</t>
  </si>
  <si>
    <t>broccoli florets</t>
  </si>
  <si>
    <t>pepper green</t>
  </si>
  <si>
    <t>Baby Bok Choy</t>
  </si>
  <si>
    <t>Herbs Dill 1/4#</t>
  </si>
  <si>
    <t>IDP Squash Yellow</t>
  </si>
  <si>
    <t>Melon   Honeydew 5/6ct</t>
  </si>
  <si>
    <t>Pr Carrot Crudite 1/2"x4" HC Bg</t>
  </si>
  <si>
    <t>Pr Squash Butternut Dice 1" LOCAL</t>
  </si>
  <si>
    <t>S-Curry Garam Masala 1# 7214</t>
  </si>
  <si>
    <t>Strawberry  Clamshell LOCAL</t>
  </si>
  <si>
    <t>Eggplant   Italian</t>
  </si>
  <si>
    <t>Garlic   Peeled Chinese</t>
  </si>
  <si>
    <t>Red potato A LOCAL</t>
  </si>
  <si>
    <t>Strawberry  Driscoll Clamshell LOCA</t>
  </si>
  <si>
    <t>Sugar Snap peas</t>
  </si>
  <si>
    <t>Tomatillo</t>
  </si>
  <si>
    <t>Tomato   Green 5x6</t>
  </si>
  <si>
    <t>Fennel/Anise</t>
  </si>
  <si>
    <t>Napa cabbage</t>
  </si>
  <si>
    <t>Okra</t>
  </si>
  <si>
    <t>Pepper   Jalapeno Bulk LOCAL</t>
  </si>
  <si>
    <t>Tomato   Cherry Premium</t>
  </si>
  <si>
    <t>Squash   Yellow  #2</t>
  </si>
  <si>
    <t>Squash   Zucchini  Medium</t>
  </si>
  <si>
    <t>broccoli Florets 4/3</t>
  </si>
  <si>
    <t>pr brussels Sprouts Halved</t>
  </si>
  <si>
    <t>pr celery Sticks 4/5#</t>
  </si>
  <si>
    <t>tomato cherry premium</t>
  </si>
  <si>
    <t>EGG SHELL LG GR AA USDA WHT</t>
  </si>
  <si>
    <t>CHEESE FETA CRUMBLE</t>
  </si>
  <si>
    <t>SAUSAGE LINK ANDOUILLE 4X1</t>
  </si>
  <si>
    <t>SPINACH CHOPPED IQF</t>
  </si>
  <si>
    <t>MANGO CHUNK</t>
  </si>
  <si>
    <t>OIL OLIVE EXTRA VIRGIN</t>
  </si>
  <si>
    <t>OIL CANOLA SAL</t>
  </si>
  <si>
    <t>DRESSING ITALIAN FAT FREE</t>
  </si>
  <si>
    <t>PASTA NOODLE EGG MED</t>
  </si>
  <si>
    <t>SPICE CINNAMON GROUND BAKER</t>
  </si>
  <si>
    <t>SPICE CORIANDER GRND</t>
  </si>
  <si>
    <t>SPICE TURMERIC GROUND</t>
  </si>
  <si>
    <t>MILK COCONUT UNSWT</t>
  </si>
  <si>
    <t>CHEESE RICOTTA BULK WHL MILK</t>
  </si>
  <si>
    <t>ROLL CIABATTA 4X4 MULTIGRAIN</t>
  </si>
  <si>
    <t>CEREAL CHEERIO APL CIN GLTN FR</t>
  </si>
  <si>
    <t>CEREAL CORN FLAKES</t>
  </si>
  <si>
    <t>SEASONING SEAFOOD</t>
  </si>
  <si>
    <t>SEASONING RUB OLD BAY</t>
  </si>
  <si>
    <t>SPICE GARLIC PWDR</t>
  </si>
  <si>
    <t>EGGROLL VEGETABLE</t>
  </si>
  <si>
    <t>CREAMER HALF &amp;  HALF UHT</t>
  </si>
  <si>
    <t>cabbage</t>
  </si>
  <si>
    <t>apples</t>
  </si>
  <si>
    <t>chicken</t>
  </si>
  <si>
    <t>lamb</t>
  </si>
  <si>
    <t>parsley</t>
  </si>
  <si>
    <t>pineapple</t>
  </si>
  <si>
    <t>potato</t>
  </si>
  <si>
    <t>brussel</t>
  </si>
  <si>
    <t>carrots</t>
  </si>
  <si>
    <t>onion</t>
  </si>
  <si>
    <t>spinach</t>
  </si>
  <si>
    <t>grape</t>
  </si>
  <si>
    <t>squash</t>
  </si>
  <si>
    <t>zucchini</t>
  </si>
  <si>
    <t>apple</t>
  </si>
  <si>
    <t>lettuce</t>
  </si>
  <si>
    <t>arugula</t>
  </si>
  <si>
    <t>leeks</t>
  </si>
  <si>
    <t>limes</t>
  </si>
  <si>
    <t>brussels</t>
  </si>
  <si>
    <t>cheese</t>
  </si>
  <si>
    <t>milk</t>
  </si>
  <si>
    <t>herb</t>
  </si>
  <si>
    <t xml:space="preserve">orange </t>
  </si>
  <si>
    <t>swiss chard</t>
  </si>
  <si>
    <t>collard greens</t>
  </si>
  <si>
    <t>onion, yellow</t>
  </si>
  <si>
    <t>Food Category</t>
  </si>
  <si>
    <t>strawbery</t>
  </si>
  <si>
    <t>herbs</t>
  </si>
  <si>
    <t>Bananas</t>
  </si>
  <si>
    <t>Broccoli</t>
  </si>
  <si>
    <t>Eggplant</t>
  </si>
  <si>
    <t>Grape</t>
  </si>
  <si>
    <t>Lettuce</t>
  </si>
  <si>
    <t>Cantaloupe</t>
  </si>
  <si>
    <t>Honeydew</t>
  </si>
  <si>
    <t>Onion</t>
  </si>
  <si>
    <t>Pear</t>
  </si>
  <si>
    <t>Pepper</t>
  </si>
  <si>
    <t>Pineapple</t>
  </si>
  <si>
    <t>Collards</t>
  </si>
  <si>
    <t>Romaine</t>
  </si>
  <si>
    <t>Squash</t>
  </si>
  <si>
    <t>Strawberry</t>
  </si>
  <si>
    <t>Tofu</t>
  </si>
  <si>
    <t>cheese, mozzarella</t>
  </si>
  <si>
    <t>lettuce, green</t>
  </si>
  <si>
    <t>pepper, green</t>
  </si>
  <si>
    <t>pepper, red</t>
  </si>
  <si>
    <t>beets, red</t>
  </si>
  <si>
    <t>onion, green</t>
  </si>
  <si>
    <t>onion, red</t>
  </si>
  <si>
    <t>Pea, edible podded, succulent</t>
  </si>
  <si>
    <t>yogurt, greek</t>
  </si>
  <si>
    <t>carrots, cabbage (50/50)</t>
  </si>
  <si>
    <t>coffee</t>
  </si>
  <si>
    <t>cofee</t>
  </si>
  <si>
    <t>Garlic</t>
  </si>
  <si>
    <t>Herbs</t>
  </si>
  <si>
    <t>Basil</t>
  </si>
  <si>
    <t>Parsley</t>
  </si>
  <si>
    <t>Spinach</t>
  </si>
  <si>
    <t>Asparagus</t>
  </si>
  <si>
    <t>Cabbage</t>
  </si>
  <si>
    <t>Brussels</t>
  </si>
  <si>
    <t>Kale</t>
  </si>
  <si>
    <t>Beets</t>
  </si>
  <si>
    <t>Peaches</t>
  </si>
  <si>
    <t>curry</t>
  </si>
  <si>
    <t>Lettuce, green leaf</t>
  </si>
  <si>
    <t>Onion, green</t>
  </si>
  <si>
    <t>Onion, red</t>
  </si>
  <si>
    <t>Onion, yellow</t>
  </si>
  <si>
    <t>Pepper, green</t>
  </si>
  <si>
    <t>Pepper, red</t>
  </si>
  <si>
    <t>Lettuce, leaf</t>
  </si>
  <si>
    <t>Beans, edamame</t>
  </si>
  <si>
    <t>Cheese, mozzarella</t>
  </si>
  <si>
    <t>Brussels sprouts</t>
  </si>
  <si>
    <t>Bean, snap, succulent</t>
  </si>
  <si>
    <t>peach</t>
  </si>
  <si>
    <t>Apple</t>
  </si>
  <si>
    <t>Grapefruit</t>
  </si>
  <si>
    <t>Corn</t>
  </si>
  <si>
    <t>Shallots</t>
  </si>
  <si>
    <t>Ginger</t>
  </si>
  <si>
    <t>Slaw</t>
  </si>
  <si>
    <t>CREAM</t>
  </si>
  <si>
    <t>MILK</t>
  </si>
  <si>
    <t>EGG</t>
  </si>
  <si>
    <t>BEAN</t>
  </si>
  <si>
    <t>BUTTER</t>
  </si>
  <si>
    <t>YOGURT</t>
  </si>
  <si>
    <t>CHEESE</t>
  </si>
  <si>
    <t>PEPPER</t>
  </si>
  <si>
    <t>CORN</t>
  </si>
  <si>
    <t>BEEF</t>
  </si>
  <si>
    <t>PEPPERONI</t>
  </si>
  <si>
    <t>TURKEY</t>
  </si>
  <si>
    <t>CHURRO</t>
  </si>
  <si>
    <t>POTATO</t>
  </si>
  <si>
    <t>TORTILLA</t>
  </si>
  <si>
    <t>WRAP</t>
  </si>
  <si>
    <t>TOMATO</t>
  </si>
  <si>
    <t>BANANA</t>
  </si>
  <si>
    <t>RICE</t>
  </si>
  <si>
    <t>SUGAR</t>
  </si>
  <si>
    <t>CEREAL</t>
  </si>
  <si>
    <t>TUNA</t>
  </si>
  <si>
    <t>FLOUR</t>
  </si>
  <si>
    <t>SYRUP</t>
  </si>
  <si>
    <t>MOLASSES</t>
  </si>
  <si>
    <t>JELLY</t>
  </si>
  <si>
    <t>OIL</t>
  </si>
  <si>
    <t>BREAD</t>
  </si>
  <si>
    <t>SPICE</t>
  </si>
  <si>
    <t>ARTICHOKE</t>
  </si>
  <si>
    <t>YEAST</t>
  </si>
  <si>
    <t>VINEGAR</t>
  </si>
  <si>
    <t>WINE</t>
  </si>
  <si>
    <t>KETCHUP</t>
  </si>
  <si>
    <t>PASTA</t>
  </si>
  <si>
    <t>NOODLE</t>
  </si>
  <si>
    <t>QUINOA</t>
  </si>
  <si>
    <t>HONEY</t>
  </si>
  <si>
    <t>CRANBERRY</t>
  </si>
  <si>
    <t>BUN</t>
  </si>
  <si>
    <t>CRACKER</t>
  </si>
  <si>
    <t>RAISIN</t>
  </si>
  <si>
    <t>OLIVE</t>
  </si>
  <si>
    <t>fish</t>
  </si>
  <si>
    <t>Pepper, bell</t>
  </si>
  <si>
    <t>Bok choy</t>
  </si>
  <si>
    <t>pepper, bell</t>
  </si>
  <si>
    <t>ICE cream</t>
  </si>
  <si>
    <t>CORN dog</t>
  </si>
  <si>
    <t>1/2 beef 1/2 pork</t>
  </si>
  <si>
    <t>PEA, green</t>
  </si>
  <si>
    <t>TORTILLA, corn</t>
  </si>
  <si>
    <t>beyond BURGER</t>
  </si>
  <si>
    <t>tortilla, flour</t>
  </si>
  <si>
    <t>black bean burger</t>
  </si>
  <si>
    <t>chickpea</t>
  </si>
  <si>
    <t>bean, kidney</t>
  </si>
  <si>
    <t>bean, black</t>
  </si>
  <si>
    <t>grits, maize/corn</t>
  </si>
  <si>
    <t>CORN, starch</t>
  </si>
  <si>
    <t>CEREAL, apple jacks</t>
  </si>
  <si>
    <t>SYRUP, pancake</t>
  </si>
  <si>
    <t>CEREAL, frosted flakes</t>
  </si>
  <si>
    <t>pancake MIX</t>
  </si>
  <si>
    <t>cannola oil</t>
  </si>
  <si>
    <t>seasame oil</t>
  </si>
  <si>
    <t>spices, other</t>
  </si>
  <si>
    <t>PEPPER, non bell</t>
  </si>
  <si>
    <t>pepper, black and white</t>
  </si>
  <si>
    <t>CEREAL, granola</t>
  </si>
  <si>
    <t>PASTE, tahini</t>
  </si>
  <si>
    <t>turkEY</t>
  </si>
  <si>
    <t>TORTILLA, flour</t>
  </si>
  <si>
    <t>POTATO chip</t>
  </si>
  <si>
    <t>sweet POTATO</t>
  </si>
  <si>
    <t>CORN, meal</t>
  </si>
  <si>
    <t>TOMATO, paste</t>
  </si>
  <si>
    <t>apricot PRESERVE</t>
  </si>
  <si>
    <t>COCOA, powder</t>
  </si>
  <si>
    <t>BEAN, pinto</t>
  </si>
  <si>
    <t>PEA, blackeye</t>
  </si>
  <si>
    <t>BEAN, kidney</t>
  </si>
  <si>
    <t>orange</t>
  </si>
  <si>
    <t>Cranberries</t>
  </si>
  <si>
    <t>Blueberry</t>
  </si>
  <si>
    <t>MARGARINE</t>
  </si>
  <si>
    <t>TILAPIA</t>
  </si>
  <si>
    <t>SALMON</t>
  </si>
  <si>
    <t>BARLEY</t>
  </si>
  <si>
    <t>CAPER</t>
  </si>
  <si>
    <t>EXTRACT</t>
  </si>
  <si>
    <t>CROISSANT</t>
  </si>
  <si>
    <t>soy milk</t>
  </si>
  <si>
    <t>Food Type</t>
  </si>
  <si>
    <t>BEAN, great northern</t>
  </si>
  <si>
    <t>Beans, broad, succulent</t>
  </si>
  <si>
    <t>PEPPER, nonbell</t>
  </si>
  <si>
    <t>Weight (lbs)</t>
  </si>
  <si>
    <t>MtCO2eq</t>
  </si>
  <si>
    <t>MtCO2eq per month</t>
  </si>
  <si>
    <t xml:space="preserve">assumes 4 weeks per month </t>
  </si>
  <si>
    <t>assumes  8.5 months per school year</t>
  </si>
  <si>
    <t>MtCO2eq per school year</t>
  </si>
  <si>
    <t>when I add farm to fork purchases from November</t>
  </si>
  <si>
    <t>September 2018 Week 1 (August 31 to September 6)</t>
  </si>
  <si>
    <t>Honeysuckle Gelato</t>
  </si>
  <si>
    <t>vanilla</t>
  </si>
  <si>
    <t xml:space="preserve">dark chocolate </t>
  </si>
  <si>
    <t>coffee caramel crunch</t>
  </si>
  <si>
    <t>ice cream</t>
  </si>
  <si>
    <t>sorbet</t>
  </si>
  <si>
    <t>cinnamon roll</t>
  </si>
  <si>
    <t>dark chocolate</t>
  </si>
  <si>
    <t>mango sorbet</t>
  </si>
  <si>
    <t>white chocolate w/ raspberry swirl</t>
  </si>
  <si>
    <t>honey fig</t>
  </si>
  <si>
    <t>half and half</t>
  </si>
  <si>
    <t>whipping cream</t>
  </si>
  <si>
    <t>trout, farmed</t>
  </si>
  <si>
    <t>catfish, farmed</t>
  </si>
  <si>
    <t>Pepper, nonbell</t>
  </si>
  <si>
    <t>soybean, seed</t>
  </si>
  <si>
    <t>soybean</t>
  </si>
  <si>
    <t>Corn, sweet</t>
  </si>
  <si>
    <t>soymilk</t>
  </si>
  <si>
    <t>turkey</t>
  </si>
  <si>
    <t>BREAD, pita</t>
  </si>
  <si>
    <t>english muffin, bread</t>
  </si>
  <si>
    <t>DOUGH, pie crust</t>
  </si>
  <si>
    <t>DOUGH, biscuit</t>
  </si>
  <si>
    <t>COCOA powder</t>
  </si>
  <si>
    <t>bean, pinto</t>
  </si>
  <si>
    <t>lentil, seed</t>
  </si>
  <si>
    <t>BEAN, great northern seed</t>
  </si>
  <si>
    <t>MOLASSES, sugar cane</t>
  </si>
  <si>
    <t>pancake mix</t>
  </si>
  <si>
    <t>SUNFLOWER oil</t>
  </si>
  <si>
    <t>EXTRACT, vanilla</t>
  </si>
  <si>
    <t>BEAN, black</t>
  </si>
  <si>
    <t>condiment</t>
  </si>
  <si>
    <t>SUNFLOWER butter</t>
  </si>
  <si>
    <t>beyond meat chicken-free STRIP</t>
  </si>
  <si>
    <t>beyond burger</t>
  </si>
  <si>
    <t>BEAN,black</t>
  </si>
  <si>
    <t>wheat, grain</t>
  </si>
  <si>
    <t>CRACKER, goldfish</t>
  </si>
  <si>
    <t>spice</t>
  </si>
  <si>
    <t>COOKIE, oreo</t>
  </si>
  <si>
    <t>sunflower oil</t>
  </si>
  <si>
    <t>CRACKER, saltine</t>
  </si>
  <si>
    <t>SYRUP, maple</t>
  </si>
  <si>
    <t>Jam</t>
  </si>
  <si>
    <t>CRACKER, oyster</t>
  </si>
  <si>
    <t>peanut butter</t>
  </si>
  <si>
    <t>honey</t>
  </si>
  <si>
    <t>SPINACH</t>
  </si>
  <si>
    <t>MANGO</t>
  </si>
  <si>
    <t>DRESSING</t>
  </si>
  <si>
    <t>ROLL</t>
  </si>
  <si>
    <t>EGGROLL</t>
  </si>
  <si>
    <t>11 asparagus</t>
  </si>
  <si>
    <t>1 basil</t>
  </si>
  <si>
    <t>1 rosemary</t>
  </si>
  <si>
    <t>1 thyme</t>
  </si>
  <si>
    <t>S-Cumin Ground 1 2126</t>
  </si>
  <si>
    <t>mango sorbet (50L but need 2s of fruit per liter of sorbet, so you need 100lbs for 50L)</t>
  </si>
  <si>
    <t>KETCHUP POUCH-PK FCY (= 6/10)</t>
  </si>
  <si>
    <t>CHEESE SWISS SLI .0.3125</t>
  </si>
  <si>
    <t>CHEESE PEPPER JACK SLI .70.3125</t>
  </si>
  <si>
    <t>CHEESE CHDR MILD SLI .0.3125</t>
  </si>
  <si>
    <t>CHEESE PROVOLONE SLI .0.3125</t>
  </si>
  <si>
    <t>TILAPIA FIL IQF 3-0.3125 RAW</t>
  </si>
  <si>
    <t>PANGASIUS FILLET IQF 3-0.3125</t>
  </si>
  <si>
    <t>3.0.3125</t>
  </si>
  <si>
    <t>Greek Yogurt Plain FF 2oz</t>
  </si>
  <si>
    <t>Greek Yogurt Vanilla Blend FF 2oz</t>
  </si>
  <si>
    <t>1.0.125</t>
  </si>
  <si>
    <t>MUFFIN ENGLISH ORIG 0.125</t>
  </si>
  <si>
    <t>CROISSANT BUTTER SLI 0.125</t>
  </si>
  <si>
    <t>5 green beans</t>
  </si>
  <si>
    <t>5 mushroom</t>
  </si>
  <si>
    <t>5 mushroom thick</t>
  </si>
  <si>
    <t>25 red onion</t>
  </si>
  <si>
    <t>5 carrot</t>
  </si>
  <si>
    <t>5 kale</t>
  </si>
  <si>
    <t>5 onion diced</t>
  </si>
  <si>
    <t>5 green pepper diced</t>
  </si>
  <si>
    <t>5 diced tomato</t>
  </si>
  <si>
    <t>5 strawberry</t>
  </si>
  <si>
    <t>5 apple</t>
  </si>
  <si>
    <t>5 green lettuce</t>
  </si>
  <si>
    <t>5 baby arugula</t>
  </si>
  <si>
    <t>5 brussels</t>
  </si>
  <si>
    <t>5 carrots</t>
  </si>
  <si>
    <t>5 collard greens</t>
  </si>
  <si>
    <t>25 tomato</t>
  </si>
  <si>
    <t>5 tomato</t>
  </si>
  <si>
    <t>turkeY</t>
  </si>
  <si>
    <t>spices</t>
  </si>
  <si>
    <t>lime Juice</t>
  </si>
  <si>
    <t>Sweet potato</t>
  </si>
  <si>
    <t>cabbage, chinese, napa</t>
  </si>
  <si>
    <t>Pea, dry</t>
  </si>
  <si>
    <t>fish, saltwater</t>
  </si>
  <si>
    <t>PEA, dry</t>
  </si>
  <si>
    <t>olive oil</t>
  </si>
  <si>
    <t>CRACKER, goldfish, snacks</t>
  </si>
  <si>
    <t>MOLASSES, sugar</t>
  </si>
  <si>
    <t>jam</t>
  </si>
  <si>
    <t>SUNFLOWER, seed</t>
  </si>
  <si>
    <t>coconut milk</t>
  </si>
  <si>
    <t>ARTICHOKE, globe</t>
  </si>
  <si>
    <t>CRANBERRY, dried</t>
  </si>
  <si>
    <t>COCOA mix</t>
  </si>
  <si>
    <t>SUGAR, brown</t>
  </si>
  <si>
    <t>Weight (LBS)</t>
  </si>
  <si>
    <t>corn dog, turkey</t>
  </si>
  <si>
    <t xml:space="preserve">sweet corn kernels </t>
  </si>
  <si>
    <t xml:space="preserve">Southern Swiss Dairy </t>
  </si>
  <si>
    <t xml:space="preserve">olive </t>
  </si>
  <si>
    <t>Total GHGE (kg CO2-eq)</t>
  </si>
  <si>
    <t>Total GHGE (MtCO2eq)</t>
  </si>
  <si>
    <t>Month</t>
  </si>
  <si>
    <t>January</t>
  </si>
  <si>
    <t>February</t>
  </si>
  <si>
    <t>November Farm to Fork GHGE</t>
  </si>
  <si>
    <t>Plant-Based</t>
  </si>
  <si>
    <t>Sum of GHGE (kg CO2-eq)</t>
  </si>
  <si>
    <t>Row Labels</t>
  </si>
  <si>
    <t>Grand Total</t>
  </si>
  <si>
    <t>Plant-based</t>
  </si>
  <si>
    <t>Meat</t>
  </si>
  <si>
    <t>Animal-based</t>
  </si>
  <si>
    <t xml:space="preserve">Royal </t>
  </si>
  <si>
    <t>Cabbaga,napa</t>
  </si>
  <si>
    <t>Sum of Weight (kg)</t>
  </si>
  <si>
    <t>Average of GWP (kg CO2-eq/kg)</t>
  </si>
  <si>
    <t>1332 granny smith apple</t>
  </si>
  <si>
    <t>1332 red del apple</t>
  </si>
  <si>
    <t>cured pork ends and pieces</t>
  </si>
  <si>
    <t xml:space="preserve">Bean, broad, succulent </t>
  </si>
  <si>
    <t>27 cantaloupe</t>
  </si>
  <si>
    <t>Bean, broad, succulent</t>
  </si>
  <si>
    <t>27 honeydew</t>
  </si>
  <si>
    <t>herbs, other</t>
  </si>
  <si>
    <t>Biscuit</t>
  </si>
  <si>
    <t>beyond meat chicken</t>
  </si>
  <si>
    <t>2pk</t>
  </si>
  <si>
    <t>condiment, mayo</t>
  </si>
  <si>
    <t>Menu Item</t>
  </si>
  <si>
    <t>Animal-Based</t>
  </si>
  <si>
    <t>yogurt</t>
  </si>
  <si>
    <t>September 2018 Thru February 2019</t>
  </si>
  <si>
    <t>Total GHGE (kgCO2-eq)</t>
  </si>
  <si>
    <t>Food</t>
  </si>
  <si>
    <t>Distance (miles)</t>
  </si>
  <si>
    <t>Emissions Factor (kgCO2)</t>
  </si>
  <si>
    <t>GWP (kgCO2-eq/kg)</t>
  </si>
  <si>
    <t>GHGE (kgCO2-eq)</t>
  </si>
  <si>
    <t>Beef</t>
  </si>
  <si>
    <t>Black Beans</t>
  </si>
  <si>
    <t>Chickpea</t>
  </si>
  <si>
    <t xml:space="preserve">GHGE from 6 weeks of DUCling Ordering Data with Food-Miles </t>
  </si>
  <si>
    <t>Beyond Burger</t>
  </si>
  <si>
    <t>Black Bean</t>
  </si>
  <si>
    <t>GHGE from 6 Weeks of DUCling Ordering Data</t>
  </si>
  <si>
    <t>GWP (kgCO2-eq)</t>
  </si>
  <si>
    <t>GHGE from 6 weeks of DUCling Ordering Data (assuming all plant-based foods have the equivalent amount of calories as 2,655.33kg of beef)</t>
  </si>
  <si>
    <t>Calories per 1kg serving</t>
  </si>
  <si>
    <t>Total Calories</t>
  </si>
  <si>
    <t>GHGE Total of Dairy Milk vs. Soy Milk  (assuming the same weights but different distances)</t>
  </si>
  <si>
    <t>Emissions Factor from Transportation (kgCO2)</t>
  </si>
  <si>
    <t>Calories per 240mL Serving</t>
  </si>
  <si>
    <t>Skim Dairy Milk</t>
  </si>
  <si>
    <t xml:space="preserve">Vanilla Soy Milk </t>
  </si>
  <si>
    <t>6587.7kg</t>
  </si>
  <si>
    <t>90cal</t>
  </si>
  <si>
    <t>1000ml</t>
  </si>
  <si>
    <t>240ml</t>
  </si>
  <si>
    <t>1kg</t>
  </si>
  <si>
    <t>100cal</t>
  </si>
  <si>
    <t xml:space="preserve">September 2018 to February 2019 Model Weight and GHGE </t>
  </si>
  <si>
    <t>% of Total GHGE (kg CO2-eq)</t>
  </si>
  <si>
    <t>Chickpeas</t>
  </si>
  <si>
    <t>Quinoa</t>
  </si>
  <si>
    <t>Soy Milk</t>
  </si>
  <si>
    <t xml:space="preserve">29 Week (full school-year)  Weight and GHGE </t>
  </si>
  <si>
    <t>% Change in Weight</t>
  </si>
  <si>
    <t>Weight (kg) after Reduction/Increase</t>
  </si>
  <si>
    <t>Weight Change (kg)</t>
  </si>
  <si>
    <t>GHGE Change (Weight Change*GWP)</t>
  </si>
  <si>
    <t>Total</t>
  </si>
  <si>
    <t xml:space="preserve">29 Week (full school-year) Model Weight and GHGE </t>
  </si>
  <si>
    <t>% Change</t>
  </si>
  <si>
    <t>September 2018 Thru February 2019 Beef Patty Orders</t>
  </si>
  <si>
    <t>September</t>
  </si>
  <si>
    <t>October</t>
  </si>
  <si>
    <t>November</t>
  </si>
  <si>
    <t>December*</t>
  </si>
  <si>
    <t>Key</t>
  </si>
  <si>
    <t>Definition</t>
  </si>
  <si>
    <t>*</t>
  </si>
  <si>
    <t>There are no farm to fork invoices from December, so I used the November farm to fork invoices for December as well</t>
  </si>
  <si>
    <t>GHGE from Beef Patties in the DUCling During the 2018-2019 School Year (kgCO2-eq)</t>
  </si>
  <si>
    <t>6 Weeks of Ordering Data</t>
  </si>
  <si>
    <t>29 Weeks of Ordering Data</t>
  </si>
  <si>
    <t>Blended Burger Scenario Using 2018-2019 School Year Ordering Data (assuming 29 weeks of ordering)</t>
  </si>
  <si>
    <t>Beef weight (kg)</t>
  </si>
  <si>
    <t>Mushroom Weight (kg)</t>
  </si>
  <si>
    <t>Total Weight (kg)</t>
  </si>
  <si>
    <t>100% Beef Burgers</t>
  </si>
  <si>
    <t>75/25 Blended Burger</t>
  </si>
  <si>
    <t>50/50 Blended Burger</t>
  </si>
  <si>
    <t>Cool Food Pledge Model (kgCO2-eq)</t>
  </si>
  <si>
    <t>GHGE from 2018-2019 School Year</t>
  </si>
  <si>
    <t>Cool Food Pledge 2030 GHGE Goal</t>
  </si>
  <si>
    <t>Total GHGE Reduction by 2030</t>
  </si>
  <si>
    <t>Yearly GHGE Reduction</t>
  </si>
  <si>
    <t>Cool Food Pledge Model over 10 years (kgCO2-eq)</t>
  </si>
  <si>
    <t>2030 GHGE Total</t>
  </si>
  <si>
    <t>GHGE from the DUCling During the 2018-2019 School Year (kgCO2-eq)</t>
  </si>
  <si>
    <t>September (kgCO2-eq)</t>
  </si>
  <si>
    <t>October (kgCO2-eq)</t>
  </si>
  <si>
    <t>November (kgCO2-eq)</t>
  </si>
  <si>
    <t>December (kgCO2-eq)</t>
  </si>
  <si>
    <t>January (kgCO2-eq)</t>
  </si>
  <si>
    <t>February (kgCO2-eq)</t>
  </si>
  <si>
    <t>March (kgCO2-eq)</t>
  </si>
  <si>
    <t>April (kgCO2-eq)</t>
  </si>
  <si>
    <t>May (kgCO2-eq)</t>
  </si>
  <si>
    <t>Total (kgCO2-eq)</t>
  </si>
  <si>
    <t>Week 1</t>
  </si>
  <si>
    <t>Week 2</t>
  </si>
  <si>
    <t>Week 3</t>
  </si>
  <si>
    <t>Week 4</t>
  </si>
  <si>
    <t>GHGE emissions I computed for that specific week</t>
  </si>
  <si>
    <t>Average GHGE emissions per week that I computed (denoted by salmon color cells) using the Septemeber through February numbers (used because March, April, and May purchasing data was not available)</t>
  </si>
  <si>
    <t>Total GHGE from the 2018-2019 school year</t>
  </si>
  <si>
    <t>GHGE Totals Per Month (kgCO2-eq)</t>
  </si>
  <si>
    <t>GHGE emissions I computed for the week</t>
  </si>
  <si>
    <t>Average GHGE emissions per week using the Septemeber through February numbers (used because March, April, and May purchasing data was not available)</t>
  </si>
  <si>
    <t xml:space="preserve">Yearly GHGE Net Loss </t>
  </si>
  <si>
    <t>Year 1 GHGE Reduction (2021)</t>
  </si>
  <si>
    <t>Year 2 GHGE Reduction (2022)</t>
  </si>
  <si>
    <t>Year 3 (2023)</t>
  </si>
  <si>
    <t>Year 4 (2024)</t>
  </si>
  <si>
    <t>Year 5 (2025)</t>
  </si>
  <si>
    <t>Year 6 (2026)</t>
  </si>
  <si>
    <t>Year 7 (2027)</t>
  </si>
  <si>
    <t>Year 8 (2028)</t>
  </si>
  <si>
    <t>Year 9 (2029)</t>
  </si>
  <si>
    <t>Year 10 (2030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</si>
</sst>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Times New Roman"/>
    </font>
    <font>
      <sz val="12"/>
      <color rgb="FF000000"/>
      <name val="Calibri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/>
      <bottom style="thin">
        <color theme="9" tint="0.59999389629810485"/>
      </bottom>
      <diagonal/>
    </border>
    <border>
      <left/>
      <right/>
      <top style="double">
        <color theme="9" tint="-0.249977111117893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9">
    <xf numFmtId="0" fontId="0" fillId="0" borderId="0"/>
    <xf numFmtId="9" fontId="2" fillId="0" borderId="0" applyFont="0" applyFill="0" applyBorder="0" applyAlignment="0" applyProtection="0"/>
    <xf numFmtId="0" fontId="3" fillId="2" borderId="1" applyNumberFormat="0" applyAlignment="0" applyProtection="0"/>
    <xf numFmtId="0" fontId="4" fillId="3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8">
    <xf numFmtId="0" fontId="0" fillId="0" borderId="0" xfId="0"/>
    <xf numFmtId="0" fontId="5" fillId="4" borderId="3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0" fontId="5" fillId="0" borderId="0" xfId="0" applyFont="1"/>
    <xf numFmtId="0" fontId="0" fillId="0" borderId="0" xfId="0" applyBorder="1"/>
    <xf numFmtId="0" fontId="0" fillId="0" borderId="0" xfId="0" applyFill="1" applyBorder="1"/>
    <xf numFmtId="14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4" xfId="0" applyBorder="1"/>
    <xf numFmtId="14" fontId="0" fillId="0" borderId="0" xfId="0" applyNumberFormat="1" applyFill="1"/>
    <xf numFmtId="0" fontId="0" fillId="5" borderId="0" xfId="0" applyFill="1"/>
    <xf numFmtId="16" fontId="0" fillId="0" borderId="0" xfId="0" applyNumberFormat="1"/>
    <xf numFmtId="0" fontId="5" fillId="4" borderId="4" xfId="0" applyFont="1" applyFill="1" applyBorder="1"/>
    <xf numFmtId="0" fontId="6" fillId="3" borderId="5" xfId="3" applyFont="1" applyBorder="1"/>
    <xf numFmtId="0" fontId="4" fillId="3" borderId="5" xfId="3" applyBorder="1"/>
    <xf numFmtId="0" fontId="3" fillId="2" borderId="5" xfId="2" applyBorder="1"/>
    <xf numFmtId="0" fontId="6" fillId="0" borderId="0" xfId="3" applyFont="1" applyFill="1" applyBorder="1"/>
    <xf numFmtId="0" fontId="4" fillId="0" borderId="0" xfId="3" applyFill="1" applyBorder="1"/>
    <xf numFmtId="0" fontId="3" fillId="0" borderId="0" xfId="2" applyFill="1" applyBorder="1"/>
    <xf numFmtId="0" fontId="6" fillId="3" borderId="1" xfId="3" applyFont="1"/>
    <xf numFmtId="0" fontId="4" fillId="3" borderId="1" xfId="3"/>
    <xf numFmtId="0" fontId="3" fillId="2" borderId="1" xfId="2"/>
    <xf numFmtId="14" fontId="0" fillId="0" borderId="4" xfId="0" applyNumberFormat="1" applyBorder="1"/>
    <xf numFmtId="0" fontId="0" fillId="0" borderId="0" xfId="1" applyNumberFormat="1" applyFont="1"/>
    <xf numFmtId="1" fontId="0" fillId="0" borderId="0" xfId="0" applyNumberFormat="1"/>
    <xf numFmtId="1" fontId="0" fillId="0" borderId="4" xfId="0" applyNumberFormat="1" applyBorder="1"/>
    <xf numFmtId="9" fontId="0" fillId="0" borderId="0" xfId="0" applyNumberFormat="1"/>
    <xf numFmtId="0" fontId="5" fillId="4" borderId="0" xfId="0" applyFont="1" applyFill="1" applyAlignment="1">
      <alignment horizontal="center"/>
    </xf>
    <xf numFmtId="0" fontId="5" fillId="6" borderId="0" xfId="0" applyFont="1" applyFill="1" applyBorder="1"/>
    <xf numFmtId="0" fontId="0" fillId="6" borderId="0" xfId="0" applyFill="1"/>
    <xf numFmtId="0" fontId="5" fillId="6" borderId="0" xfId="0" applyFont="1" applyFill="1"/>
    <xf numFmtId="1" fontId="0" fillId="0" borderId="0" xfId="0" applyNumberFormat="1" applyBorder="1"/>
    <xf numFmtId="0" fontId="0" fillId="5" borderId="0" xfId="0" applyFill="1" applyBorder="1"/>
    <xf numFmtId="1" fontId="0" fillId="0" borderId="0" xfId="0" applyNumberFormat="1" applyFill="1"/>
    <xf numFmtId="0" fontId="10" fillId="0" borderId="0" xfId="0" applyFont="1"/>
    <xf numFmtId="1" fontId="0" fillId="0" borderId="0" xfId="0" applyNumberFormat="1" applyFill="1" applyBorder="1"/>
    <xf numFmtId="0" fontId="0" fillId="7" borderId="0" xfId="0" applyFill="1"/>
    <xf numFmtId="0" fontId="0" fillId="0" borderId="2" xfId="0" applyBorder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6" xfId="0" applyNumberFormat="1" applyFont="1" applyBorder="1"/>
    <xf numFmtId="0" fontId="9" fillId="8" borderId="8" xfId="0" applyFont="1" applyFill="1" applyBorder="1"/>
    <xf numFmtId="0" fontId="0" fillId="0" borderId="0" xfId="0" applyAlignment="1">
      <alignment horizontal="left" indent="1"/>
    </xf>
    <xf numFmtId="0" fontId="9" fillId="9" borderId="6" xfId="0" applyNumberFormat="1" applyFont="1" applyFill="1" applyBorder="1"/>
    <xf numFmtId="0" fontId="5" fillId="0" borderId="9" xfId="0" applyNumberFormat="1" applyFont="1" applyBorder="1"/>
    <xf numFmtId="10" fontId="0" fillId="0" borderId="0" xfId="0" applyNumberFormat="1"/>
    <xf numFmtId="10" fontId="0" fillId="0" borderId="6" xfId="0" applyNumberFormat="1" applyFont="1" applyBorder="1"/>
    <xf numFmtId="43" fontId="0" fillId="6" borderId="0" xfId="8" applyFont="1" applyFill="1"/>
    <xf numFmtId="43" fontId="0" fillId="0" borderId="0" xfId="8" applyFont="1"/>
    <xf numFmtId="0" fontId="11" fillId="0" borderId="0" xfId="0" applyFont="1"/>
    <xf numFmtId="3" fontId="0" fillId="0" borderId="0" xfId="0" applyNumberFormat="1"/>
    <xf numFmtId="43" fontId="0" fillId="0" borderId="0" xfId="0" applyNumberFormat="1"/>
    <xf numFmtId="3" fontId="0" fillId="0" borderId="0" xfId="0" applyNumberFormat="1" applyFill="1"/>
    <xf numFmtId="43" fontId="0" fillId="0" borderId="0" xfId="8" applyFont="1" applyFill="1"/>
    <xf numFmtId="43" fontId="0" fillId="0" borderId="0" xfId="0" applyNumberFormat="1" applyFill="1"/>
    <xf numFmtId="0" fontId="5" fillId="4" borderId="3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0" fillId="6" borderId="0" xfId="0" applyFill="1" applyBorder="1"/>
    <xf numFmtId="0" fontId="0" fillId="0" borderId="4" xfId="0" applyFill="1" applyBorder="1"/>
    <xf numFmtId="0" fontId="5" fillId="0" borderId="0" xfId="0" applyFont="1" applyAlignment="1">
      <alignment horizontal="center"/>
    </xf>
    <xf numFmtId="0" fontId="0" fillId="0" borderId="7" xfId="0" applyNumberFormat="1" applyFont="1" applyBorder="1"/>
    <xf numFmtId="4" fontId="0" fillId="0" borderId="0" xfId="0" applyNumberFormat="1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0" fontId="0" fillId="0" borderId="7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0" fontId="0" fillId="0" borderId="2" xfId="0" applyNumberFormat="1" applyBorder="1"/>
    <xf numFmtId="0" fontId="0" fillId="0" borderId="12" xfId="0" applyFill="1" applyBorder="1"/>
    <xf numFmtId="14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Fill="1" applyBorder="1"/>
    <xf numFmtId="14" fontId="0" fillId="0" borderId="0" xfId="0" applyNumberFormat="1" applyFill="1" applyBorder="1"/>
    <xf numFmtId="0" fontId="5" fillId="0" borderId="0" xfId="0" applyFont="1" applyAlignment="1"/>
    <xf numFmtId="0" fontId="5" fillId="0" borderId="0" xfId="0" applyFont="1" applyBorder="1" applyAlignment="1"/>
    <xf numFmtId="43" fontId="0" fillId="0" borderId="0" xfId="8" applyFont="1" applyBorder="1"/>
    <xf numFmtId="43" fontId="0" fillId="0" borderId="0" xfId="0" applyNumberFormat="1" applyBorder="1"/>
    <xf numFmtId="43" fontId="0" fillId="0" borderId="12" xfId="0" applyNumberFormat="1" applyBorder="1"/>
    <xf numFmtId="0" fontId="0" fillId="0" borderId="1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10" borderId="0" xfId="0" applyFill="1"/>
    <xf numFmtId="0" fontId="0" fillId="7" borderId="2" xfId="0" applyFill="1" applyBorder="1"/>
    <xf numFmtId="43" fontId="5" fillId="11" borderId="0" xfId="8" applyFont="1" applyFill="1"/>
    <xf numFmtId="43" fontId="5" fillId="0" borderId="0" xfId="8" applyFont="1" applyFill="1"/>
    <xf numFmtId="0" fontId="0" fillId="7" borderId="12" xfId="0" applyFill="1" applyBorder="1"/>
    <xf numFmtId="0" fontId="0" fillId="10" borderId="12" xfId="0" applyFill="1" applyBorder="1"/>
    <xf numFmtId="0" fontId="0" fillId="11" borderId="12" xfId="0" applyFill="1" applyBorder="1"/>
    <xf numFmtId="17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69">
    <cellStyle name="Calculation" xfId="3" builtinId="22"/>
    <cellStyle name="Comma" xfId="8" builtinId="3"/>
    <cellStyle name="Followed Hyperlink" xfId="5" builtinId="9" hidden="1"/>
    <cellStyle name="Followed Hyperlink" xfId="7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4" builtinId="8" hidden="1"/>
    <cellStyle name="Hyperlink" xfId="6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Input" xfId="2" builtinId="20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pivotCacheDefinition" Target="pivotCache/pivotCacheDefinition1.xml"/><Relationship Id="rId25" Type="http://schemas.openxmlformats.org/officeDocument/2006/relationships/pivotCacheDefinition" Target="pivotCache/pivotCacheDefinition2.xml"/><Relationship Id="rId26" Type="http://schemas.openxmlformats.org/officeDocument/2006/relationships/pivotCacheDefinition" Target="pivotCache/pivotCacheDefinition3.xml"/><Relationship Id="rId27" Type="http://schemas.openxmlformats.org/officeDocument/2006/relationships/pivotCacheDefinition" Target="pivotCache/pivotCacheDefinition4.xml"/><Relationship Id="rId28" Type="http://schemas.openxmlformats.org/officeDocument/2006/relationships/theme" Target="theme/theme1.xml"/><Relationship Id="rId29" Type="http://schemas.openxmlformats.org/officeDocument/2006/relationships/styles" Target="styles.xml"/><Relationship Id="rId30" Type="http://schemas.openxmlformats.org/officeDocument/2006/relationships/sharedStrings" Target="sharedStrings.xml"/><Relationship Id="rId3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GHGE from the DUCling from September 2018 through February 2019 (after extrapolation)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'2018-19 Extrap. Data(no breaks)'!$A$17</c:f>
              <c:strCache>
                <c:ptCount val="1"/>
                <c:pt idx="0">
                  <c:v>GHGE (kgCO2-eq)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'2018-19 Extrap. Data(no breaks)'!$B$16:$G$16</c:f>
              <c:strCache>
                <c:ptCount val="6"/>
                <c:pt idx="0">
                  <c:v>September (kgCO2-eq)</c:v>
                </c:pt>
                <c:pt idx="1">
                  <c:v>October (kgCO2-eq)</c:v>
                </c:pt>
                <c:pt idx="2">
                  <c:v>November (kgCO2-eq)</c:v>
                </c:pt>
                <c:pt idx="3">
                  <c:v>December (kgCO2-eq)</c:v>
                </c:pt>
                <c:pt idx="4">
                  <c:v>January (kgCO2-eq)</c:v>
                </c:pt>
                <c:pt idx="5">
                  <c:v>February (kgCO2-eq)</c:v>
                </c:pt>
              </c:strCache>
            </c:strRef>
          </c:cat>
          <c:val>
            <c:numRef>
              <c:f>'2018-19 Extrap. Data(no breaks)'!$B$17:$G$17</c:f>
              <c:numCache>
                <c:formatCode>_(* #,##0.00_);_(* \(#,##0.00\);_(* "-"??_);_(@_)</c:formatCode>
                <c:ptCount val="6"/>
                <c:pt idx="0">
                  <c:v>197335.5866607003</c:v>
                </c:pt>
                <c:pt idx="1">
                  <c:v>207376.5115211878</c:v>
                </c:pt>
                <c:pt idx="2">
                  <c:v>233222.2424137002</c:v>
                </c:pt>
                <c:pt idx="3">
                  <c:v>221298.384598101</c:v>
                </c:pt>
                <c:pt idx="4">
                  <c:v>175948.9381757328</c:v>
                </c:pt>
                <c:pt idx="5">
                  <c:v>190818.8613152031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5425520"/>
        <c:axId val="815430528"/>
      </c:barChart>
      <c:catAx>
        <c:axId val="815425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5430528"/>
        <c:crosses val="autoZero"/>
        <c:auto val="1"/>
        <c:lblAlgn val="ctr"/>
        <c:lblOffset val="100"/>
        <c:noMultiLvlLbl val="0"/>
      </c:catAx>
      <c:valAx>
        <c:axId val="81543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GHGE (kgCO2-eq)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542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546100</xdr:colOff>
      <xdr:row>11</xdr:row>
      <xdr:rowOff>152400</xdr:rowOff>
    </xdr:from>
    <xdr:to>
      <xdr:col>13</xdr:col>
      <xdr:colOff>508000</xdr:colOff>
      <xdr:row>31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3536.650431018519" createdVersion="4" refreshedVersion="4" minRefreshableVersion="3" recordCount="240">
  <cacheSource type="worksheet">
    <worksheetSource ref="A2:L242" sheet="February 2019 (Sysco)"/>
  </cacheSource>
  <cacheFields count="12">
    <cacheField name="Invoice Date" numFmtId="14">
      <sharedItems containsSemiMixedTypes="0" containsNonDate="0" containsDate="1" containsString="0" minDate="2019-02-01T00:00:00" maxDate="2019-02-08T00:00:00"/>
    </cacheField>
    <cacheField name="Supplier/Distributor" numFmtId="0">
      <sharedItems/>
    </cacheField>
    <cacheField name="QTY " numFmtId="0">
      <sharedItems containsSemiMixedTypes="0" containsString="0" containsNumber="1" containsInteger="1" minValue="0" maxValue="18"/>
    </cacheField>
    <cacheField name="Pack (Sysco)" numFmtId="0">
      <sharedItems containsSemiMixedTypes="0" containsString="0" containsNumber="1" containsInteger="1" minValue="1" maxValue="500"/>
    </cacheField>
    <cacheField name="Weight (LBS)" numFmtId="0">
      <sharedItems containsMixedTypes="1" containsNumber="1" minValue="6.25E-2" maxValue="212.13"/>
    </cacheField>
    <cacheField name="Menu items" numFmtId="0">
      <sharedItems/>
    </cacheField>
    <cacheField name="Food Category" numFmtId="0">
      <sharedItems count="72">
        <s v="ARTICHOKE, globe"/>
        <s v="bean, black"/>
        <s v="BEAN, great northern"/>
        <s v="BEAN, kidney"/>
        <s v="BEAN,black"/>
        <s v="CAPER"/>
        <s v="CEREAL"/>
        <s v="chickpea"/>
        <s v="COCOA mix"/>
        <s v="coconut milk"/>
        <s v="condiment"/>
        <s v="condiment, mayo"/>
        <s v="CORN, starch"/>
        <s v="CRACKER"/>
        <s v="CRACKER, goldfish, snacks"/>
        <s v="CRANBERRY, dried"/>
        <s v="DRESSING"/>
        <s v="EXTRACT"/>
        <s v="FLOUR"/>
        <s v="HONEY"/>
        <s v="jam"/>
        <s v="lentil, seed"/>
        <s v="MOLASSES, sugar"/>
        <s v="NOODLE"/>
        <s v="OLIVE"/>
        <s v="olive oil"/>
        <s v="olive "/>
        <s v="pancake mix"/>
        <s v="PASTA"/>
        <s v="PEPPER, nonbell"/>
        <s v="RICE"/>
        <s v="SPICE"/>
        <s v="spices"/>
        <s v="SUGAR"/>
        <s v="SUGAR, brown"/>
        <s v="sunflower oil"/>
        <s v="SUNFLOWER, seed"/>
        <s v="SYRUP, maple"/>
        <s v="TOMATO"/>
        <s v="TUNA"/>
        <s v="VINEGAR"/>
        <s v="wheat, grain"/>
        <s v="YEAST"/>
        <s v="BUTTER"/>
        <s v="CHEESE"/>
        <s v="CREAM"/>
        <s v="EGG"/>
        <s v="half and half"/>
        <s v="heavy whip cream"/>
        <s v="MARGARINE"/>
        <s v="MILK"/>
        <s v="soy milk"/>
        <s v="soymilk"/>
        <s v="YOGURT"/>
        <s v="BANANA"/>
        <s v="beyond burger"/>
        <s v="black bean burger"/>
        <s v="BREAD"/>
        <s v="BUN"/>
        <s v="EGGROLL"/>
        <s v="MANGO"/>
        <s v="PEA, dry"/>
        <s v="POTATO"/>
        <s v="ROLL"/>
        <s v="SPINACH"/>
        <s v="TORTILLA, flour"/>
        <s v="1/2 beef 1/2 pork"/>
        <s v="beef"/>
        <s v="pork"/>
        <s v="chicken"/>
        <s v="turkey"/>
        <s v="fish, saltwater"/>
      </sharedItems>
    </cacheField>
    <cacheField name="Food Type" numFmtId="0">
      <sharedItems count="3">
        <s v="Plant-based"/>
        <s v="Animal-based"/>
        <s v="Meat"/>
      </sharedItems>
    </cacheField>
    <cacheField name="Weight (lb)" numFmtId="0">
      <sharedItems containsSemiMixedTypes="0" containsString="0" containsNumber="1" minValue="0" maxValue="720"/>
    </cacheField>
    <cacheField name="Weight (kg)" numFmtId="0">
      <sharedItems containsSemiMixedTypes="0" containsString="0" containsNumber="1" minValue="0" maxValue="326.58650640000002"/>
    </cacheField>
    <cacheField name="GWP (kg CO2-eq/kg)" numFmtId="0">
      <sharedItems containsString="0" containsBlank="1" containsNumber="1" minValue="0.217" maxValue="33.646999999999998"/>
    </cacheField>
    <cacheField name="GHGE (kg CO2-eq)" numFmtId="0">
      <sharedItems containsSemiMixedTypes="0" containsString="0" containsNumber="1" minValue="0" maxValue="4249.70375752710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crosoft Office User" refreshedDate="43536.650436342592" createdVersion="4" refreshedVersion="4" minRefreshableVersion="3" recordCount="244">
  <cacheSource type="worksheet">
    <worksheetSource ref="A2:L246" sheet="December 2018 (Sysco)"/>
  </cacheSource>
  <cacheFields count="12">
    <cacheField name="Invoice Date" numFmtId="14">
      <sharedItems containsSemiMixedTypes="0" containsNonDate="0" containsDate="1" containsString="0" minDate="2018-11-30T00:00:00" maxDate="2018-12-06T00:00:00"/>
    </cacheField>
    <cacheField name="Supplier/Distributor" numFmtId="0">
      <sharedItems/>
    </cacheField>
    <cacheField name="QTY " numFmtId="0">
      <sharedItems containsSemiMixedTypes="0" containsString="0" containsNumber="1" containsInteger="1" minValue="1" maxValue="15"/>
    </cacheField>
    <cacheField name="Pack (Sysco)" numFmtId="0">
      <sharedItems containsSemiMixedTypes="0" containsString="0" containsNumber="1" containsInteger="1" minValue="1" maxValue="500"/>
    </cacheField>
    <cacheField name="Pounds (Royal)" numFmtId="0">
      <sharedItems containsMixedTypes="1" containsNumber="1" minValue="3.125E-2" maxValue="220.62"/>
    </cacheField>
    <cacheField name="Menu items" numFmtId="0">
      <sharedItems/>
    </cacheField>
    <cacheField name="Food Category" numFmtId="0">
      <sharedItems count="82">
        <s v="apricot PRESERVE"/>
        <s v="ARTICHOKE"/>
        <s v="BEAN, great northern"/>
        <s v="bean, black"/>
        <s v="bean, kidney"/>
        <s v="BEAN, pinto"/>
        <s v="BREAD"/>
        <s v="cannola oil"/>
        <s v="CEREAL"/>
        <s v="CORN, meal"/>
        <s v="CEREAL, apple jacks"/>
        <s v="CEREAL, frosted flakes"/>
        <s v="CEREAL, granola"/>
        <s v="chickpea"/>
        <s v="COCOA, powder"/>
        <s v="CORN, starch"/>
        <s v="CRACKER"/>
        <s v="CRANBERRY"/>
        <s v="cucumber"/>
        <s v="FLOUR"/>
        <s v="grits, maize/corn"/>
        <s v="HONEY"/>
        <s v="JELLY"/>
        <s v="condiment"/>
        <s v="condiment, mayo"/>
        <s v="MOLASSES"/>
        <s v="NOODLE"/>
        <s v="OIL"/>
        <s v="OLIVE"/>
        <s v="pancake MIX"/>
        <s v="PASTA"/>
        <s v="PASTE, tahini"/>
        <s v="PEA, blackeye"/>
        <s v="PEPPER, nonbell"/>
        <s v="PEPPER"/>
        <s v="pepper, black and white"/>
        <s v="PEPPER, non bell"/>
        <s v="wheat, grain"/>
        <s v="RAISIN"/>
        <s v="RICE"/>
        <s v="seasame oil"/>
        <s v="SPICE"/>
        <s v="spices, other"/>
        <s v="SUGAR"/>
        <s v="SYRUP"/>
        <s v="SYRUP, pancake"/>
        <s v="TOMATO"/>
        <s v="TOMATO, paste"/>
        <s v="TUNA"/>
        <s v="VINEGAR"/>
        <s v="WINE"/>
        <s v="WRAP"/>
        <s v="YEAST"/>
        <s v="BUTTER"/>
        <s v="CHEESE"/>
        <s v="CREAM"/>
        <s v="EGG"/>
        <s v="ICE cream"/>
        <s v="soy milk"/>
        <s v="milk"/>
        <s v="YOGURT"/>
        <s v="BANANA"/>
        <s v="beyond BURGER"/>
        <s v="black bean burger"/>
        <s v="BUN"/>
        <s v="beyond meat chicken"/>
        <s v="CHURRO"/>
        <s v="CORN"/>
        <s v="Biscuit"/>
        <s v="PEA, green"/>
        <s v="POTATO"/>
        <s v="POTATO chip"/>
        <s v="sweet POTATO"/>
        <s v="TORTILLA, corn"/>
        <s v="tortilla, flour"/>
        <s v="1/2 beef 1/2 pork"/>
        <s v="BEEF"/>
        <s v="CORN dog"/>
        <s v="pork"/>
        <s v="TURKEY"/>
        <s v="fish"/>
        <s v="OIL, canola" u="1"/>
      </sharedItems>
    </cacheField>
    <cacheField name="Food Type" numFmtId="0">
      <sharedItems count="3">
        <s v="Plant-based"/>
        <s v="Animal-based"/>
        <s v="Meat"/>
      </sharedItems>
    </cacheField>
    <cacheField name="Weight (lbs)" numFmtId="0">
      <sharedItems containsSemiMixedTypes="0" containsString="0" containsNumber="1" minValue="0" maxValue="645"/>
    </cacheField>
    <cacheField name="Weight (kg)" numFmtId="0">
      <sharedItems containsSemiMixedTypes="0" containsString="0" containsNumber="1" minValue="0" maxValue="292.56707865000004"/>
    </cacheField>
    <cacheField name="GWP (kg CO2-eq/kg)" numFmtId="0">
      <sharedItems containsString="0" containsBlank="1" containsNumber="1" minValue="0" maxValue="33.646999999999998"/>
    </cacheField>
    <cacheField name="GHGE (kg CO2-eq)" numFmtId="0">
      <sharedItems containsSemiMixedTypes="0" containsString="0" containsNumber="1" minValue="0" maxValue="3286.95008759511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icrosoft Office User" refreshedDate="43536.650441203703" createdVersion="4" refreshedVersion="4" minRefreshableVersion="3" recordCount="240">
  <cacheSource type="worksheet">
    <worksheetSource ref="A2:L242" sheet="January 2019 (Sysco)"/>
  </cacheSource>
  <cacheFields count="12">
    <cacheField name="Invoice Date" numFmtId="14">
      <sharedItems containsSemiMixedTypes="0" containsNonDate="0" containsDate="1" containsString="0" minDate="2019-01-18T00:00:00" maxDate="2019-01-24T00:00:00"/>
    </cacheField>
    <cacheField name="Supplier/Distributor" numFmtId="0">
      <sharedItems/>
    </cacheField>
    <cacheField name="QTY " numFmtId="0">
      <sharedItems containsSemiMixedTypes="0" containsString="0" containsNumber="1" containsInteger="1" minValue="0" maxValue="22"/>
    </cacheField>
    <cacheField name="Pack (Sysco)" numFmtId="0">
      <sharedItems containsSemiMixedTypes="0" containsString="0" containsNumber="1" containsInteger="1" minValue="1" maxValue="500"/>
    </cacheField>
    <cacheField name="Pounds (Royal)" numFmtId="0">
      <sharedItems containsMixedTypes="1" containsNumber="1" minValue="3.125E-2" maxValue="213.13"/>
    </cacheField>
    <cacheField name="Menu items" numFmtId="0">
      <sharedItems/>
    </cacheField>
    <cacheField name="Food Category" numFmtId="0">
      <sharedItems count="139">
        <s v="BARLEY"/>
        <s v="BEAN"/>
        <s v="bean, black"/>
        <s v="BEAN, great northern seed"/>
        <s v="BEAN, kidney"/>
        <s v="bean, pinto"/>
        <s v="BEAN,black"/>
        <s v="CAPER"/>
        <s v="CEREAL"/>
        <s v="chickpea"/>
        <s v="COCOA powder"/>
        <s v="condiment"/>
        <s v="condiment, mayo"/>
        <s v="COOKIE, oreo"/>
        <s v="CORN, starch"/>
        <s v="wheat, grain"/>
        <s v="CRACKER, goldfish"/>
        <s v="CRACKER, oyster"/>
        <s v="CRACKER, saltine"/>
        <s v="CRANBERRY, dried"/>
        <s v="EXTRACT, vanilla"/>
        <s v="FLOUR"/>
        <s v="HONEY"/>
        <s v="Jam"/>
        <s v="JELLY"/>
        <s v="KETCHUP"/>
        <s v="lentil, seed"/>
        <s v="MOLASSES, sugar cane"/>
        <s v="NOODLE"/>
        <s v="sunflower oil"/>
        <s v="OLIVE"/>
        <s v="pancake mix"/>
        <s v="PASTA"/>
        <s v="peanut butter"/>
        <s v="PEPPER, nonbell"/>
        <s v="pepper, black and white"/>
        <s v="QUINOA"/>
        <s v="RICE"/>
        <s v="SPICE"/>
        <s v="spices, other"/>
        <s v="SUGAR"/>
        <s v="SUNFLOWER butter"/>
        <s v="SYRUP, maple"/>
        <s v="TOMATO"/>
        <s v="TUNA"/>
        <s v="VINEGAR"/>
        <s v="WINE"/>
        <s v="BUTTER"/>
        <s v="CHEESE"/>
        <s v="CREAM"/>
        <s v="EGG"/>
        <s v="ICE cream"/>
        <s v="MARGARINE"/>
        <s v="MILK"/>
        <s v="soymilk"/>
        <s v="soy milk"/>
        <s v="YOGURT"/>
        <s v="beyond burger"/>
        <s v="beyond meat chicken-free STRIP"/>
        <s v="black bean burger"/>
        <s v="BREAD"/>
        <s v="BREAD, pita"/>
        <s v="BUN"/>
        <s v="sweet corn kernels "/>
        <s v="CROISSANT"/>
        <s v="DOUGH, biscuit"/>
        <s v="DOUGH, pie crust"/>
        <s v="english muffin, bread"/>
        <s v="POTATO"/>
        <s v="sweet potato"/>
        <s v="TORTILLA"/>
        <s v="TORTILLA, corn"/>
        <s v="TORTILLA, flour"/>
        <s v="beef"/>
        <s v="PEPPERONI"/>
        <s v="pork"/>
        <s v="turkey"/>
        <s v="chicken"/>
        <s v="corn dog, turkey"/>
        <s v="SALMON"/>
        <s v="TILAPIA"/>
        <s v="Strawberry" u="1"/>
        <s v="Spinach" u="1"/>
        <s v="Cranberries" u="1"/>
        <s v="Grape" u="1"/>
        <s v="Parsley" u="1"/>
        <s v="trout, farmed" u="1"/>
        <s v="Mushroom" u="1"/>
        <s v="Ginger" u="1"/>
        <s v="Collards" u="1"/>
        <s v="Cantaloupe" u="1"/>
        <s v="whipping cream" u="1"/>
        <s v="Beans, broad, succulent" u="1"/>
        <s v="Eggplant" u="1"/>
        <s v="basil" u="1"/>
        <s v="Broccoli" u="1"/>
        <s v="orange" u="1"/>
        <s v="Avocado" u="1"/>
        <s v="Asparagus" u="1"/>
        <s v="lime juice" u="1"/>
        <s v="Onion" u="1"/>
        <s v="apple" u="1"/>
        <s v="Garlic" u="1"/>
        <s v="Tofu" u="1"/>
        <s v="Onion, green" u="1"/>
        <s v="POPCORN" u="1"/>
        <s v="Herbs" u="1"/>
        <s v="Grapefruit" u="1"/>
        <s v="Cabbage" u="1"/>
        <s v="half and half" u="1"/>
        <s v="Squash" u="1"/>
        <s v="Pear" u="1"/>
        <s v="swiss chard" u="1"/>
        <s v="Cilantro" u="1"/>
        <s v="Cauliflower" u="1"/>
        <s v="Beets" u="1"/>
        <s v="Celery" u="1"/>
        <s v="lemon juice" u="1"/>
        <s v="Blueberry" u="1"/>
        <s v="soybean" u="1"/>
        <s v="carrot" u="1"/>
        <s v="Lettuce" u="1"/>
        <s v="Cucumber" u="1"/>
        <s v="apples" u="1"/>
        <s v="Pineapple" u="1"/>
        <s v="Corn, sweet" u="1"/>
        <s v="coffee" u="1"/>
        <s v="Blackberry" u="1"/>
        <s v="MAYONNAISE" u="1"/>
        <s v="Brussels" u="1"/>
        <s v="Honeydew" u="1"/>
        <s v="catfish, farmed" u="1"/>
        <s v="oranges" u="1"/>
        <s v="soybean, seed" u="1"/>
        <s v="Kale" u="1"/>
        <s v="Shallots" u="1"/>
        <s v="Pepper" u="1"/>
        <s v="sorbet" u="1"/>
        <s v="Bananas" u="1"/>
      </sharedItems>
    </cacheField>
    <cacheField name="Food Type" numFmtId="0">
      <sharedItems count="3">
        <s v="Plant-based"/>
        <s v="Animal-based"/>
        <s v="Meat"/>
      </sharedItems>
    </cacheField>
    <cacheField name="Weight (lb)" numFmtId="0">
      <sharedItems containsSemiMixedTypes="0" containsString="0" containsNumber="1" minValue="0" maxValue="960"/>
    </cacheField>
    <cacheField name="Weight (kg)" numFmtId="0">
      <sharedItems containsSemiMixedTypes="0" containsString="0" containsNumber="1" minValue="0" maxValue="435.44867520000003"/>
    </cacheField>
    <cacheField name="GWP (kg CO2-eq/kg)" numFmtId="0">
      <sharedItems containsString="0" containsBlank="1" containsNumber="1" minValue="0.217" maxValue="33.646999999999998"/>
    </cacheField>
    <cacheField name="GHGE (kg CO2-eq)" numFmtId="0">
      <sharedItems containsSemiMixedTypes="0" containsString="0" containsNumber="1" minValue="0" maxValue="3175.35886215731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Microsoft Office User" refreshedDate="43536.650418865742" createdVersion="4" refreshedVersion="4" minRefreshableVersion="3" recordCount="3059">
  <cacheSource type="worksheet">
    <worksheetSource ref="A2:L3061" sheet="September through February"/>
  </cacheSource>
  <cacheFields count="12">
    <cacheField name="Invoice Date" numFmtId="0">
      <sharedItems containsNonDate="0" containsDate="1" containsString="0" containsBlank="1" minDate="2018-08-31T00:00:00" maxDate="2019-02-08T00:00:00"/>
    </cacheField>
    <cacheField name="Supplier/Distributor" numFmtId="0">
      <sharedItems/>
    </cacheField>
    <cacheField name="QTY" numFmtId="0">
      <sharedItems containsSemiMixedTypes="0" containsString="0" containsNumber="1" containsInteger="1" minValue="0" maxValue="40"/>
    </cacheField>
    <cacheField name="Packs (Sysco)" numFmtId="0">
      <sharedItems containsSemiMixedTypes="0" containsString="0" containsNumber="1" containsInteger="1" minValue="1" maxValue="500"/>
    </cacheField>
    <cacheField name="Pounds" numFmtId="0">
      <sharedItems containsMixedTypes="1" containsNumber="1" minValue="3.125E-2" maxValue="680"/>
    </cacheField>
    <cacheField name="Menu Item" numFmtId="0">
      <sharedItems/>
    </cacheField>
    <cacheField name="Food Category" numFmtId="0">
      <sharedItems count="242">
        <s v="1/2 beef 1/2 pork"/>
        <s v="apple"/>
        <s v="apples"/>
        <s v="apricot PRESERVE"/>
        <s v="ARTICHOKE"/>
        <s v="arugula"/>
        <s v="asparagus"/>
        <s v="BANANA"/>
        <s v="bananas"/>
        <s v="basil"/>
        <s v="bean, black"/>
        <s v="Bean, broad, succulent"/>
        <s v="Bean, broad, succulent "/>
        <s v="BEAN, great northern"/>
        <s v="bean, kidney"/>
        <s v="BEAN, pinto"/>
        <s v="Bean, snap, succulent"/>
        <s v="beef"/>
        <s v="beyond BURGER"/>
        <s v="beyond meat chicken"/>
        <s v="Biscuit"/>
        <s v="black bean burger"/>
        <s v="blackberry"/>
        <s v="blueberry"/>
        <s v="BREAD"/>
        <s v="broccoli"/>
        <s v="brocolli"/>
        <s v="brussel"/>
        <s v="brussel sprouts"/>
        <s v="BUN"/>
        <s v="BUTTER"/>
        <s v="cabbage"/>
        <s v="cannola oil"/>
        <s v="cantaloupe"/>
        <s v="carrot"/>
        <s v="carrots"/>
        <s v="cauliflower"/>
        <s v="celery"/>
        <s v="CEREAL"/>
        <s v="CEREAL, apple jacks"/>
        <s v="CEREAL, frosted flakes"/>
        <s v="CEREAL, granola"/>
        <s v="cheese"/>
        <s v="chicken"/>
        <s v="chickpea"/>
        <s v="chives"/>
        <s v="CHURRO"/>
        <s v="cilantro"/>
        <s v="COCOA, powder"/>
        <s v="collard greens"/>
        <s v="condiment"/>
        <s v="condiment, mayo"/>
        <s v="CORN"/>
        <s v="CORN dog"/>
        <s v="CORN, meal"/>
        <s v="CORN, starch"/>
        <s v="cornmeal"/>
        <s v="CRACKER"/>
        <s v="CRANBERRY"/>
        <s v="CREAM"/>
        <s v="cucumber"/>
        <s v="dill"/>
        <s v="EGG"/>
        <s v="eggplant"/>
        <s v="fish"/>
        <s v="FLOUR"/>
        <s v="garlic"/>
        <s v="ginger"/>
        <s v="grape"/>
        <s v="grits"/>
        <s v="grits, maize/corn"/>
        <s v="h and h"/>
        <s v="half and half"/>
        <s v="herb"/>
        <s v="herbs, other"/>
        <s v="HONEY"/>
        <s v="honeydew"/>
        <s v="ice cream"/>
        <s v="JELLY"/>
        <s v="kale"/>
        <s v="lamb"/>
        <s v="leeks"/>
        <s v="lemon juice"/>
        <s v="lettuce"/>
        <s v="lime juice"/>
        <s v="limes"/>
        <s v="milk"/>
        <s v="MOLASSES"/>
        <s v="mushroom"/>
        <s v="NOODLE"/>
        <s v="OIL"/>
        <s v="OLIVE"/>
        <s v="onion"/>
        <s v="onion, green"/>
        <s v="onion, yellow"/>
        <s v="orange "/>
        <s v="Oranges"/>
        <s v="pancake MIX"/>
        <s v="parsley"/>
        <s v="PASTA"/>
        <s v="PASTE, tahini"/>
        <s v="PEA, blackeye"/>
        <s v="Pea, edible podded, succulent"/>
        <s v="PEA, green"/>
        <s v="pepper"/>
        <s v="pepper, black and white"/>
        <s v="PEPPER, non bell"/>
        <s v="PEPPER, nonbell"/>
        <s v="pineapple"/>
        <s v="pork"/>
        <s v="potato"/>
        <s v="POTATO chip"/>
        <s v="RAISIN"/>
        <s v="RICE"/>
        <s v="rosemary"/>
        <s v="seasame oil"/>
        <s v="shallots"/>
        <s v="sorbet"/>
        <s v="soy milk"/>
        <s v="soybean, seed"/>
        <s v="SPICE"/>
        <s v="spices, other"/>
        <s v="spinach"/>
        <s v="squash"/>
        <s v="strawberry"/>
        <s v="SUGAR"/>
        <s v="sweet POTATO"/>
        <s v="sweet potatoes"/>
        <s v="swiss chard"/>
        <s v="SYRUP"/>
        <s v="SYRUP, pancake"/>
        <s v="tofu"/>
        <s v="tomato"/>
        <s v="TOMATO, paste"/>
        <s v="TORTILLA, corn"/>
        <s v="tortilla, flour"/>
        <s v="TUNA"/>
        <s v="TURKEY"/>
        <s v="VINEGAR"/>
        <s v="wheat, grain"/>
        <s v="WINE"/>
        <s v="WRAP"/>
        <s v="YEAST"/>
        <s v="YOGURT"/>
        <s v="avocado"/>
        <s v="Beans, broad, succulent"/>
        <s v="beets, red"/>
        <s v="bok choy"/>
        <s v="brussels sprouts"/>
        <s v="carrots, cabbage (50/50)"/>
        <s v="cheese, mozzarella"/>
        <s v="collards"/>
        <s v="herbs"/>
        <s v="lettuce, green"/>
        <s v="onion, red"/>
        <s v="pear"/>
        <s v="pepper, green"/>
        <s v="pepper, red"/>
        <s v="strawberry puree"/>
        <s v="strawbery"/>
        <s v="Beets"/>
        <s v="Cabbaga,napa"/>
        <s v="cinammon"/>
        <s v="cofee"/>
        <s v="coffee"/>
        <s v="curry"/>
        <s v="heavy whip cream"/>
        <s v="Lettuce, green leaf"/>
        <s v="Lettuce, leaf"/>
        <s v="Pea, dry"/>
        <s v="peach"/>
        <s v="Romaine"/>
        <s v="soybean"/>
        <s v="spices"/>
        <s v="yogurt, greek"/>
        <s v="Beans, edamame"/>
        <s v="Brussels"/>
        <s v="Grapefruit"/>
        <s v="Parsnips"/>
        <s v="Peaches"/>
        <s v="Pepper, bell"/>
        <s v="Slaw"/>
        <s v="BARLEY"/>
        <s v="BEAN"/>
        <s v="BEAN, great northern seed"/>
        <s v="BEAN,black"/>
        <s v="beyond meat chicken-free STRIP"/>
        <s v="BREAD, pita"/>
        <s v="CAPER"/>
        <s v="catfish, farmed"/>
        <s v="COCOA powder"/>
        <s v="COOKIE, oreo"/>
        <s v="corn dog, turkey"/>
        <s v="Corn, sweet"/>
        <s v="CRACKER, goldfish"/>
        <s v="CRACKER, oyster"/>
        <s v="CRACKER, saltine"/>
        <s v="Cranberries"/>
        <s v="CRANBERRY, dried"/>
        <s v="CROISSANT"/>
        <s v="DOUGH, biscuit"/>
        <s v="DOUGH, pie crust"/>
        <s v="english muffin, bread"/>
        <s v="EXTRACT, vanilla"/>
        <s v="Jam"/>
        <s v="KETCHUP"/>
        <s v="lentil, seed"/>
        <s v="MARGARINE"/>
        <s v="MOLASSES, sugar cane"/>
        <s v="orange"/>
        <s v="peanut butter"/>
        <s v="PEPPERONI"/>
        <s v="QUINOA"/>
        <s v="SALMON"/>
        <s v="soymilk"/>
        <s v="SUNFLOWER butter"/>
        <s v="sunflower oil"/>
        <s v="sweet corn kernels "/>
        <s v="SYRUP, maple"/>
        <s v="TILAPIA"/>
        <s v="TORTILLA"/>
        <s v="trout, farmed"/>
        <s v="whipping cream"/>
        <s v="ARTICHOKE, globe"/>
        <s v="cabbage, chinese, napa"/>
        <s v="COCOA mix"/>
        <s v="coconut milk"/>
        <s v="CRACKER, goldfish, snacks"/>
        <s v="DRESSING"/>
        <s v="EGGROLL"/>
        <s v="EXTRACT"/>
        <s v="Fennel/Anise"/>
        <s v="fish, saltwater"/>
        <s v="MANGO"/>
        <s v="MOLASSES, sugar"/>
        <s v="Okra"/>
        <s v="olive "/>
        <s v="olive oil"/>
        <s v="ROLL"/>
        <s v="SUGAR, brown"/>
        <s v="SUNFLOWER, seed"/>
        <s v="zucchini"/>
      </sharedItems>
    </cacheField>
    <cacheField name="Food Type" numFmtId="0">
      <sharedItems count="3">
        <s v="Meat"/>
        <s v="Plant-based"/>
        <s v="Animal-based"/>
      </sharedItems>
    </cacheField>
    <cacheField name="Weight (lbs)" numFmtId="0">
      <sharedItems containsSemiMixedTypes="0" containsString="0" containsNumber="1" minValue="0" maxValue="1305.4031199999999"/>
    </cacheField>
    <cacheField name="Weight (kg)" numFmtId="0">
      <sharedItems containsSemiMixedTypes="0" containsString="0" containsNumber="1" minValue="0" maxValue="592.12089500619436"/>
    </cacheField>
    <cacheField name="GWP (kg CO2-eq/kg)" numFmtId="0">
      <sharedItems containsString="0" containsBlank="1" containsNumber="1" minValue="0" maxValue="34.744999999999997"/>
    </cacheField>
    <cacheField name="GHGE (kg CO2-eq)" numFmtId="0">
      <sharedItems containsSemiMixedTypes="0" containsString="0" containsNumber="1" minValue="0" maxValue="4469.608495506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0">
  <r>
    <d v="2019-02-01T00:00:00"/>
    <s v="Canned and dry goods"/>
    <n v="1"/>
    <n v="6"/>
    <n v="6.6138700000000004"/>
    <s v="ARTICHOKE HEART QTR 100-140"/>
    <x v="0"/>
    <x v="0"/>
    <n v="39.683220000000006"/>
    <n v="18.000005809031403"/>
    <n v="0.84599999999999997"/>
    <n v="15.228004914440566"/>
  </r>
  <r>
    <d v="2019-02-01T00:00:00"/>
    <s v="Canned and dry goods"/>
    <n v="2"/>
    <n v="6"/>
    <n v="10"/>
    <s v="BEAN BLACK LOW SODIUM"/>
    <x v="1"/>
    <x v="0"/>
    <n v="120"/>
    <n v="54.431084400000003"/>
    <n v="0.308"/>
    <n v="16.764773995200002"/>
  </r>
  <r>
    <d v="2019-02-04T00:00:00"/>
    <s v="Canned and dry goods"/>
    <n v="2"/>
    <n v="6"/>
    <n v="10"/>
    <s v="BEAN BLACK LOW SODIUM"/>
    <x v="1"/>
    <x v="0"/>
    <n v="120"/>
    <n v="54.431084400000003"/>
    <n v="0.308"/>
    <n v="16.764773995200002"/>
  </r>
  <r>
    <d v="2019-02-01T00:00:00"/>
    <s v="Canned and dry goods"/>
    <n v="2"/>
    <n v="1"/>
    <n v="20"/>
    <s v="BEAN GREAT NORTHERN DRIED"/>
    <x v="2"/>
    <x v="0"/>
    <n v="40"/>
    <n v="18.143694800000002"/>
    <n v="0.308"/>
    <n v="5.5882579984000005"/>
  </r>
  <r>
    <d v="2019-02-01T00:00:00"/>
    <s v="Canned and dry goods"/>
    <n v="1"/>
    <n v="1"/>
    <n v="20"/>
    <s v="BEAN KIDNEY LIGHT RED DRIED"/>
    <x v="3"/>
    <x v="0"/>
    <n v="20"/>
    <n v="9.0718474000000011"/>
    <n v="0.308"/>
    <n v="2.7941289992000002"/>
  </r>
  <r>
    <d v="2019-02-01T00:00:00"/>
    <s v="Canned and dry goods"/>
    <n v="1"/>
    <n v="6"/>
    <n v="10"/>
    <s v="BEAN KIDNEY LIGHT RED"/>
    <x v="3"/>
    <x v="0"/>
    <n v="60"/>
    <n v="27.215542200000002"/>
    <n v="0.308"/>
    <n v="8.3823869976000012"/>
  </r>
  <r>
    <d v="2019-02-04T00:00:00"/>
    <s v="Canned and dry goods"/>
    <n v="2"/>
    <n v="6"/>
    <n v="10"/>
    <s v="BEAN KIDNEY LIGHT RED"/>
    <x v="3"/>
    <x v="0"/>
    <n v="120"/>
    <n v="54.431084400000003"/>
    <n v="0.308"/>
    <n v="16.764773995200002"/>
  </r>
  <r>
    <d v="2019-02-01T00:00:00"/>
    <s v="Canned and dry goods"/>
    <n v="1"/>
    <n v="1"/>
    <n v="20"/>
    <s v="BEAN BLACK TURTLE DRIED WASH"/>
    <x v="4"/>
    <x v="0"/>
    <n v="20"/>
    <n v="9.0718474000000011"/>
    <n v="0.308"/>
    <n v="2.7941289992000002"/>
  </r>
  <r>
    <d v="2019-02-01T00:00:00"/>
    <s v="Canned and dry goods"/>
    <n v="1"/>
    <n v="6"/>
    <n v="0.125"/>
    <s v="CAPER SPANISH NONPAREIL"/>
    <x v="5"/>
    <x v="0"/>
    <n v="0.75"/>
    <n v="0.34019427750000003"/>
    <n v="0.48199999999999998"/>
    <n v="0.16397364175500001"/>
  </r>
  <r>
    <d v="2019-02-01T00:00:00"/>
    <s v="Canned and dry goods"/>
    <n v="1"/>
    <n v="4"/>
    <n v="2.5"/>
    <s v="CEREAL FROSTED FLAKES"/>
    <x v="6"/>
    <x v="0"/>
    <n v="10"/>
    <n v="4.5359237000000006"/>
    <n v="1.61"/>
    <n v="7.3028371570000017"/>
  </r>
  <r>
    <d v="2019-02-01T00:00:00"/>
    <s v="Canned and dry goods"/>
    <n v="1"/>
    <n v="4"/>
    <n v="40.3125"/>
    <s v="CEREAL CINN TST CRUN BULKPAK"/>
    <x v="6"/>
    <x v="0"/>
    <n v="161.25"/>
    <n v="73.14176966250001"/>
    <n v="1.61"/>
    <n v="117.75824915662503"/>
  </r>
  <r>
    <d v="2019-02-01T00:00:00"/>
    <s v="Canned and dry goods"/>
    <n v="1"/>
    <n v="4"/>
    <n v="3.125"/>
    <s v="CEREAL GRANOLA OATSN HNY BLKPK"/>
    <x v="6"/>
    <x v="0"/>
    <n v="12.5"/>
    <n v="5.669904625"/>
    <n v="1.61"/>
    <n v="9.1285464462500006"/>
  </r>
  <r>
    <d v="2019-02-04T00:00:00"/>
    <s v="Canned and dry goods"/>
    <n v="2"/>
    <n v="96"/>
    <n v="6.25E-2"/>
    <s v="CEREAL CHEERIO APL CIN GLTN FR"/>
    <x v="6"/>
    <x v="0"/>
    <n v="12"/>
    <n v="5.4431084400000005"/>
    <n v="1.61"/>
    <n v="8.763404588400002"/>
  </r>
  <r>
    <d v="2019-02-04T00:00:00"/>
    <s v="Canned and dry goods"/>
    <n v="1"/>
    <n v="8"/>
    <n v="5"/>
    <s v="CEREAL HOT GRITS QUICK"/>
    <x v="6"/>
    <x v="0"/>
    <n v="40"/>
    <n v="18.143694800000002"/>
    <n v="1.61"/>
    <n v="29.211348628000007"/>
  </r>
  <r>
    <d v="2019-02-04T00:00:00"/>
    <s v="Canned and dry goods"/>
    <n v="1"/>
    <n v="4"/>
    <n v="30.0625"/>
    <s v="CEREAL APPLE JACKS"/>
    <x v="6"/>
    <x v="0"/>
    <n v="120.25"/>
    <n v="54.544482492500002"/>
    <n v="1.61"/>
    <n v="87.816616812925005"/>
  </r>
  <r>
    <d v="2019-02-04T00:00:00"/>
    <s v="Canned and dry goods"/>
    <n v="2"/>
    <n v="4"/>
    <n v="2.5"/>
    <s v="CEREAL FROSTED FLAKES"/>
    <x v="6"/>
    <x v="0"/>
    <n v="20"/>
    <n v="9.0718474000000011"/>
    <n v="1.61"/>
    <n v="14.605674314000003"/>
  </r>
  <r>
    <d v="2019-02-04T00:00:00"/>
    <s v="Canned and dry goods"/>
    <n v="1"/>
    <n v="4"/>
    <n v="1.625"/>
    <s v="CEREAL CORN FLAKES"/>
    <x v="6"/>
    <x v="0"/>
    <n v="6.5"/>
    <n v="2.9483504050000002"/>
    <n v="1.61"/>
    <n v="4.7468441520500004"/>
  </r>
  <r>
    <d v="2019-02-04T00:00:00"/>
    <s v="Canned and dry goods"/>
    <n v="1"/>
    <n v="4"/>
    <n v="30.3125"/>
    <s v="CEREAL LUCKY CHARMS GLUTN FR"/>
    <x v="6"/>
    <x v="0"/>
    <n v="121.25"/>
    <n v="54.998074862500005"/>
    <n v="1.61"/>
    <n v="88.546900528625017"/>
  </r>
  <r>
    <d v="2019-02-04T00:00:00"/>
    <s v="Canned and dry goods"/>
    <n v="2"/>
    <n v="4"/>
    <n v="30.3125"/>
    <s v="CEREAL COCOA PUFFS BULKPAK"/>
    <x v="6"/>
    <x v="0"/>
    <n v="242.5"/>
    <n v="109.99614972500001"/>
    <n v="1.61"/>
    <n v="177.09380105725003"/>
  </r>
  <r>
    <d v="2019-02-04T00:00:00"/>
    <s v="Canned and dry goods"/>
    <n v="1"/>
    <n v="4"/>
    <n v="40.3125"/>
    <s v="CEREAL CINN TST CRUN BULKPAK"/>
    <x v="6"/>
    <x v="0"/>
    <n v="161.25"/>
    <n v="73.14176966250001"/>
    <n v="1.61"/>
    <n v="117.75824915662503"/>
  </r>
  <r>
    <d v="2019-02-07T00:00:00"/>
    <s v="Canned and dry goods"/>
    <n v="2"/>
    <n v="4"/>
    <n v="1.8125"/>
    <s v="CEREAL CHEERIO GLUTEN FR"/>
    <x v="6"/>
    <x v="0"/>
    <n v="14.5"/>
    <n v="6.577089365"/>
    <n v="1.61"/>
    <n v="10.58911387765"/>
  </r>
  <r>
    <d v="2019-02-07T00:00:00"/>
    <s v="Canned and dry goods"/>
    <n v="1"/>
    <n v="4"/>
    <n v="1.625"/>
    <s v="CEREAL CORN FLAKES"/>
    <x v="6"/>
    <x v="0"/>
    <n v="6.5"/>
    <n v="2.9483504050000002"/>
    <n v="1.61"/>
    <n v="4.7468441520500004"/>
  </r>
  <r>
    <d v="2019-02-07T00:00:00"/>
    <s v="Canned and dry goods"/>
    <n v="2"/>
    <n v="4"/>
    <n v="30.3125"/>
    <s v="CEREAL LUCKY CHARMS GLUTN FR"/>
    <x v="6"/>
    <x v="0"/>
    <n v="242.5"/>
    <n v="109.99614972500001"/>
    <n v="1.61"/>
    <n v="177.09380105725003"/>
  </r>
  <r>
    <d v="2019-02-07T00:00:00"/>
    <s v="Canned and dry goods"/>
    <n v="2"/>
    <n v="4"/>
    <n v="30.3125"/>
    <s v="CEREAL COCOA PUFFS BULKPAK"/>
    <x v="6"/>
    <x v="0"/>
    <n v="242.5"/>
    <n v="109.99614972500001"/>
    <n v="1.61"/>
    <n v="177.09380105725003"/>
  </r>
  <r>
    <d v="2019-02-07T00:00:00"/>
    <s v="Canned and dry goods"/>
    <n v="2"/>
    <n v="4"/>
    <n v="40.3125"/>
    <s v="CEREAL CINN TST CRUN BULKPAK"/>
    <x v="6"/>
    <x v="0"/>
    <n v="322.5"/>
    <n v="146.28353932500002"/>
    <n v="1.61"/>
    <n v="235.51649831325005"/>
  </r>
  <r>
    <d v="2019-02-01T00:00:00"/>
    <s v="Canned and dry goods"/>
    <n v="4"/>
    <n v="6"/>
    <n v="10"/>
    <s v="BEAN GARBANZO LOW SODIUM"/>
    <x v="7"/>
    <x v="0"/>
    <n v="240"/>
    <n v="108.86216880000001"/>
    <n v="0.49099999999999999"/>
    <n v="53.451324880800001"/>
  </r>
  <r>
    <d v="2019-02-04T00:00:00"/>
    <s v="Canned and dry goods"/>
    <n v="4"/>
    <n v="6"/>
    <n v="10"/>
    <s v="BEAN GARBANZO LOW SODIUM"/>
    <x v="7"/>
    <x v="0"/>
    <n v="240"/>
    <n v="108.86216880000001"/>
    <n v="0.49099999999999999"/>
    <n v="53.451324880800001"/>
  </r>
  <r>
    <d v="2019-02-07T00:00:00"/>
    <s v="Canned and dry goods"/>
    <n v="1"/>
    <n v="6"/>
    <s v="50 CT"/>
    <s v="COCOA MIX INDIV"/>
    <x v="8"/>
    <x v="0"/>
    <n v="0"/>
    <n v="0"/>
    <n v="33.646999999999998"/>
    <n v="0"/>
  </r>
  <r>
    <d v="2019-02-01T00:00:00"/>
    <s v="Canned and dry goods"/>
    <n v="1"/>
    <n v="24"/>
    <n v="0.875"/>
    <s v="MILK COCONUT UNSWT"/>
    <x v="9"/>
    <x v="0"/>
    <n v="21"/>
    <n v="9.5254397700000002"/>
    <n v="0.79200000000000004"/>
    <n v="7.5441482978400005"/>
  </r>
  <r>
    <d v="2019-02-01T00:00:00"/>
    <s v="Canned and dry goods"/>
    <n v="2"/>
    <n v="4"/>
    <n v="7.79"/>
    <s v="MAYONNAISE REAL"/>
    <x v="10"/>
    <x v="1"/>
    <n v="62.32"/>
    <n v="28.2678764984"/>
    <n v="3.33"/>
    <n v="94.132028739671995"/>
  </r>
  <r>
    <d v="2019-02-01T00:00:00"/>
    <s v="Canned and dry goods"/>
    <n v="2"/>
    <n v="6"/>
    <n v="7.125"/>
    <s v="KETCHUP POUCH-PK FCY (= 6/10)"/>
    <x v="10"/>
    <x v="0"/>
    <n v="85.5"/>
    <n v="38.782147635000001"/>
    <n v="3.33"/>
    <n v="129.14455162455002"/>
  </r>
  <r>
    <d v="2019-02-01T00:00:00"/>
    <s v="Canned and dry goods"/>
    <n v="1"/>
    <n v="24"/>
    <n v="0.3125"/>
    <s v="SAUCE PEPPER CAYENNE RED HOT"/>
    <x v="10"/>
    <x v="0"/>
    <n v="7.5"/>
    <n v="3.4019427750000002"/>
    <n v="3.33"/>
    <n v="11.32846944075"/>
  </r>
  <r>
    <d v="2019-02-01T00:00:00"/>
    <s v="Canned and dry goods"/>
    <n v="1"/>
    <n v="12"/>
    <n v="0.4375"/>
    <s v="PEPPER CHIPOTLE IN ADOBO SAUCE"/>
    <x v="10"/>
    <x v="1"/>
    <n v="5.25"/>
    <n v="2.3813599425"/>
    <n v="3.33"/>
    <n v="7.9299286085250005"/>
  </r>
  <r>
    <d v="2019-02-01T00:00:00"/>
    <s v="Canned and dry goods"/>
    <n v="1"/>
    <n v="12"/>
    <n v="1.5625"/>
    <s v="SAUCE CHILI SWEET THAI"/>
    <x v="10"/>
    <x v="1"/>
    <n v="18.75"/>
    <n v="8.5048569375000014"/>
    <n v="3.33"/>
    <n v="28.321173601875007"/>
  </r>
  <r>
    <d v="2019-02-01T00:00:00"/>
    <s v="Canned and dry goods"/>
    <n v="1"/>
    <n v="4"/>
    <n v="100.3125"/>
    <s v="MUSTARD YELLOW PLS JUG"/>
    <x v="10"/>
    <x v="0"/>
    <n v="401.25"/>
    <n v="182.0039384625"/>
    <n v="3.33"/>
    <n v="606.07311508012504"/>
  </r>
  <r>
    <d v="2019-02-01T00:00:00"/>
    <s v="Canned and dry goods"/>
    <n v="1"/>
    <n v="2"/>
    <n v="100.3125"/>
    <s v="MUSTARD DIJON PLS JUG"/>
    <x v="10"/>
    <x v="0"/>
    <n v="200.625"/>
    <n v="91.001969231250001"/>
    <n v="3.33"/>
    <n v="303.03655754006252"/>
  </r>
  <r>
    <d v="2019-02-01T00:00:00"/>
    <s v="Canned and dry goods"/>
    <n v="2"/>
    <n v="4"/>
    <n v="11.68"/>
    <s v="SAUCE PEPPER CAYENNE RED HOT"/>
    <x v="10"/>
    <x v="0"/>
    <n v="93.44"/>
    <n v="42.383671052800004"/>
    <n v="3.33"/>
    <n v="141.13762460582402"/>
  </r>
  <r>
    <d v="2019-02-01T00:00:00"/>
    <s v="Canned and dry goods"/>
    <n v="1"/>
    <n v="12"/>
    <n v="10.4375"/>
    <s v="SAUCE CHILI SRIRACHA"/>
    <x v="10"/>
    <x v="0"/>
    <n v="125.25"/>
    <n v="56.812444342500001"/>
    <n v="3.33"/>
    <n v="189.18543966052502"/>
  </r>
  <r>
    <d v="2019-02-04T00:00:00"/>
    <s v="Canned and dry goods"/>
    <n v="1"/>
    <n v="4"/>
    <n v="11.480799999999999"/>
    <s v="SAUCE SOY SWEET"/>
    <x v="10"/>
    <x v="0"/>
    <n v="45.923199999999994"/>
    <n v="20.830413125983998"/>
    <n v="3.33"/>
    <n v="69.365275709526713"/>
  </r>
  <r>
    <d v="2019-02-04T00:00:00"/>
    <s v="Canned and dry goods"/>
    <n v="1"/>
    <n v="6"/>
    <n v="5.0919999999999996"/>
    <s v="SAUCE SOY GLUTEN FREE"/>
    <x v="10"/>
    <x v="0"/>
    <n v="30.552"/>
    <n v="13.858154088240001"/>
    <n v="3.33"/>
    <n v="46.147653113839205"/>
  </r>
  <r>
    <d v="2019-02-04T00:00:00"/>
    <s v="Canned and dry goods"/>
    <n v="3"/>
    <n v="4"/>
    <n v="7.79"/>
    <s v="MAYONNAISE REAL"/>
    <x v="11"/>
    <x v="1"/>
    <n v="93.48"/>
    <n v="42.4018147476"/>
    <n v="3.33"/>
    <n v="141.19804310950801"/>
  </r>
  <r>
    <d v="2019-02-04T00:00:00"/>
    <s v="Canned and dry goods"/>
    <n v="2"/>
    <n v="12"/>
    <n v="0.4375"/>
    <s v="PEPPER CHIPOTLE IN ADOBO SAUCE"/>
    <x v="10"/>
    <x v="0"/>
    <n v="10.5"/>
    <n v="4.7627198850000001"/>
    <n v="3.33"/>
    <n v="15.859857217050001"/>
  </r>
  <r>
    <d v="2019-02-04T00:00:00"/>
    <s v="Canned and dry goods"/>
    <n v="1"/>
    <n v="4"/>
    <n v="10.16"/>
    <s v="SAUCE SOY LESS SODIUM"/>
    <x v="10"/>
    <x v="0"/>
    <n v="40.64"/>
    <n v="18.433993916800002"/>
    <n v="3.33"/>
    <n v="61.38519974294401"/>
  </r>
  <r>
    <d v="2019-02-04T00:00:00"/>
    <s v="Canned and dry goods"/>
    <n v="6"/>
    <n v="2"/>
    <n v="14.385"/>
    <s v="KETCHUP FANCY POUCH DISPENSER"/>
    <x v="10"/>
    <x v="0"/>
    <n v="172.62"/>
    <n v="78.299114909400004"/>
    <n v="3.33"/>
    <n v="260.73605264830201"/>
  </r>
  <r>
    <d v="2019-02-07T00:00:00"/>
    <s v="Canned and dry goods"/>
    <n v="1"/>
    <n v="24"/>
    <n v="0.3125"/>
    <s v="SAUCE PEPPER CAYENNE RED HOT"/>
    <x v="10"/>
    <x v="0"/>
    <n v="7.5"/>
    <n v="3.4019427750000002"/>
    <n v="3.33"/>
    <n v="11.32846944075"/>
  </r>
  <r>
    <d v="2019-02-07T00:00:00"/>
    <s v="Canned and dry goods"/>
    <n v="1"/>
    <n v="24"/>
    <n v="0.375"/>
    <s v="SAUCE HOT"/>
    <x v="10"/>
    <x v="0"/>
    <n v="9"/>
    <n v="4.0823313299999997"/>
    <n v="3.33"/>
    <n v="13.594163328899999"/>
  </r>
  <r>
    <d v="2019-02-07T00:00:00"/>
    <s v="Canned and dry goods"/>
    <n v="1"/>
    <n v="4"/>
    <n v="11.68"/>
    <s v="SAUCE PEPPER CAYENNE RED HOT"/>
    <x v="10"/>
    <x v="0"/>
    <n v="46.72"/>
    <n v="21.191835526400002"/>
    <n v="3.33"/>
    <n v="70.568812302912008"/>
  </r>
  <r>
    <d v="2019-02-01T00:00:00"/>
    <s v="Canned and dry goods"/>
    <n v="1"/>
    <n v="24"/>
    <n v="1"/>
    <s v="CORN STARCH"/>
    <x v="12"/>
    <x v="0"/>
    <n v="24"/>
    <n v="10.886216880000001"/>
    <n v="0.76"/>
    <n v="8.2735248288000012"/>
  </r>
  <r>
    <d v="2019-02-07T00:00:00"/>
    <s v="Canned and dry goods"/>
    <n v="1"/>
    <n v="24"/>
    <n v="1"/>
    <s v="CORN STARCH"/>
    <x v="12"/>
    <x v="0"/>
    <n v="24"/>
    <n v="10.886216880000001"/>
    <n v="0.76"/>
    <n v="8.2735248288000012"/>
  </r>
  <r>
    <d v="2019-02-07T00:00:00"/>
    <s v="Canned and dry goods"/>
    <n v="1"/>
    <n v="500"/>
    <s v="2pk"/>
    <s v="CRACKER SALTINE ZESTA"/>
    <x v="13"/>
    <x v="0"/>
    <n v="0"/>
    <n v="0"/>
    <n v="2.5299999999999998"/>
    <n v="0"/>
  </r>
  <r>
    <d v="2019-02-01T00:00:00"/>
    <s v="Canned and dry goods"/>
    <n v="1"/>
    <n v="6"/>
    <n v="30.0625"/>
    <s v="CRACKER GOLDFISH WHL GRAIN"/>
    <x v="14"/>
    <x v="0"/>
    <n v="180.375"/>
    <n v="81.816723738750014"/>
    <n v="2.5299999999999998"/>
    <n v="206.99631105903751"/>
  </r>
  <r>
    <d v="2019-02-01T00:00:00"/>
    <s v="Canned and dry goods"/>
    <n v="1"/>
    <n v="1"/>
    <n v="10"/>
    <s v="CRANBERRY DRIED CRAISINS"/>
    <x v="15"/>
    <x v="0"/>
    <n v="10"/>
    <n v="4.5359237000000006"/>
    <n v="3.8250000000000002"/>
    <n v="17.349908152500003"/>
  </r>
  <r>
    <d v="2019-02-04T00:00:00"/>
    <s v="Canned and dry goods"/>
    <n v="1"/>
    <n v="1"/>
    <n v="10"/>
    <s v="CRANBERRY DRIED CRAISINS"/>
    <x v="15"/>
    <x v="0"/>
    <n v="10"/>
    <n v="4.5359237000000006"/>
    <n v="3.8250000000000002"/>
    <n v="17.349908152500003"/>
  </r>
  <r>
    <d v="2019-02-01T00:00:00"/>
    <s v="Canned and dry goods"/>
    <n v="1"/>
    <n v="4"/>
    <n v="8.4700000000000006"/>
    <s v="DRESSING ITALIAN FAT FREE"/>
    <x v="16"/>
    <x v="0"/>
    <n v="33.880000000000003"/>
    <n v="15.367709495600002"/>
    <n v="3.33"/>
    <n v="51.174472620348006"/>
  </r>
  <r>
    <d v="2019-02-01T00:00:00"/>
    <s v="Canned and dry goods"/>
    <n v="1"/>
    <n v="6"/>
    <n v="0.125"/>
    <s v="EXTRACT VANILLA IMIT"/>
    <x v="17"/>
    <x v="0"/>
    <n v="0.75"/>
    <n v="0.34019427750000003"/>
    <m/>
    <n v="0"/>
  </r>
  <r>
    <d v="2019-02-01T00:00:00"/>
    <s v="Canned and dry goods"/>
    <n v="4"/>
    <n v="1"/>
    <n v="50"/>
    <s v="FLOUR HI-GLUTEN ALL TRUMP"/>
    <x v="18"/>
    <x v="0"/>
    <n v="200"/>
    <n v="90.718474000000001"/>
    <n v="0.35799999999999998"/>
    <n v="32.477213691999999"/>
  </r>
  <r>
    <d v="2019-02-04T00:00:00"/>
    <s v="Canned and dry goods"/>
    <n v="3"/>
    <n v="1"/>
    <n v="50"/>
    <s v="FLOUR HI-GLUTEN ALL TRUMP"/>
    <x v="18"/>
    <x v="0"/>
    <n v="150"/>
    <n v="68.038855500000011"/>
    <n v="0.35799999999999998"/>
    <n v="24.357910269000001"/>
  </r>
  <r>
    <d v="2019-02-07T00:00:00"/>
    <s v="Canned and dry goods"/>
    <n v="2"/>
    <n v="1"/>
    <n v="50"/>
    <s v="FLOUR HI-GLUTEN ALL TRUMP"/>
    <x v="18"/>
    <x v="0"/>
    <n v="100"/>
    <n v="45.359237"/>
    <n v="0.35799999999999998"/>
    <n v="16.238606846"/>
  </r>
  <r>
    <d v="2019-02-01T00:00:00"/>
    <s v="Canned and dry goods"/>
    <n v="1"/>
    <n v="6"/>
    <n v="5"/>
    <s v="HONEY LIGHT AMBER"/>
    <x v="19"/>
    <x v="0"/>
    <n v="30"/>
    <n v="13.607771100000001"/>
    <n v="2.44"/>
    <n v="33.202961483999999"/>
  </r>
  <r>
    <d v="2019-02-04T00:00:00"/>
    <s v="Canned and dry goods"/>
    <n v="1"/>
    <n v="6"/>
    <n v="5"/>
    <s v="HONEY LIGHT AMBER"/>
    <x v="19"/>
    <x v="0"/>
    <n v="30"/>
    <n v="13.607771100000001"/>
    <n v="2.44"/>
    <n v="33.202961483999999"/>
  </r>
  <r>
    <d v="2019-02-01T00:00:00"/>
    <s v="Canned and dry goods"/>
    <n v="1"/>
    <n v="6"/>
    <n v="4"/>
    <s v="JELLY GRAPE"/>
    <x v="20"/>
    <x v="0"/>
    <n v="24"/>
    <n v="10.886216880000001"/>
    <n v="3.25"/>
    <n v="35.380204860000006"/>
  </r>
  <r>
    <d v="2019-02-07T00:00:00"/>
    <s v="Canned and dry goods"/>
    <n v="1"/>
    <n v="6"/>
    <n v="4"/>
    <s v="JELLY GRAPE"/>
    <x v="20"/>
    <x v="0"/>
    <n v="24"/>
    <n v="10.886216880000001"/>
    <n v="3.25"/>
    <n v="35.380204860000006"/>
  </r>
  <r>
    <d v="2019-02-01T00:00:00"/>
    <s v="Canned and dry goods"/>
    <n v="1"/>
    <n v="1"/>
    <n v="20"/>
    <s v="BEAN LENTIL DRIED"/>
    <x v="21"/>
    <x v="0"/>
    <n v="20"/>
    <n v="9.0718474000000011"/>
    <n v="1.88"/>
    <n v="17.055073112000002"/>
  </r>
  <r>
    <d v="2019-02-01T00:00:00"/>
    <s v="Canned and dry goods"/>
    <n v="1"/>
    <n v="4"/>
    <n v="11.89"/>
    <s v="MOLASSES UNSULFURED"/>
    <x v="22"/>
    <x v="0"/>
    <n v="47.56"/>
    <n v="21.572853117200001"/>
    <n v="0.48799999999999999"/>
    <n v="10.5275523211936"/>
  </r>
  <r>
    <d v="2019-02-04T00:00:00"/>
    <s v="Canned and dry goods"/>
    <n v="1"/>
    <n v="4"/>
    <n v="11.89"/>
    <s v="MOLASSES UNSULFURED"/>
    <x v="22"/>
    <x v="0"/>
    <n v="47.56"/>
    <n v="21.572853117200001"/>
    <n v="0.48799999999999999"/>
    <n v="10.5275523211936"/>
  </r>
  <r>
    <d v="2019-02-01T00:00:00"/>
    <s v="Canned and dry goods"/>
    <n v="3"/>
    <n v="4"/>
    <n v="5"/>
    <s v="NOODLE YAKI SOBA"/>
    <x v="23"/>
    <x v="0"/>
    <n v="60"/>
    <n v="27.215542200000002"/>
    <n v="5.99"/>
    <n v="163.02109777800001"/>
  </r>
  <r>
    <d v="2019-02-01T00:00:00"/>
    <s v="Canned and dry goods"/>
    <n v="1"/>
    <n v="6"/>
    <n v="10"/>
    <s v="OLIVE RIPE SLICED"/>
    <x v="24"/>
    <x v="0"/>
    <n v="60"/>
    <n v="27.215542200000002"/>
    <n v="0.48199999999999998"/>
    <n v="13.1178913404"/>
  </r>
  <r>
    <d v="2019-02-01T00:00:00"/>
    <s v="Canned and dry goods"/>
    <n v="1"/>
    <n v="6"/>
    <n v="7.9"/>
    <s v="OIL OLIVE EXTRA VIRGIN"/>
    <x v="25"/>
    <x v="0"/>
    <n v="47.400000000000006"/>
    <n v="21.500278338000005"/>
    <n v="3.206"/>
    <n v="68.929892351628013"/>
  </r>
  <r>
    <d v="2019-02-07T00:00:00"/>
    <s v="Canned and dry goods"/>
    <n v="1"/>
    <n v="6"/>
    <n v="10"/>
    <s v="OLIVE RIPE SLICED"/>
    <x v="26"/>
    <x v="0"/>
    <n v="60"/>
    <n v="27.215542200000002"/>
    <n v="0.48199999999999998"/>
    <n v="13.1178913404"/>
  </r>
  <r>
    <d v="2019-02-04T00:00:00"/>
    <s v="Canned and dry goods"/>
    <n v="4"/>
    <n v="6"/>
    <n v="5"/>
    <s v="MIX PANCAKE BTRMLK COMPLT"/>
    <x v="27"/>
    <x v="0"/>
    <n v="120"/>
    <n v="54.431084400000003"/>
    <m/>
    <n v="0"/>
  </r>
  <r>
    <d v="2019-02-01T00:00:00"/>
    <s v="Canned and dry goods"/>
    <n v="1"/>
    <n v="2"/>
    <n v="5"/>
    <s v="PASTA NOODLE EGG MED"/>
    <x v="28"/>
    <x v="0"/>
    <n v="10"/>
    <n v="4.5359237000000006"/>
    <n v="5.99"/>
    <n v="27.170182963000006"/>
  </r>
  <r>
    <d v="2019-02-01T00:00:00"/>
    <s v="Canned and dry goods"/>
    <n v="4"/>
    <n v="2"/>
    <n v="10"/>
    <s v="PASTA PENNE RIGATE"/>
    <x v="28"/>
    <x v="0"/>
    <n v="80"/>
    <n v="36.287389600000004"/>
    <n v="5.99"/>
    <n v="217.36146370400004"/>
  </r>
  <r>
    <d v="2019-02-01T00:00:00"/>
    <s v="Canned and dry goods"/>
    <n v="4"/>
    <n v="2"/>
    <n v="10"/>
    <s v="PASTA GEMELLI"/>
    <x v="28"/>
    <x v="0"/>
    <n v="80"/>
    <n v="36.287389600000004"/>
    <n v="5.99"/>
    <n v="217.36146370400004"/>
  </r>
  <r>
    <d v="2019-02-01T00:00:00"/>
    <s v="Canned and dry goods"/>
    <n v="4"/>
    <n v="2"/>
    <n v="10"/>
    <s v="PASTA FARFALLE"/>
    <x v="28"/>
    <x v="0"/>
    <n v="80"/>
    <n v="36.287389600000004"/>
    <n v="5.99"/>
    <n v="217.36146370400004"/>
  </r>
  <r>
    <d v="2019-02-01T00:00:00"/>
    <s v="Canned and dry goods"/>
    <n v="2"/>
    <n v="2"/>
    <n v="10"/>
    <s v="PASTA MACARONI ELBOW"/>
    <x v="28"/>
    <x v="0"/>
    <n v="40"/>
    <n v="18.143694800000002"/>
    <n v="5.99"/>
    <n v="108.68073185200002"/>
  </r>
  <r>
    <d v="2019-02-04T00:00:00"/>
    <s v="Canned and dry goods"/>
    <n v="4"/>
    <n v="8"/>
    <n v="10.125"/>
    <s v="PASTA PENNE RIGATE GLUTEN FREE"/>
    <x v="28"/>
    <x v="0"/>
    <n v="324"/>
    <n v="146.96392788"/>
    <n v="5.99"/>
    <n v="880.3139280012"/>
  </r>
  <r>
    <d v="2019-02-04T00:00:00"/>
    <s v="Canned and dry goods"/>
    <n v="4"/>
    <n v="2"/>
    <n v="10"/>
    <s v="PASTA FARFALLE"/>
    <x v="28"/>
    <x v="0"/>
    <n v="80"/>
    <n v="36.287389600000004"/>
    <n v="5.99"/>
    <n v="217.36146370400004"/>
  </r>
  <r>
    <d v="2019-02-04T00:00:00"/>
    <s v="Canned and dry goods"/>
    <n v="3"/>
    <n v="2"/>
    <n v="10"/>
    <s v="PASTA MACARONI ELBOW"/>
    <x v="28"/>
    <x v="0"/>
    <n v="60"/>
    <n v="27.215542200000002"/>
    <n v="5.99"/>
    <n v="163.02109777800001"/>
  </r>
  <r>
    <d v="2019-02-07T00:00:00"/>
    <s v="Canned and dry goods"/>
    <n v="3"/>
    <n v="2"/>
    <n v="10"/>
    <s v="PASTA PENNE RIGATE"/>
    <x v="28"/>
    <x v="0"/>
    <n v="60"/>
    <n v="27.215542200000002"/>
    <n v="5.99"/>
    <n v="163.02109777800001"/>
  </r>
  <r>
    <d v="2019-02-04T00:00:00"/>
    <s v="Canned and dry goods"/>
    <n v="1"/>
    <n v="4"/>
    <n v="8.4700000000000006"/>
    <s v="PEPPER JALAPENO NACHO SLI"/>
    <x v="29"/>
    <x v="0"/>
    <n v="33.880000000000003"/>
    <n v="15.367709495600002"/>
    <n v="0.79900000000000004"/>
    <n v="12.278799886984402"/>
  </r>
  <r>
    <d v="2019-02-01T00:00:00"/>
    <s v="Canned and dry goods"/>
    <n v="2"/>
    <n v="1"/>
    <n v="25"/>
    <s v="RICE PARBOILED"/>
    <x v="30"/>
    <x v="0"/>
    <n v="50"/>
    <n v="22.6796185"/>
    <n v="1.5409999999999999"/>
    <n v="34.949292108499996"/>
  </r>
  <r>
    <d v="2019-02-01T00:00:00"/>
    <s v="Canned and dry goods"/>
    <n v="3"/>
    <n v="2"/>
    <n v="5"/>
    <s v="RICE JASMINE"/>
    <x v="30"/>
    <x v="0"/>
    <n v="30"/>
    <n v="13.607771100000001"/>
    <n v="1.5409999999999999"/>
    <n v="20.969575265100001"/>
  </r>
  <r>
    <d v="2019-02-01T00:00:00"/>
    <s v="Canned and dry goods"/>
    <n v="3"/>
    <n v="2"/>
    <n v="5"/>
    <s v="RICE BASMATI"/>
    <x v="30"/>
    <x v="0"/>
    <n v="30"/>
    <n v="13.607771100000001"/>
    <n v="1.5409999999999999"/>
    <n v="20.969575265100001"/>
  </r>
  <r>
    <d v="2019-02-01T00:00:00"/>
    <s v="Canned and dry goods"/>
    <n v="1"/>
    <n v="1"/>
    <n v="50"/>
    <s v="RICE CALROSE MED GRN SUSHI"/>
    <x v="30"/>
    <x v="0"/>
    <n v="50"/>
    <n v="22.6796185"/>
    <n v="1.5409999999999999"/>
    <n v="34.949292108499996"/>
  </r>
  <r>
    <d v="2019-02-04T00:00:00"/>
    <s v="Canned and dry goods"/>
    <n v="4"/>
    <n v="1"/>
    <n v="25"/>
    <s v="RICE PARBOILED"/>
    <x v="30"/>
    <x v="0"/>
    <n v="100"/>
    <n v="45.359237"/>
    <n v="1.5409999999999999"/>
    <n v="69.898584216999993"/>
  </r>
  <r>
    <d v="2019-02-04T00:00:00"/>
    <s v="Canned and dry goods"/>
    <n v="2"/>
    <n v="2"/>
    <n v="5"/>
    <s v="RICE JASMINE"/>
    <x v="30"/>
    <x v="0"/>
    <n v="20"/>
    <n v="9.0718474000000011"/>
    <n v="1.5409999999999999"/>
    <n v="13.9797168434"/>
  </r>
  <r>
    <d v="2019-02-04T00:00:00"/>
    <s v="Canned and dry goods"/>
    <n v="2"/>
    <n v="2"/>
    <n v="5"/>
    <s v="RICE BASMATI"/>
    <x v="30"/>
    <x v="0"/>
    <n v="20"/>
    <n v="9.0718474000000011"/>
    <n v="1.5409999999999999"/>
    <n v="13.9797168434"/>
  </r>
  <r>
    <d v="2019-02-04T00:00:00"/>
    <s v="Canned and dry goods"/>
    <n v="2"/>
    <n v="1"/>
    <n v="50"/>
    <s v="RICE CALROSE MED GRN SUSHI"/>
    <x v="30"/>
    <x v="0"/>
    <n v="100"/>
    <n v="45.359237"/>
    <n v="1.5409999999999999"/>
    <n v="69.898584216999993"/>
  </r>
  <r>
    <d v="2019-02-07T00:00:00"/>
    <s v="Canned and dry goods"/>
    <n v="2"/>
    <n v="1"/>
    <n v="25"/>
    <s v="RICE PARBOILED BRN WHLGN LNGRN"/>
    <x v="30"/>
    <x v="0"/>
    <n v="50"/>
    <n v="22.6796185"/>
    <n v="1.5409999999999999"/>
    <n v="34.949292108499996"/>
  </r>
  <r>
    <d v="2019-02-04T00:00:00"/>
    <s v="Canned and dry goods"/>
    <n v="2"/>
    <n v="4"/>
    <n v="11.68"/>
    <s v="SAUCE PEPPER CAYENNE RED HOT"/>
    <x v="10"/>
    <x v="0"/>
    <n v="93.44"/>
    <n v="42.383671052800004"/>
    <n v="3.33"/>
    <n v="141.13762460582402"/>
  </r>
  <r>
    <d v="2019-02-01T00:00:00"/>
    <s v="Canned and dry goods"/>
    <n v="2"/>
    <n v="6"/>
    <n v="10.5"/>
    <s v="SPICE CHILI POWDER LT"/>
    <x v="31"/>
    <x v="0"/>
    <n v="126"/>
    <n v="57.152638620000005"/>
    <n v="0.87"/>
    <n v="49.722795599400001"/>
  </r>
  <r>
    <d v="2019-02-01T00:00:00"/>
    <s v="Canned and dry goods"/>
    <n v="1"/>
    <n v="3"/>
    <n v="4.75"/>
    <s v="SPICE CINNAMON GROUND BAKER"/>
    <x v="31"/>
    <x v="0"/>
    <n v="14.25"/>
    <n v="6.4636912725000002"/>
    <n v="0.87"/>
    <n v="5.6234114070750003"/>
  </r>
  <r>
    <d v="2019-02-01T00:00:00"/>
    <s v="Canned and dry goods"/>
    <n v="3"/>
    <n v="6"/>
    <n v="0.875"/>
    <s v="SPICE CORIANDER GRND"/>
    <x v="31"/>
    <x v="0"/>
    <n v="15.75"/>
    <n v="7.1440798275000006"/>
    <n v="0.87"/>
    <n v="6.2153494499250002"/>
  </r>
  <r>
    <d v="2019-02-01T00:00:00"/>
    <s v="Canned and dry goods"/>
    <n v="2"/>
    <n v="6"/>
    <n v="0.875"/>
    <s v="SPICE CUMIN GRND"/>
    <x v="31"/>
    <x v="0"/>
    <n v="10.5"/>
    <n v="4.7627198850000001"/>
    <n v="0.87"/>
    <n v="4.1435662999499998"/>
  </r>
  <r>
    <d v="2019-02-01T00:00:00"/>
    <s v="Canned and dry goods"/>
    <n v="1"/>
    <n v="3"/>
    <n v="7.25"/>
    <s v="SPICE GARLIC GRANULATED"/>
    <x v="31"/>
    <x v="0"/>
    <n v="21.75"/>
    <n v="9.8656340475000004"/>
    <n v="0.87"/>
    <n v="8.5831016213249995"/>
  </r>
  <r>
    <d v="2019-02-01T00:00:00"/>
    <s v="Canned and dry goods"/>
    <n v="2"/>
    <n v="6"/>
    <n v="1.25"/>
    <s v="SPICE ONION POWDER"/>
    <x v="31"/>
    <x v="0"/>
    <n v="15"/>
    <n v="6.8038855500000004"/>
    <n v="0.87"/>
    <n v="5.9193804285000002"/>
  </r>
  <r>
    <d v="2019-02-01T00:00:00"/>
    <s v="Canned and dry goods"/>
    <n v="2"/>
    <n v="6"/>
    <n v="1"/>
    <s v="SPICE PAPRIKA XFCY"/>
    <x v="31"/>
    <x v="0"/>
    <n v="12"/>
    <n v="5.4431084400000005"/>
    <n v="0.87"/>
    <n v="4.7355043428000005"/>
  </r>
  <r>
    <d v="2019-02-01T00:00:00"/>
    <s v="Canned and dry goods"/>
    <n v="1"/>
    <n v="6"/>
    <n v="1"/>
    <s v="SPICE TURMERIC GROUND"/>
    <x v="31"/>
    <x v="0"/>
    <n v="6"/>
    <n v="2.7215542200000002"/>
    <n v="0.87"/>
    <n v="2.3677521714000003"/>
  </r>
  <r>
    <d v="2019-02-01T00:00:00"/>
    <s v="Canned and dry goods"/>
    <n v="2"/>
    <n v="6"/>
    <n v="10.5"/>
    <s v="SEASONING CARIBBEAN JERK"/>
    <x v="31"/>
    <x v="0"/>
    <n v="126"/>
    <n v="57.152638620000005"/>
    <n v="0.87"/>
    <n v="49.722795599400001"/>
  </r>
  <r>
    <d v="2019-02-04T00:00:00"/>
    <s v="Canned and dry goods"/>
    <n v="1"/>
    <n v="3"/>
    <n v="7.25"/>
    <s v="SPICE GARLIC GRANULATED"/>
    <x v="31"/>
    <x v="0"/>
    <n v="21.75"/>
    <n v="9.8656340475000004"/>
    <n v="0.87"/>
    <n v="8.5831016213249995"/>
  </r>
  <r>
    <d v="2019-02-04T00:00:00"/>
    <s v="Canned and dry goods"/>
    <n v="1"/>
    <n v="6"/>
    <n v="1.25"/>
    <s v="SPICE ONION POWDER"/>
    <x v="31"/>
    <x v="0"/>
    <n v="7.5"/>
    <n v="3.4019427750000002"/>
    <n v="0.87"/>
    <n v="2.9596902142500001"/>
  </r>
  <r>
    <d v="2019-02-04T00:00:00"/>
    <s v="Canned and dry goods"/>
    <n v="1"/>
    <n v="6"/>
    <n v="1"/>
    <s v="SPICE PAPRIKA XFCY"/>
    <x v="31"/>
    <x v="0"/>
    <n v="6"/>
    <n v="2.7215542200000002"/>
    <n v="0.87"/>
    <n v="2.3677521714000003"/>
  </r>
  <r>
    <d v="2019-02-04T00:00:00"/>
    <s v="Canned and dry goods"/>
    <n v="2"/>
    <n v="3"/>
    <n v="7.5"/>
    <s v="SEASONING SEAFOOD"/>
    <x v="31"/>
    <x v="0"/>
    <n v="45"/>
    <n v="20.411656650000001"/>
    <n v="0.87"/>
    <n v="17.758141285500002"/>
  </r>
  <r>
    <d v="2019-02-04T00:00:00"/>
    <s v="Canned and dry goods"/>
    <n v="1"/>
    <n v="3"/>
    <n v="5"/>
    <s v="SPICE PEPPER BLK SHAKER GRND"/>
    <x v="31"/>
    <x v="0"/>
    <n v="15"/>
    <n v="6.8038855500000004"/>
    <n v="0.87"/>
    <n v="5.9193804285000002"/>
  </r>
  <r>
    <d v="2019-02-04T00:00:00"/>
    <s v="Canned and dry goods"/>
    <n v="2"/>
    <n v="6"/>
    <n v="20.0625"/>
    <s v="SPICE GARLIC PWDR"/>
    <x v="31"/>
    <x v="0"/>
    <n v="240.75"/>
    <n v="109.20236307750001"/>
    <n v="0.87"/>
    <n v="95.006055877425013"/>
  </r>
  <r>
    <d v="2019-02-01T00:00:00"/>
    <s v="Canned and dry goods"/>
    <n v="2"/>
    <n v="6"/>
    <n v="10.5"/>
    <s v="SEASONING CAJUN"/>
    <x v="32"/>
    <x v="0"/>
    <n v="126"/>
    <n v="57.152638620000005"/>
    <n v="0.87"/>
    <n v="49.722795599400001"/>
  </r>
  <r>
    <d v="2019-02-01T00:00:00"/>
    <s v="Canned and dry goods"/>
    <n v="1"/>
    <n v="18"/>
    <n v="2.25"/>
    <s v="SALT GRANULATED IODIZED"/>
    <x v="32"/>
    <x v="0"/>
    <n v="40.5"/>
    <n v="18.370490985"/>
    <n v="0.87"/>
    <n v="15.982327156949999"/>
  </r>
  <r>
    <d v="2019-02-04T00:00:00"/>
    <s v="Canned and dry goods"/>
    <n v="0"/>
    <n v="12"/>
    <n v="3"/>
    <s v="SALT KOSHER FLAKE COARSE"/>
    <x v="32"/>
    <x v="0"/>
    <n v="0"/>
    <n v="0"/>
    <n v="0.87"/>
    <n v="0"/>
  </r>
  <r>
    <d v="2019-02-04T00:00:00"/>
    <s v="Canned and dry goods"/>
    <n v="0"/>
    <n v="6"/>
    <n v="20.125"/>
    <s v="SEASONING RUB OLD BAY"/>
    <x v="32"/>
    <x v="0"/>
    <n v="0"/>
    <n v="0"/>
    <n v="0.87"/>
    <n v="0"/>
  </r>
  <r>
    <d v="2019-02-04T00:00:00"/>
    <s v="Canned and dry goods"/>
    <n v="1"/>
    <n v="12"/>
    <n v="3"/>
    <s v="SALT KOSHER FLAKE COARSE"/>
    <x v="32"/>
    <x v="0"/>
    <n v="36"/>
    <n v="16.329325319999999"/>
    <n v="0.87"/>
    <n v="14.206513028399998"/>
  </r>
  <r>
    <d v="2019-02-04T00:00:00"/>
    <s v="Canned and dry goods"/>
    <n v="1"/>
    <n v="1"/>
    <n v="50"/>
    <s v="SUGAR BROWN LIGHT CANE"/>
    <x v="33"/>
    <x v="0"/>
    <n v="50"/>
    <n v="22.6796185"/>
    <n v="0.7"/>
    <n v="15.87573295"/>
  </r>
  <r>
    <d v="2019-02-04T00:00:00"/>
    <s v="Canned and dry goods"/>
    <n v="3"/>
    <n v="1"/>
    <n v="50"/>
    <s v="SUGAR GRANULATED XFN"/>
    <x v="33"/>
    <x v="0"/>
    <n v="150"/>
    <n v="68.038855500000011"/>
    <n v="0.7"/>
    <n v="47.627198850000006"/>
  </r>
  <r>
    <d v="2019-02-07T00:00:00"/>
    <s v="Canned and dry goods"/>
    <n v="1"/>
    <n v="1"/>
    <n v="50"/>
    <s v="SUGAR BROWN LIGHT CANE"/>
    <x v="34"/>
    <x v="0"/>
    <n v="50"/>
    <n v="22.6796185"/>
    <n v="0.7"/>
    <n v="15.87573295"/>
  </r>
  <r>
    <d v="2019-02-01T00:00:00"/>
    <s v="Canned and dry goods"/>
    <n v="8"/>
    <n v="4"/>
    <n v="7.9"/>
    <s v="OIL CANOLA SAL"/>
    <x v="35"/>
    <x v="0"/>
    <n v="252.8"/>
    <n v="114.66815113600002"/>
    <n v="2.6459999999999999"/>
    <n v="303.41192790585603"/>
  </r>
  <r>
    <d v="2019-02-01T00:00:00"/>
    <s v="Canned and dry goods"/>
    <n v="3"/>
    <n v="1"/>
    <n v="35"/>
    <s v="OIL CANOLA PURE ZTF"/>
    <x v="35"/>
    <x v="0"/>
    <n v="105"/>
    <n v="47.627198849999999"/>
    <n v="2.6459999999999999"/>
    <n v="126.02156815709999"/>
  </r>
  <r>
    <d v="2019-02-04T00:00:00"/>
    <s v="Canned and dry goods"/>
    <n v="8"/>
    <n v="4"/>
    <n v="7.9"/>
    <s v="OIL CANOLA SAL"/>
    <x v="35"/>
    <x v="0"/>
    <n v="252.8"/>
    <n v="114.66815113600002"/>
    <n v="2.6459999999999999"/>
    <n v="303.41192790585603"/>
  </r>
  <r>
    <d v="2019-02-04T00:00:00"/>
    <s v="Canned and dry goods"/>
    <n v="3"/>
    <n v="1"/>
    <n v="35"/>
    <s v="OIL CANOLA PURE ZTF"/>
    <x v="35"/>
    <x v="0"/>
    <n v="105"/>
    <n v="47.627198849999999"/>
    <n v="2.6459999999999999"/>
    <n v="126.02156815709999"/>
  </r>
  <r>
    <d v="2019-02-07T00:00:00"/>
    <s v="Canned and dry goods"/>
    <n v="1"/>
    <n v="3"/>
    <n v="2"/>
    <s v="SUNFLOWER KERNEL OIL RST SALT"/>
    <x v="35"/>
    <x v="0"/>
    <n v="6"/>
    <n v="2.7215542200000002"/>
    <n v="2.6459999999999999"/>
    <n v="7.2012324661200005"/>
  </r>
  <r>
    <d v="2019-02-07T00:00:00"/>
    <s v="Canned and dry goods"/>
    <n v="3"/>
    <n v="1"/>
    <n v="35"/>
    <s v="OIL CANOLA PURE ZTF"/>
    <x v="35"/>
    <x v="0"/>
    <n v="105"/>
    <n v="47.627198849999999"/>
    <n v="2.6459999999999999"/>
    <n v="126.02156815709999"/>
  </r>
  <r>
    <d v="2019-02-07T00:00:00"/>
    <s v="Canned and dry goods"/>
    <n v="3"/>
    <n v="4"/>
    <n v="7.9"/>
    <s v="OIL CANOLA"/>
    <x v="35"/>
    <x v="0"/>
    <n v="94.800000000000011"/>
    <n v="43.000556676000009"/>
    <n v="2.6459999999999999"/>
    <n v="113.77947296469603"/>
  </r>
  <r>
    <d v="2019-02-01T00:00:00"/>
    <s v="Canned and dry goods"/>
    <n v="1"/>
    <n v="3"/>
    <n v="2"/>
    <s v="SUNFLOWER KERNEL OIL RST SALT"/>
    <x v="36"/>
    <x v="0"/>
    <n v="6"/>
    <n v="2.7215542200000002"/>
    <n v="0.84799999999999998"/>
    <n v="2.3078779785600001"/>
  </r>
  <r>
    <d v="2019-02-01T00:00:00"/>
    <s v="Canned and dry goods"/>
    <n v="2"/>
    <n v="4"/>
    <n v="11.01"/>
    <s v="SYRUP PANCAKE &amp;  WAFFLE"/>
    <x v="37"/>
    <x v="0"/>
    <n v="88.08"/>
    <n v="39.952415949600002"/>
    <n v="6.7539999999999996"/>
    <n v="269.83861732359838"/>
  </r>
  <r>
    <d v="2019-02-01T00:00:00"/>
    <s v="Canned and dry goods"/>
    <n v="4"/>
    <n v="6"/>
    <n v="10"/>
    <s v="TOMATO CRUSHED ALL PURP FCY CA"/>
    <x v="38"/>
    <x v="0"/>
    <n v="240"/>
    <n v="108.86216880000001"/>
    <n v="0.47"/>
    <n v="51.165219336"/>
  </r>
  <r>
    <d v="2019-02-01T00:00:00"/>
    <s v="Canned and dry goods"/>
    <n v="2"/>
    <n v="6"/>
    <n v="10"/>
    <s v="TOMATO GRND PLD IN PUREE"/>
    <x v="38"/>
    <x v="0"/>
    <n v="120"/>
    <n v="54.431084400000003"/>
    <n v="0.47"/>
    <n v="25.582609668"/>
  </r>
  <r>
    <d v="2019-02-04T00:00:00"/>
    <s v="Canned and dry goods"/>
    <n v="6"/>
    <n v="6"/>
    <n v="10"/>
    <s v="TOMATO DICED IN JCE NO SALT CA"/>
    <x v="38"/>
    <x v="0"/>
    <n v="360"/>
    <n v="163.29325320000001"/>
    <n v="0.47"/>
    <n v="76.747829003999996"/>
  </r>
  <r>
    <d v="2019-02-04T00:00:00"/>
    <s v="Canned and dry goods"/>
    <n v="4"/>
    <n v="6"/>
    <n v="10"/>
    <s v="TOMATO CRUSHED ALL PURP FCY CA"/>
    <x v="38"/>
    <x v="0"/>
    <n v="240"/>
    <n v="108.86216880000001"/>
    <n v="0.47"/>
    <n v="51.165219336"/>
  </r>
  <r>
    <d v="2019-02-04T00:00:00"/>
    <s v="Canned and dry goods"/>
    <n v="6"/>
    <n v="6"/>
    <n v="10"/>
    <s v="TOMATO GRND PLD IN PUREE"/>
    <x v="38"/>
    <x v="0"/>
    <n v="360"/>
    <n v="163.29325320000001"/>
    <n v="0.47"/>
    <n v="76.747829003999996"/>
  </r>
  <r>
    <d v="2019-02-01T00:00:00"/>
    <s v="Canned and dry goods"/>
    <n v="2"/>
    <n v="6"/>
    <n v="4.15625"/>
    <s v="TUNA CHUNK SKIP JACK FAD FREE"/>
    <x v="39"/>
    <x v="2"/>
    <n v="49.875"/>
    <n v="22.622919453750001"/>
    <n v="2.1480000000000001"/>
    <n v="48.594030986655007"/>
  </r>
  <r>
    <d v="2019-02-07T00:00:00"/>
    <s v="Canned and dry goods"/>
    <n v="1"/>
    <n v="6"/>
    <n v="4.15625"/>
    <s v="TUNA CHUNK SKIP JACK FAD FREE"/>
    <x v="39"/>
    <x v="2"/>
    <n v="24.9375"/>
    <n v="11.311459726875"/>
    <n v="2.1480000000000001"/>
    <n v="24.297015493327503"/>
  </r>
  <r>
    <d v="2019-02-01T00:00:00"/>
    <s v="Canned and dry goods"/>
    <n v="1"/>
    <n v="4"/>
    <n v="8.41"/>
    <s v="VINEGAR WINE RED PLS"/>
    <x v="40"/>
    <x v="0"/>
    <n v="33.64"/>
    <n v="15.258847326800002"/>
    <n v="0.34"/>
    <n v="5.1880080911120006"/>
  </r>
  <r>
    <d v="2019-02-01T00:00:00"/>
    <s v="Canned and dry goods"/>
    <n v="1"/>
    <n v="2"/>
    <n v="11.950000000000001"/>
    <s v="VINEGAR BLSMIC AGED ITALY  PL"/>
    <x v="40"/>
    <x v="0"/>
    <n v="23.900000000000002"/>
    <n v="10.840857643000001"/>
    <n v="0.34"/>
    <n v="3.6858915986200009"/>
  </r>
  <r>
    <d v="2019-02-04T00:00:00"/>
    <s v="Canned and dry goods"/>
    <n v="1"/>
    <n v="2"/>
    <n v="11.950000000000001"/>
    <s v="VINEGAR BLSMIC AGED ITALY  PL"/>
    <x v="40"/>
    <x v="0"/>
    <n v="23.900000000000002"/>
    <n v="10.840857643000001"/>
    <n v="0.34"/>
    <n v="3.6858915986200009"/>
  </r>
  <r>
    <d v="2019-02-01T00:00:00"/>
    <s v="Canned and dry goods"/>
    <n v="2"/>
    <n v="6"/>
    <n v="2"/>
    <s v="GRAIN SPECIALTY BULGUR WHEAT"/>
    <x v="41"/>
    <x v="0"/>
    <n v="24"/>
    <n v="10.886216880000001"/>
    <n v="0.34699999999999998"/>
    <n v="3.77751725736"/>
  </r>
  <r>
    <d v="2019-02-01T00:00:00"/>
    <s v="Canned and dry goods"/>
    <n v="2"/>
    <n v="6"/>
    <n v="2"/>
    <s v="QUINOA GRAIN WHT"/>
    <x v="41"/>
    <x v="0"/>
    <n v="24"/>
    <n v="10.886216880000001"/>
    <n v="0.34699999999999998"/>
    <n v="3.77751725736"/>
  </r>
  <r>
    <d v="2019-02-01T00:00:00"/>
    <s v="Canned and dry goods"/>
    <n v="2"/>
    <n v="1"/>
    <n v="10"/>
    <s v="COUSCOUS INTL"/>
    <x v="41"/>
    <x v="0"/>
    <n v="20"/>
    <n v="9.0718474000000011"/>
    <n v="0.34699999999999998"/>
    <n v="3.1479310478000002"/>
  </r>
  <r>
    <d v="2019-02-04T00:00:00"/>
    <s v="Canned and dry goods"/>
    <n v="2"/>
    <n v="6"/>
    <n v="2"/>
    <s v="GRAIN SPECIALTY BULGUR WHEAT"/>
    <x v="41"/>
    <x v="0"/>
    <n v="24"/>
    <n v="10.886216880000001"/>
    <n v="0.34699999999999998"/>
    <n v="3.77751725736"/>
  </r>
  <r>
    <d v="2019-02-04T00:00:00"/>
    <s v="Canned and dry goods"/>
    <n v="2"/>
    <n v="6"/>
    <n v="2"/>
    <s v="QUINOA GRAIN WHT"/>
    <x v="41"/>
    <x v="0"/>
    <n v="24"/>
    <n v="10.886216880000001"/>
    <n v="0.34699999999999998"/>
    <n v="3.77751725736"/>
  </r>
  <r>
    <d v="2019-02-07T00:00:00"/>
    <s v="Canned and dry goods"/>
    <n v="1"/>
    <n v="12"/>
    <n v="2"/>
    <s v="YEAST ACTIVE DRY"/>
    <x v="42"/>
    <x v="0"/>
    <n v="24"/>
    <n v="10.886216880000001"/>
    <m/>
    <n v="0"/>
  </r>
  <r>
    <d v="2019-02-01T00:00:00"/>
    <s v="Dairy Products"/>
    <n v="1"/>
    <n v="36"/>
    <n v="1"/>
    <s v="BUTTER SOLID UNSLTD USDA AA"/>
    <x v="43"/>
    <x v="1"/>
    <n v="36"/>
    <n v="16.329325319999999"/>
    <n v="11.52"/>
    <n v="188.11382768639999"/>
  </r>
  <r>
    <d v="2019-02-04T00:00:00"/>
    <s v="Dairy Products"/>
    <n v="1"/>
    <n v="36"/>
    <n v="1"/>
    <s v="BUTTER SOLID UNSLTD USDA AA"/>
    <x v="43"/>
    <x v="1"/>
    <n v="36"/>
    <n v="16.329325319999999"/>
    <n v="11.52"/>
    <n v="188.11382768639999"/>
  </r>
  <r>
    <d v="2019-02-01T00:00:00"/>
    <s v="Dairy Products"/>
    <n v="1"/>
    <n v="6"/>
    <n v="1"/>
    <s v="CHEESE MOZZ FRSH SLI 18 CT"/>
    <x v="44"/>
    <x v="1"/>
    <n v="6"/>
    <n v="2.7215542200000002"/>
    <n v="9.9740000000000002"/>
    <n v="27.144781790280003"/>
  </r>
  <r>
    <d v="2019-02-01T00:00:00"/>
    <s v="Dairy Products"/>
    <n v="2"/>
    <n v="6"/>
    <n v="3"/>
    <s v="CHEESE CREAM ORIG LOAF"/>
    <x v="44"/>
    <x v="1"/>
    <n v="36"/>
    <n v="16.329325319999999"/>
    <n v="9.9740000000000002"/>
    <n v="162.86869074167998"/>
  </r>
  <r>
    <d v="2019-02-01T00:00:00"/>
    <s v="Dairy Products"/>
    <n v="2"/>
    <n v="6"/>
    <n v="3"/>
    <s v="CHEESE CREAM ORIG LOAF"/>
    <x v="44"/>
    <x v="1"/>
    <n v="36"/>
    <n v="16.329325319999999"/>
    <n v="9.9740000000000002"/>
    <n v="162.86869074167998"/>
  </r>
  <r>
    <d v="2019-02-01T00:00:00"/>
    <s v="Dairy Products"/>
    <n v="2"/>
    <n v="6"/>
    <n v="0.6875"/>
    <s v="CHEESE GOAT FRCH PLAIN LOG"/>
    <x v="44"/>
    <x v="1"/>
    <n v="8.25"/>
    <n v="3.7421370525000004"/>
    <n v="9.9740000000000002"/>
    <n v="37.324074961635006"/>
  </r>
  <r>
    <d v="2019-02-01T00:00:00"/>
    <s v="Dairy Products"/>
    <n v="3"/>
    <n v="2"/>
    <n v="5"/>
    <s v="CHEESE COTTAGE SMALL CURD 4%"/>
    <x v="44"/>
    <x v="1"/>
    <n v="30"/>
    <n v="13.607771100000001"/>
    <n v="9.9740000000000002"/>
    <n v="135.72390895140001"/>
  </r>
  <r>
    <d v="2019-02-01T00:00:00"/>
    <s v="Dairy Products"/>
    <n v="1"/>
    <n v="4"/>
    <n v="5"/>
    <s v="CHEESE AMER YEL 160 SLI"/>
    <x v="44"/>
    <x v="1"/>
    <n v="20"/>
    <n v="9.0718474000000011"/>
    <n v="9.9740000000000002"/>
    <n v="90.482605967600009"/>
  </r>
  <r>
    <d v="2019-02-01T00:00:00"/>
    <s v="Dairy Products"/>
    <n v="5"/>
    <n v="4"/>
    <n v="5"/>
    <s v="CHEESE CHDR MILD FTHR SHRD"/>
    <x v="44"/>
    <x v="1"/>
    <n v="100"/>
    <n v="45.359237"/>
    <n v="9.9740000000000002"/>
    <n v="452.413029838"/>
  </r>
  <r>
    <d v="2019-02-01T00:00:00"/>
    <s v="Dairy Products"/>
    <n v="8"/>
    <n v="4"/>
    <n v="5"/>
    <s v="CHEESE MOZZ FTHR SHRD PART SKM"/>
    <x v="44"/>
    <x v="1"/>
    <n v="160"/>
    <n v="72.574779200000009"/>
    <n v="9.9740000000000002"/>
    <n v="723.86084774080007"/>
  </r>
  <r>
    <d v="2019-02-01T00:00:00"/>
    <s v="Dairy Products"/>
    <n v="1"/>
    <n v="2"/>
    <n v="5"/>
    <s v="CHEESE FETA CRUMBLE"/>
    <x v="44"/>
    <x v="1"/>
    <n v="10"/>
    <n v="4.5359237000000006"/>
    <n v="9.9740000000000002"/>
    <n v="45.241302983800004"/>
  </r>
  <r>
    <d v="2019-02-01T00:00:00"/>
    <s v="Dairy Products"/>
    <n v="2"/>
    <n v="4"/>
    <n v="2.5"/>
    <s v="CHEESE PEPPER JACK SLI .70.3125"/>
    <x v="44"/>
    <x v="1"/>
    <n v="20"/>
    <n v="9.0718474000000011"/>
    <n v="9.9740000000000002"/>
    <n v="90.482605967600009"/>
  </r>
  <r>
    <d v="2019-02-01T00:00:00"/>
    <s v="Dairy Products"/>
    <n v="1"/>
    <n v="8"/>
    <n v="1.25"/>
    <s v="CHEESE CHDR MILD SLI .0.3125"/>
    <x v="44"/>
    <x v="1"/>
    <n v="10"/>
    <n v="4.5359237000000006"/>
    <n v="9.9740000000000002"/>
    <n v="45.241302983800004"/>
  </r>
  <r>
    <d v="2019-02-01T00:00:00"/>
    <s v="Dairy Products"/>
    <n v="1"/>
    <n v="4"/>
    <n v="2.5"/>
    <s v="CHEESE PROVOLONE SLI .0.3125"/>
    <x v="44"/>
    <x v="1"/>
    <n v="10"/>
    <n v="4.5359237000000006"/>
    <n v="9.9740000000000002"/>
    <n v="45.241302983800004"/>
  </r>
  <r>
    <d v="2019-02-01T00:00:00"/>
    <s v="Dairy Products"/>
    <n v="2"/>
    <n v="2"/>
    <n v="5"/>
    <s v="CHEESE PARM GRATED PURE"/>
    <x v="44"/>
    <x v="1"/>
    <n v="20"/>
    <n v="9.0718474000000011"/>
    <n v="9.9740000000000002"/>
    <n v="90.482605967600009"/>
  </r>
  <r>
    <d v="2019-02-04T00:00:00"/>
    <s v="Dairy Products"/>
    <n v="2"/>
    <n v="6"/>
    <n v="3"/>
    <s v="CHEESE CREAM ORIG LOAF"/>
    <x v="44"/>
    <x v="1"/>
    <n v="36"/>
    <n v="16.329325319999999"/>
    <n v="9.9740000000000002"/>
    <n v="162.86869074167998"/>
  </r>
  <r>
    <d v="2019-02-04T00:00:00"/>
    <s v="Dairy Products"/>
    <n v="1"/>
    <n v="6"/>
    <n v="0.6875"/>
    <s v="CHEESE GOAT FRCH PLAIN LOG"/>
    <x v="44"/>
    <x v="1"/>
    <n v="4.125"/>
    <n v="1.8710685262500002"/>
    <n v="9.9740000000000002"/>
    <n v="18.662037480817503"/>
  </r>
  <r>
    <d v="2019-02-04T00:00:00"/>
    <s v="Dairy Products"/>
    <n v="2"/>
    <n v="2"/>
    <n v="5"/>
    <s v="CHEESE COTTAGE SMALL CURD 4%"/>
    <x v="44"/>
    <x v="1"/>
    <n v="20"/>
    <n v="9.0718474000000011"/>
    <n v="9.9740000000000002"/>
    <n v="90.482605967600009"/>
  </r>
  <r>
    <d v="2019-02-04T00:00:00"/>
    <s v="Dairy Products"/>
    <n v="1"/>
    <n v="4"/>
    <n v="5"/>
    <s v="CHEESE AMER YEL 160 SLI"/>
    <x v="44"/>
    <x v="1"/>
    <n v="20"/>
    <n v="9.0718474000000011"/>
    <n v="9.9740000000000002"/>
    <n v="90.482605967600009"/>
  </r>
  <r>
    <d v="2019-02-04T00:00:00"/>
    <s v="Dairy Products"/>
    <n v="4"/>
    <n v="4"/>
    <n v="5"/>
    <s v="CHEESE CHDR MILD FTHR SHRD"/>
    <x v="44"/>
    <x v="1"/>
    <n v="80"/>
    <n v="36.287389600000004"/>
    <n v="9.9740000000000002"/>
    <n v="361.93042387040003"/>
  </r>
  <r>
    <d v="2019-02-04T00:00:00"/>
    <s v="Dairy Products"/>
    <n v="12"/>
    <n v="4"/>
    <n v="5"/>
    <s v="CHEESE MOZZ FTHR SHRD PART SKM"/>
    <x v="44"/>
    <x v="1"/>
    <n v="240"/>
    <n v="108.86216880000001"/>
    <n v="9.9740000000000002"/>
    <n v="1085.7912716112"/>
  </r>
  <r>
    <d v="2019-02-04T00:00:00"/>
    <s v="Dairy Products"/>
    <n v="1"/>
    <n v="4"/>
    <n v="2.5"/>
    <s v="CHEESE SWISS SLI .0.3125"/>
    <x v="44"/>
    <x v="1"/>
    <n v="10"/>
    <n v="4.5359237000000006"/>
    <n v="9.9740000000000002"/>
    <n v="45.241302983800004"/>
  </r>
  <r>
    <d v="2019-02-04T00:00:00"/>
    <s v="Dairy Products"/>
    <n v="1"/>
    <n v="8"/>
    <n v="1.25"/>
    <s v="CHEESE CHDR MILD SLI .0.3125"/>
    <x v="44"/>
    <x v="1"/>
    <n v="10"/>
    <n v="4.5359237000000006"/>
    <n v="9.9740000000000002"/>
    <n v="45.241302983800004"/>
  </r>
  <r>
    <d v="2019-02-04T00:00:00"/>
    <s v="Dairy Products"/>
    <n v="1"/>
    <n v="4"/>
    <n v="2.5"/>
    <s v="CHEESE PROVOLONE SLI .0.3125"/>
    <x v="44"/>
    <x v="1"/>
    <n v="10"/>
    <n v="4.5359237000000006"/>
    <n v="9.9740000000000002"/>
    <n v="45.241302983800004"/>
  </r>
  <r>
    <d v="2019-02-04T00:00:00"/>
    <s v="Dairy Products"/>
    <n v="2"/>
    <n v="2"/>
    <n v="5"/>
    <s v="CHEESE PARM GRATED PURE"/>
    <x v="44"/>
    <x v="1"/>
    <n v="20"/>
    <n v="9.0718474000000011"/>
    <n v="9.9740000000000002"/>
    <n v="90.482605967600009"/>
  </r>
  <r>
    <d v="2019-02-04T00:00:00"/>
    <s v="Dairy Products"/>
    <n v="1"/>
    <n v="6"/>
    <n v="3"/>
    <s v="CHEESE RICOTTA BULK WHL MILK"/>
    <x v="44"/>
    <x v="1"/>
    <n v="18"/>
    <n v="8.1646626599999994"/>
    <n v="9.9740000000000002"/>
    <n v="81.434345370839992"/>
  </r>
  <r>
    <d v="2019-02-04T00:00:00"/>
    <s v="Dairy Products"/>
    <n v="2"/>
    <n v="6"/>
    <n v="3"/>
    <s v="CHEESE CREAM ORIG LOAF"/>
    <x v="44"/>
    <x v="1"/>
    <n v="36"/>
    <n v="16.329325319999999"/>
    <n v="9.9740000000000002"/>
    <n v="162.86869074167998"/>
  </r>
  <r>
    <d v="2019-02-07T00:00:00"/>
    <s v="Dairy Products"/>
    <n v="2"/>
    <n v="4"/>
    <n v="5"/>
    <s v="CHEESE MOZZ FTHR SHRD WHL MILK"/>
    <x v="44"/>
    <x v="1"/>
    <n v="40"/>
    <n v="18.143694800000002"/>
    <n v="9.9740000000000002"/>
    <n v="180.96521193520002"/>
  </r>
  <r>
    <d v="2019-02-07T00:00:00"/>
    <s v="Dairy Products"/>
    <n v="1"/>
    <n v="4"/>
    <n v="2.5"/>
    <s v="CHEESE SWISS SLI .0.3125"/>
    <x v="44"/>
    <x v="1"/>
    <n v="10"/>
    <n v="4.5359237000000006"/>
    <n v="9.9740000000000002"/>
    <n v="45.241302983800004"/>
  </r>
  <r>
    <d v="2019-02-07T00:00:00"/>
    <s v="Dairy Products"/>
    <n v="1"/>
    <n v="4"/>
    <n v="2.5"/>
    <s v="CHEESE PROVOLONE SLI .0.3125"/>
    <x v="44"/>
    <x v="1"/>
    <n v="10"/>
    <n v="4.5359237000000006"/>
    <n v="9.9740000000000002"/>
    <n v="45.241302983800004"/>
  </r>
  <r>
    <d v="2019-02-01T00:00:00"/>
    <s v="Dairy Products"/>
    <n v="2"/>
    <n v="1"/>
    <n v="2"/>
    <s v="CREAM SOUR SEL 13%"/>
    <x v="45"/>
    <x v="1"/>
    <n v="4"/>
    <n v="1.8143694800000001"/>
    <n v="5.2"/>
    <n v="9.4347212960000011"/>
  </r>
  <r>
    <d v="2019-02-01T00:00:00"/>
    <s v="Dairy Products"/>
    <n v="18"/>
    <n v="2"/>
    <n v="20"/>
    <s v="EGG LIQ WHL CAGE FREE W/CITRIC"/>
    <x v="46"/>
    <x v="1"/>
    <n v="720"/>
    <n v="326.58650640000002"/>
    <n v="3.754"/>
    <n v="1226.0057450256002"/>
  </r>
  <r>
    <d v="2019-02-01T00:00:00"/>
    <s v="Dairy Products"/>
    <n v="2"/>
    <n v="15"/>
    <n v="2"/>
    <s v="EGG WHITE CAGE FREE LIQ"/>
    <x v="46"/>
    <x v="1"/>
    <n v="60"/>
    <n v="27.215542200000002"/>
    <n v="3.754"/>
    <n v="102.1671454188"/>
  </r>
  <r>
    <d v="2019-02-01T00:00:00"/>
    <s v="Dairy Products"/>
    <n v="3"/>
    <n v="1"/>
    <n v="22.5"/>
    <s v="EGG SHELL LG GR AA USDA WHT"/>
    <x v="46"/>
    <x v="1"/>
    <n v="67.5"/>
    <n v="30.617484975"/>
    <n v="3.754"/>
    <n v="114.93803859614999"/>
  </r>
  <r>
    <d v="2019-02-04T00:00:00"/>
    <s v="Dairy Products"/>
    <n v="8"/>
    <n v="2"/>
    <n v="20"/>
    <s v="EGG LIQ WHL CAGE FREE W/CITRIC"/>
    <x v="46"/>
    <x v="1"/>
    <n v="320"/>
    <n v="145.14955840000002"/>
    <n v="3.754"/>
    <n v="544.89144223360006"/>
  </r>
  <r>
    <d v="2019-02-04T00:00:00"/>
    <s v="Dairy Products"/>
    <n v="2"/>
    <n v="15"/>
    <n v="2"/>
    <s v="EGG WHITE CAGE FREE LIQ"/>
    <x v="46"/>
    <x v="1"/>
    <n v="60"/>
    <n v="27.215542200000002"/>
    <n v="3.754"/>
    <n v="102.1671454188"/>
  </r>
  <r>
    <d v="2019-02-04T00:00:00"/>
    <s v="Dairy Products"/>
    <n v="2"/>
    <n v="15"/>
    <n v="1.5"/>
    <s v="EGG SHELL CG FR LG HFAC GR A"/>
    <x v="46"/>
    <x v="1"/>
    <n v="45"/>
    <n v="20.411656650000001"/>
    <n v="3.754"/>
    <n v="76.62535906410001"/>
  </r>
  <r>
    <d v="2019-02-07T00:00:00"/>
    <s v="Dairy Products"/>
    <n v="3"/>
    <n v="2"/>
    <n v="20"/>
    <s v="EGG LIQ WHL CAGE FREE W/CITRIC"/>
    <x v="46"/>
    <x v="1"/>
    <n v="120"/>
    <n v="54.431084400000003"/>
    <n v="3.754"/>
    <n v="204.33429083760001"/>
  </r>
  <r>
    <d v="2019-02-07T00:00:00"/>
    <s v="Dairy Products"/>
    <n v="2"/>
    <n v="12"/>
    <n v="2.0499999999999998"/>
    <s v="CREAMER HALF &amp;  HALF UHT"/>
    <x v="47"/>
    <x v="1"/>
    <n v="49.199999999999996"/>
    <n v="22.316744604"/>
    <n v="3.2614999999999998"/>
    <n v="72.786062525945994"/>
  </r>
  <r>
    <d v="2019-02-07T00:00:00"/>
    <s v="Dairy Products"/>
    <n v="1"/>
    <n v="12"/>
    <n v="0.125"/>
    <s v="CREAM HEAVY WHIPPING 36% ESL"/>
    <x v="48"/>
    <x v="1"/>
    <n v="1.5"/>
    <n v="0.68038855500000006"/>
    <n v="5.32"/>
    <n v="3.6196671126000006"/>
  </r>
  <r>
    <d v="2019-02-01T00:00:00"/>
    <s v="Dairy Products"/>
    <n v="1"/>
    <n v="6"/>
    <n v="5"/>
    <s v="MARGARINE SOFT BUTRY SPRD TUB"/>
    <x v="49"/>
    <x v="0"/>
    <n v="30"/>
    <n v="13.607771100000001"/>
    <m/>
    <n v="0"/>
  </r>
  <r>
    <d v="2019-02-04T00:00:00"/>
    <s v="Dairy Products"/>
    <n v="1"/>
    <n v="6"/>
    <n v="5"/>
    <s v="MARGARINE SOFT BUTRY SPRD TUB"/>
    <x v="49"/>
    <x v="0"/>
    <n v="30"/>
    <n v="13.607771100000001"/>
    <m/>
    <n v="0"/>
  </r>
  <r>
    <d v="2019-02-01T00:00:00"/>
    <s v="Dairy Products"/>
    <n v="2"/>
    <n v="20"/>
    <n v="0.5"/>
    <s v="MILK NFAT 100% LACT CAL ENRCHD"/>
    <x v="50"/>
    <x v="1"/>
    <n v="20"/>
    <n v="9.0718474000000011"/>
    <n v="1.23"/>
    <n v="11.158372302000002"/>
  </r>
  <r>
    <d v="2019-02-04T00:00:00"/>
    <s v="Dairy Products"/>
    <n v="2"/>
    <n v="12"/>
    <n v="0.125"/>
    <s v="MILK SOY PLAIN"/>
    <x v="51"/>
    <x v="0"/>
    <n v="3"/>
    <n v="1.3607771100000001"/>
    <n v="0.25800000000000001"/>
    <n v="0.35108049438000005"/>
  </r>
  <r>
    <d v="2019-02-04T00:00:00"/>
    <s v="Dairy Products"/>
    <n v="2"/>
    <n v="20"/>
    <n v="0.5"/>
    <s v="MILK NFAT 100% LACT CAL ENRCHD"/>
    <x v="50"/>
    <x v="1"/>
    <n v="20"/>
    <n v="9.0718474000000011"/>
    <n v="1.23"/>
    <n v="11.158372302000002"/>
  </r>
  <r>
    <d v="2019-02-07T00:00:00"/>
    <s v="Dairy Products"/>
    <n v="2"/>
    <n v="20"/>
    <n v="0.5"/>
    <s v="MILK NFAT 100% LACT CAL ENRCHD"/>
    <x v="50"/>
    <x v="1"/>
    <n v="20"/>
    <n v="9.0718474000000011"/>
    <n v="1.23"/>
    <n v="11.158372302000002"/>
  </r>
  <r>
    <d v="2019-02-01T00:00:00"/>
    <s v="Dairy Products"/>
    <n v="3"/>
    <n v="1"/>
    <n v="21.5"/>
    <s v="MILK SOY VAN BAG"/>
    <x v="52"/>
    <x v="0"/>
    <n v="64.5"/>
    <n v="29.256707864999999"/>
    <n v="0.25800000000000001"/>
    <n v="7.5482306291699999"/>
  </r>
  <r>
    <d v="2019-02-01T00:00:00"/>
    <s v="Dairy Products"/>
    <n v="3"/>
    <n v="1"/>
    <n v="21.5"/>
    <s v="MILK SOY CHOC BAG"/>
    <x v="52"/>
    <x v="0"/>
    <n v="64.5"/>
    <n v="29.256707864999999"/>
    <n v="0.25800000000000001"/>
    <n v="7.5482306291699999"/>
  </r>
  <r>
    <d v="2019-02-04T00:00:00"/>
    <s v="Dairy Products"/>
    <n v="3"/>
    <n v="1"/>
    <n v="21.5"/>
    <s v="MILK SOY VAN BAG"/>
    <x v="52"/>
    <x v="0"/>
    <n v="64.5"/>
    <n v="29.256707864999999"/>
    <n v="0.25800000000000001"/>
    <n v="7.5482306291699999"/>
  </r>
  <r>
    <d v="2019-02-04T00:00:00"/>
    <s v="Dairy Products"/>
    <n v="3"/>
    <n v="1"/>
    <n v="21.5"/>
    <s v="MILK SOY CHOC BAG"/>
    <x v="52"/>
    <x v="0"/>
    <n v="64.5"/>
    <n v="29.256707864999999"/>
    <n v="0.25800000000000001"/>
    <n v="7.5482306291699999"/>
  </r>
  <r>
    <d v="2019-02-07T00:00:00"/>
    <s v="Dairy Products"/>
    <n v="3"/>
    <n v="1"/>
    <n v="21.5"/>
    <s v="MILK SOY VAN BAG"/>
    <x v="52"/>
    <x v="0"/>
    <n v="64.5"/>
    <n v="29.256707864999999"/>
    <n v="0.25800000000000001"/>
    <n v="7.5482306291699999"/>
  </r>
  <r>
    <d v="2019-02-07T00:00:00"/>
    <s v="Dairy Products"/>
    <n v="1"/>
    <n v="1"/>
    <n v="21.5"/>
    <s v="MILK SOY CHOC BAG"/>
    <x v="52"/>
    <x v="0"/>
    <n v="21.5"/>
    <n v="9.7522359549999997"/>
    <n v="0.25800000000000001"/>
    <n v="2.5160768763900001"/>
  </r>
  <r>
    <d v="2019-02-01T00:00:00"/>
    <s v="Dairy Products"/>
    <n v="5"/>
    <n v="2"/>
    <n v="6"/>
    <s v="YOGURT PLAIN GREEK BAG OIKOS"/>
    <x v="53"/>
    <x v="1"/>
    <n v="60"/>
    <n v="27.215542200000002"/>
    <n v="1.33"/>
    <n v="36.196671126000005"/>
  </r>
  <r>
    <d v="2019-02-01T00:00:00"/>
    <s v="Dairy Products"/>
    <n v="5"/>
    <n v="2"/>
    <n v="6"/>
    <s v="YOGURT VANILLA GRK BAG OIKOS"/>
    <x v="53"/>
    <x v="1"/>
    <n v="60"/>
    <n v="27.215542200000002"/>
    <n v="1.33"/>
    <n v="36.196671126000005"/>
  </r>
  <r>
    <d v="2019-02-04T00:00:00"/>
    <s v="Dairy Products"/>
    <n v="5"/>
    <n v="2"/>
    <n v="6"/>
    <s v="YOGURT PLAIN GREEK BAG OIKOS"/>
    <x v="53"/>
    <x v="1"/>
    <n v="60"/>
    <n v="27.215542200000002"/>
    <n v="1.33"/>
    <n v="36.196671126000005"/>
  </r>
  <r>
    <d v="2019-02-04T00:00:00"/>
    <s v="Dairy Products"/>
    <n v="5"/>
    <n v="2"/>
    <n v="6"/>
    <s v="YOGURT VANILLA GRK BAG OIKOS"/>
    <x v="53"/>
    <x v="1"/>
    <n v="60"/>
    <n v="27.215542200000002"/>
    <n v="1.33"/>
    <n v="36.196671126000005"/>
  </r>
  <r>
    <d v="2019-02-07T00:00:00"/>
    <s v="Dairy Products"/>
    <n v="2"/>
    <n v="2"/>
    <n v="6"/>
    <s v="YOGURT PLAIN GREEK BAG OIKOS"/>
    <x v="53"/>
    <x v="1"/>
    <n v="24"/>
    <n v="10.886216880000001"/>
    <n v="1.33"/>
    <n v="14.478668450400002"/>
  </r>
  <r>
    <d v="2019-02-07T00:00:00"/>
    <s v="Dairy Products"/>
    <n v="1"/>
    <n v="2"/>
    <n v="6"/>
    <s v="YOGURT VANILLA GRK BAG OIKOS"/>
    <x v="53"/>
    <x v="1"/>
    <n v="12"/>
    <n v="5.4431084400000005"/>
    <n v="1.33"/>
    <n v="7.2393342252000012"/>
  </r>
  <r>
    <d v="2019-02-01T00:00:00"/>
    <s v="Frozen"/>
    <n v="5"/>
    <n v="4"/>
    <n v="6"/>
    <s v="BANANA PLANTAIN FRZN SWEET SLI"/>
    <x v="54"/>
    <x v="0"/>
    <n v="120"/>
    <n v="54.431084400000003"/>
    <n v="0.374"/>
    <n v="20.3572255656"/>
  </r>
  <r>
    <d v="2019-02-01T00:00:00"/>
    <s v="Frozen"/>
    <n v="4"/>
    <n v="40"/>
    <n v="0.25"/>
    <s v="BURGER VEG BEYOND PATTY"/>
    <x v="55"/>
    <x v="0"/>
    <n v="40"/>
    <n v="18.143694800000002"/>
    <n v="3.5270000000000001"/>
    <n v="63.992811559600007"/>
  </r>
  <r>
    <d v="2019-02-04T00:00:00"/>
    <s v="Frozen"/>
    <n v="3"/>
    <n v="48"/>
    <n v="0.18124999999999999"/>
    <s v="BURGER BLK BEAN SPCY"/>
    <x v="56"/>
    <x v="0"/>
    <n v="26.099999999999998"/>
    <n v="11.838760856999999"/>
    <n v="6.87"/>
    <n v="81.332287087589989"/>
  </r>
  <r>
    <d v="2019-02-07T00:00:00"/>
    <s v="Frozen"/>
    <n v="1"/>
    <n v="12"/>
    <n v="1.77"/>
    <s v="BREAD PITA FLAT 7"/>
    <x v="57"/>
    <x v="0"/>
    <n v="21.240000000000002"/>
    <n v="9.634301938800002"/>
    <n v="1.2"/>
    <n v="11.561162326560002"/>
  </r>
  <r>
    <d v="2019-02-01T00:00:00"/>
    <s v="Frozen"/>
    <n v="1"/>
    <n v="12"/>
    <n v="21"/>
    <s v="BUN HOAGIE WHT 6 HNGD HARTHBK"/>
    <x v="58"/>
    <x v="0"/>
    <n v="252"/>
    <n v="114.30527724000001"/>
    <n v="1.2"/>
    <n v="137.16633268800001"/>
  </r>
  <r>
    <d v="2019-02-04T00:00:00"/>
    <s v="Frozen"/>
    <n v="6"/>
    <n v="72"/>
    <n v="0.1875"/>
    <s v="EGGROLL VEGETABLE"/>
    <x v="59"/>
    <x v="0"/>
    <n v="81"/>
    <n v="36.74098197"/>
    <n v="3.46"/>
    <n v="127.12379761619999"/>
  </r>
  <r>
    <d v="2019-02-01T00:00:00"/>
    <s v="Frozen"/>
    <n v="1"/>
    <n v="2"/>
    <n v="5"/>
    <s v="MANGO CHUNK"/>
    <x v="60"/>
    <x v="0"/>
    <n v="10"/>
    <n v="4.5359237000000006"/>
    <n v="0.63900000000000001"/>
    <n v="2.8984552443000005"/>
  </r>
  <r>
    <d v="2019-02-01T00:00:00"/>
    <s v="Frozen"/>
    <n v="4"/>
    <n v="4"/>
    <n v="5"/>
    <s v="NOODLE LO MEIN"/>
    <x v="23"/>
    <x v="0"/>
    <n v="80"/>
    <n v="36.287389600000004"/>
    <n v="5.99"/>
    <n v="217.36146370400004"/>
  </r>
  <r>
    <d v="2019-02-01T00:00:00"/>
    <s v="Frozen"/>
    <n v="2"/>
    <n v="12"/>
    <n v="2.5"/>
    <s v="PEA GREEN GR A P"/>
    <x v="61"/>
    <x v="0"/>
    <n v="60"/>
    <n v="27.215542200000002"/>
    <n v="0.61699999999999999"/>
    <n v="16.791989537399999"/>
  </r>
  <r>
    <d v="2019-02-01T00:00:00"/>
    <s v="Frozen"/>
    <n v="5"/>
    <n v="6"/>
    <n v="5"/>
    <s v="POTATO FRY TWISTER ORIG BTTERD"/>
    <x v="62"/>
    <x v="0"/>
    <n v="150"/>
    <n v="68.038855500000011"/>
    <n v="0.217"/>
    <n v="14.764431643500002"/>
  </r>
  <r>
    <d v="2019-02-01T00:00:00"/>
    <s v="Frozen"/>
    <n v="4"/>
    <n v="6"/>
    <n v="6"/>
    <s v="POTATO H/BRN DICE SKIN-ON CTRY"/>
    <x v="62"/>
    <x v="0"/>
    <n v="144"/>
    <n v="65.317301279999995"/>
    <n v="0.217"/>
    <n v="14.17385437776"/>
  </r>
  <r>
    <d v="2019-02-01T00:00:00"/>
    <s v="Frozen"/>
    <n v="4"/>
    <n v="6"/>
    <n v="5"/>
    <s v="POTATO FRY STEAK HSE"/>
    <x v="62"/>
    <x v="0"/>
    <n v="120"/>
    <n v="54.431084400000003"/>
    <n v="0.217"/>
    <n v="11.8115453148"/>
  </r>
  <r>
    <d v="2019-02-01T00:00:00"/>
    <s v="Frozen"/>
    <n v="2"/>
    <n v="6"/>
    <n v="5"/>
    <s v="POTATO CHIP NAT FRY 1/8"/>
    <x v="62"/>
    <x v="0"/>
    <n v="60"/>
    <n v="27.215542200000002"/>
    <n v="0.217"/>
    <n v="5.9057726574"/>
  </r>
  <r>
    <d v="2019-02-01T00:00:00"/>
    <s v="Frozen"/>
    <n v="5"/>
    <n v="6"/>
    <n v="5"/>
    <s v="POTATO FRY 3/8 COLSSL CRISP"/>
    <x v="62"/>
    <x v="0"/>
    <n v="150"/>
    <n v="68.038855500000011"/>
    <n v="0.217"/>
    <n v="14.764431643500002"/>
  </r>
  <r>
    <d v="2019-02-04T00:00:00"/>
    <s v="Frozen"/>
    <n v="6"/>
    <n v="6"/>
    <n v="5"/>
    <s v="POTATO FRY 3/8 COLSSL CRISP"/>
    <x v="62"/>
    <x v="0"/>
    <n v="180"/>
    <n v="81.646626600000005"/>
    <n v="0.217"/>
    <n v="17.7173179722"/>
  </r>
  <r>
    <d v="2019-02-07T00:00:00"/>
    <s v="Frozen"/>
    <n v="3"/>
    <n v="6"/>
    <n v="6"/>
    <s v="POTATO H/BRN DICE SKIN-ON CTRY"/>
    <x v="62"/>
    <x v="0"/>
    <n v="108"/>
    <n v="48.987975960000007"/>
    <n v="0.217"/>
    <n v="10.630390783320001"/>
  </r>
  <r>
    <d v="2019-02-07T00:00:00"/>
    <s v="Frozen"/>
    <n v="3"/>
    <n v="6"/>
    <n v="3"/>
    <s v="POTATO H/BRN IQF LOOSE SHRED"/>
    <x v="62"/>
    <x v="0"/>
    <n v="54"/>
    <n v="24.493987980000004"/>
    <n v="0.217"/>
    <n v="5.3151953916600005"/>
  </r>
  <r>
    <d v="2019-02-07T00:00:00"/>
    <s v="Frozen"/>
    <n v="2"/>
    <n v="6"/>
    <n v="5"/>
    <s v="POTATO FRY STEAK HSE"/>
    <x v="62"/>
    <x v="0"/>
    <n v="60"/>
    <n v="27.215542200000002"/>
    <n v="0.217"/>
    <n v="5.9057726574"/>
  </r>
  <r>
    <d v="2019-02-07T00:00:00"/>
    <s v="Frozen"/>
    <n v="1"/>
    <n v="6"/>
    <n v="5"/>
    <s v="POTATO CHIP NAT FRY 1/8"/>
    <x v="62"/>
    <x v="0"/>
    <n v="30"/>
    <n v="13.607771100000001"/>
    <n v="0.217"/>
    <n v="2.9528863287"/>
  </r>
  <r>
    <d v="2019-02-07T00:00:00"/>
    <s v="Frozen"/>
    <n v="2"/>
    <n v="6"/>
    <n v="5"/>
    <s v="POTATO FRY 3/8 COLSSL CRISP"/>
    <x v="62"/>
    <x v="0"/>
    <n v="60"/>
    <n v="27.215542200000002"/>
    <n v="0.217"/>
    <n v="5.9057726574"/>
  </r>
  <r>
    <d v="2019-02-04T00:00:00"/>
    <s v="Frozen"/>
    <n v="2"/>
    <n v="48"/>
    <s v="3.0.3125"/>
    <s v="ROLL CIABATTA 4X4 MULTIGRAIN"/>
    <x v="63"/>
    <x v="0"/>
    <n v="0"/>
    <n v="0"/>
    <n v="1.28"/>
    <n v="0"/>
  </r>
  <r>
    <d v="2019-02-01T00:00:00"/>
    <s v="Frozen"/>
    <n v="2"/>
    <n v="12"/>
    <n v="2"/>
    <s v="SPINACH CHOPPED IQF"/>
    <x v="64"/>
    <x v="0"/>
    <n v="48"/>
    <n v="21.772433760000002"/>
    <n v="0.307"/>
    <n v="6.6841371643200009"/>
  </r>
  <r>
    <d v="2019-02-07T00:00:00"/>
    <s v="Frozen"/>
    <n v="1"/>
    <n v="24"/>
    <n v="0.79366439999999994"/>
    <s v="TORTILLA FLOUR PRESSED 6 IN"/>
    <x v="65"/>
    <x v="0"/>
    <n v="19.047945599999998"/>
    <n v="8.6400027883350727"/>
    <n v="1.28"/>
    <n v="11.059203569068893"/>
  </r>
  <r>
    <d v="2019-02-01T00:00:00"/>
    <s v="Meats"/>
    <n v="2"/>
    <n v="2"/>
    <n v="5"/>
    <s v="PEPPERONI SLI CHRPRF 15-17 CT"/>
    <x v="66"/>
    <x v="2"/>
    <n v="20"/>
    <n v="9.0718474000000011"/>
    <n v="19.202999999999999"/>
    <n v="174.20668562220001"/>
  </r>
  <r>
    <d v="2019-02-04T00:00:00"/>
    <s v="Meats"/>
    <n v="1"/>
    <n v="2"/>
    <n v="5"/>
    <s v="PEPPERONI SLI CHRPRF 15-17 CT"/>
    <x v="66"/>
    <x v="2"/>
    <n v="10"/>
    <n v="4.5359237000000006"/>
    <n v="19.202999999999999"/>
    <n v="87.103342811100006"/>
  </r>
  <r>
    <d v="2019-02-01T00:00:00"/>
    <s v="Meats"/>
    <n v="10"/>
    <n v="1"/>
    <n v="10"/>
    <s v="FRANK BEEF 8X1 F/C"/>
    <x v="67"/>
    <x v="2"/>
    <n v="100"/>
    <n v="45.359237"/>
    <n v="32.845999999999997"/>
    <n v="1489.8694985019999"/>
  </r>
  <r>
    <d v="2019-02-01T00:00:00"/>
    <s v="Meats"/>
    <n v="1"/>
    <n v="1"/>
    <n v="212.13"/>
    <s v="BEEF EYE OF RND HALAL IAP"/>
    <x v="67"/>
    <x v="2"/>
    <n v="212.13"/>
    <n v="96.220549448100002"/>
    <n v="32.845999999999997"/>
    <n v="3160.4601671722921"/>
  </r>
  <r>
    <d v="2019-02-04T00:00:00"/>
    <s v="Meats"/>
    <n v="4"/>
    <n v="1"/>
    <n v="10"/>
    <s v="FRANK BEEF 8X1 F/C"/>
    <x v="67"/>
    <x v="2"/>
    <n v="40"/>
    <n v="18.143694800000002"/>
    <n v="32.845999999999997"/>
    <n v="595.94779940080002"/>
  </r>
  <r>
    <d v="2019-02-04T00:00:00"/>
    <s v="Meats"/>
    <n v="2"/>
    <n v="1"/>
    <n v="142.62"/>
    <s v="BEEF EYE OF RND HALAL IAP"/>
    <x v="67"/>
    <x v="2"/>
    <n v="285.24"/>
    <n v="129.38268761879999"/>
    <n v="32.845999999999997"/>
    <n v="4249.7037575271042"/>
  </r>
  <r>
    <d v="2019-02-01T00:00:00"/>
    <s v="Meats"/>
    <n v="4"/>
    <n v="2"/>
    <n v="5"/>
    <s v="SAUSAGE LINK ANDOUILLE 4X1"/>
    <x v="68"/>
    <x v="2"/>
    <n v="40"/>
    <n v="18.143694800000002"/>
    <n v="5.56"/>
    <n v="100.878943088"/>
  </r>
  <r>
    <d v="2019-02-01T00:00:00"/>
    <s v="Meats"/>
    <n v="1"/>
    <n v="1"/>
    <n v="5.96"/>
    <s v="HAM CAPICOLA BUTT HOT"/>
    <x v="68"/>
    <x v="2"/>
    <n v="5.96"/>
    <n v="2.7034105251999998"/>
    <n v="5.56"/>
    <n v="15.030962520111999"/>
  </r>
  <r>
    <d v="2019-02-01T00:00:00"/>
    <s v="Meats"/>
    <n v="1"/>
    <n v="1"/>
    <n v="22.52"/>
    <s v="SALAMI GENOA"/>
    <x v="68"/>
    <x v="2"/>
    <n v="22.52"/>
    <n v="10.214900172400002"/>
    <n v="5.56"/>
    <n v="56.794844958544004"/>
  </r>
  <r>
    <d v="2019-02-01T00:00:00"/>
    <s v="Poultry"/>
    <n v="6"/>
    <n v="160"/>
    <n v="6.25E-2"/>
    <s v="SAUSAGE CHICKEN BRK LINK"/>
    <x v="69"/>
    <x v="2"/>
    <n v="60"/>
    <n v="27.215542200000002"/>
    <n v="4.1879999999999997"/>
    <n v="113.9786907336"/>
  </r>
  <r>
    <d v="2019-02-04T00:00:00"/>
    <s v="Poultry"/>
    <n v="4"/>
    <n v="160"/>
    <n v="6.25E-2"/>
    <s v="SAUSAGE CHICKEN BRK LINK"/>
    <x v="69"/>
    <x v="2"/>
    <n v="40"/>
    <n v="18.143694800000002"/>
    <n v="4.1879999999999997"/>
    <n v="75.985793822399998"/>
  </r>
  <r>
    <d v="2019-02-07T00:00:00"/>
    <s v="Poultry"/>
    <n v="4"/>
    <n v="160"/>
    <n v="6.25E-2"/>
    <s v="SAUSAGE CHICKEN BRK LINK"/>
    <x v="69"/>
    <x v="2"/>
    <n v="40"/>
    <n v="18.143694800000002"/>
    <n v="4.1879999999999997"/>
    <n v="75.985793822399998"/>
  </r>
  <r>
    <d v="2019-02-01T00:00:00"/>
    <s v="Poultry"/>
    <n v="2"/>
    <n v="2"/>
    <n v="6"/>
    <s v="BACON TURKEY LAYFLT"/>
    <x v="70"/>
    <x v="2"/>
    <n v="24"/>
    <n v="10.886216880000001"/>
    <n v="2.5710000000000002"/>
    <n v="27.988463598480003"/>
  </r>
  <r>
    <d v="2019-02-04T00:00:00"/>
    <s v="Poultry"/>
    <n v="6"/>
    <n v="2"/>
    <n v="6"/>
    <s v="BACON TURKEY LAYFLT"/>
    <x v="70"/>
    <x v="2"/>
    <n v="72"/>
    <n v="32.658650639999998"/>
    <n v="2.5710000000000002"/>
    <n v="83.965390795440001"/>
  </r>
  <r>
    <d v="2019-02-07T00:00:00"/>
    <s v="Poultry"/>
    <n v="4"/>
    <n v="160"/>
    <n v="6.25E-2"/>
    <s v="TURKEY SAUSAGE LINK RAW"/>
    <x v="70"/>
    <x v="2"/>
    <n v="40"/>
    <n v="18.143694800000002"/>
    <n v="2.5710000000000002"/>
    <n v="46.647439330800012"/>
  </r>
  <r>
    <d v="2019-02-01T00:00:00"/>
    <s v="Seafood"/>
    <n v="10"/>
    <n v="1"/>
    <n v="10"/>
    <s v="TILAPIA FIL IQF 3-0.3125 RAW"/>
    <x v="71"/>
    <x v="2"/>
    <n v="100"/>
    <n v="45.359237"/>
    <n v="3.0209999999999999"/>
    <n v="137.030254977"/>
  </r>
  <r>
    <d v="2019-02-04T00:00:00"/>
    <s v="Seafood"/>
    <n v="6"/>
    <n v="1"/>
    <n v="10"/>
    <s v="POLLOCK FLT IQF 4-6OZ CHN"/>
    <x v="71"/>
    <x v="2"/>
    <n v="60"/>
    <n v="27.215542200000002"/>
    <n v="3.0209999999999999"/>
    <n v="82.218152986199996"/>
  </r>
  <r>
    <d v="2019-02-04T00:00:00"/>
    <s v="Seafood"/>
    <n v="6"/>
    <n v="1"/>
    <n v="10"/>
    <s v="TILAPIA FIL IQF 3-0.3125 RAW"/>
    <x v="71"/>
    <x v="2"/>
    <n v="60"/>
    <n v="27.215542200000002"/>
    <n v="3.0209999999999999"/>
    <n v="82.218152986199996"/>
  </r>
  <r>
    <d v="2019-02-04T00:00:00"/>
    <s v="Seafood"/>
    <n v="6"/>
    <n v="1"/>
    <n v="10"/>
    <s v="SALMON LOIN PAC 4 OZ IQF"/>
    <x v="71"/>
    <x v="2"/>
    <n v="60"/>
    <n v="27.215542200000002"/>
    <n v="3.0209999999999999"/>
    <n v="82.218152986199996"/>
  </r>
  <r>
    <d v="2019-02-07T00:00:00"/>
    <s v="Seafood"/>
    <n v="9"/>
    <n v="1"/>
    <n v="10"/>
    <s v="POLLOCK FLT IQF 4-6OZ CHN"/>
    <x v="71"/>
    <x v="2"/>
    <n v="90"/>
    <n v="40.823313300000002"/>
    <n v="3.0209999999999999"/>
    <n v="123.3272294793"/>
  </r>
  <r>
    <d v="2019-02-07T00:00:00"/>
    <s v="Seafood"/>
    <n v="8"/>
    <n v="1"/>
    <n v="10"/>
    <s v="SALMON LOIN PAC 4 OZ IQF"/>
    <x v="71"/>
    <x v="2"/>
    <n v="80"/>
    <n v="36.287389600000004"/>
    <n v="3.0209999999999999"/>
    <n v="109.62420398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4">
  <r>
    <d v="2018-12-03T00:00:00"/>
    <s v="Canned and dry goods"/>
    <n v="1"/>
    <n v="6"/>
    <n v="10"/>
    <s v="PRESERVE APRICOT"/>
    <x v="0"/>
    <x v="0"/>
    <n v="60"/>
    <n v="27.215542200000002"/>
    <n v="3.25"/>
    <n v="88.450512150000009"/>
  </r>
  <r>
    <d v="2018-11-30T00:00:00"/>
    <s v="Canned and dry goods"/>
    <n v="2"/>
    <n v="6"/>
    <n v="6.6138700000000004"/>
    <s v="ARTICHOKE HEART QTR 100-140"/>
    <x v="1"/>
    <x v="0"/>
    <n v="79.366440000000011"/>
    <n v="36.000011618062807"/>
    <n v="0.84599999999999997"/>
    <n v="30.456009828881133"/>
  </r>
  <r>
    <d v="2018-11-30T00:00:00"/>
    <s v="Canned and dry goods"/>
    <n v="2"/>
    <n v="6"/>
    <n v="10"/>
    <s v="BEAN GREAT NRTHRN FCY"/>
    <x v="2"/>
    <x v="0"/>
    <n v="120"/>
    <n v="54.431084400000003"/>
    <n v="0.308"/>
    <n v="16.764773995200002"/>
  </r>
  <r>
    <d v="2018-11-30T00:00:00"/>
    <s v="Canned and dry goods"/>
    <n v="3"/>
    <n v="6"/>
    <n v="10"/>
    <s v="BEAN BLACK LOW SODIUM"/>
    <x v="3"/>
    <x v="0"/>
    <n v="180"/>
    <n v="81.646626600000005"/>
    <n v="0.308"/>
    <n v="25.1471609928"/>
  </r>
  <r>
    <d v="2018-12-05T00:00:00"/>
    <s v="Canned and dry goods"/>
    <n v="1"/>
    <n v="6"/>
    <n v="10"/>
    <s v="BEAN BLACK LOW SODIUM"/>
    <x v="3"/>
    <x v="0"/>
    <n v="60"/>
    <n v="27.215542200000002"/>
    <n v="0.308"/>
    <n v="8.3823869976000012"/>
  </r>
  <r>
    <d v="2018-11-30T00:00:00"/>
    <s v="Canned and dry goods"/>
    <n v="3"/>
    <n v="6"/>
    <n v="10"/>
    <s v="BEAN KIDNEY DK RED LOW SODIUM"/>
    <x v="4"/>
    <x v="0"/>
    <n v="180"/>
    <n v="81.646626600000005"/>
    <n v="0.308"/>
    <n v="25.1471609928"/>
  </r>
  <r>
    <d v="2018-12-05T00:00:00"/>
    <s v="Canned and dry goods"/>
    <n v="1"/>
    <n v="6"/>
    <n v="10"/>
    <s v="BEAN KIDNEY LIGHT RED"/>
    <x v="4"/>
    <x v="0"/>
    <n v="60"/>
    <n v="27.215542200000002"/>
    <n v="0.308"/>
    <n v="8.3823869976000012"/>
  </r>
  <r>
    <d v="2018-12-05T00:00:00"/>
    <s v="Canned and dry goods"/>
    <n v="1"/>
    <n v="1"/>
    <n v="20"/>
    <s v="BEAN PINTO DRIED MULTI-CLEAN"/>
    <x v="5"/>
    <x v="0"/>
    <n v="20"/>
    <n v="9.0718474000000011"/>
    <n v="0.308"/>
    <n v="2.7941289992000002"/>
  </r>
  <r>
    <d v="2018-11-30T00:00:00"/>
    <s v="Canned and dry goods"/>
    <n v="1"/>
    <n v="1"/>
    <n v="25"/>
    <s v="BREAD CRUMB JAP PANKO TOASTED"/>
    <x v="6"/>
    <x v="0"/>
    <n v="25"/>
    <n v="11.33980925"/>
    <n v="1.28"/>
    <n v="14.514955840000001"/>
  </r>
  <r>
    <d v="2018-11-30T00:00:00"/>
    <s v="Canned and dry goods"/>
    <n v="4"/>
    <n v="1"/>
    <n v="35"/>
    <s v="OIL CANOLA PURE ZTF"/>
    <x v="7"/>
    <x v="0"/>
    <n v="140"/>
    <n v="63.502931800000006"/>
    <n v="2.6459999999999999"/>
    <n v="168.02875754280001"/>
  </r>
  <r>
    <d v="2018-11-30T00:00:00"/>
    <s v="Canned and dry goods"/>
    <n v="2"/>
    <n v="4"/>
    <n v="30.3125"/>
    <s v="CEREAL LUCKY CHARMS GLUTN FR"/>
    <x v="8"/>
    <x v="0"/>
    <n v="242.5"/>
    <n v="109.99614972500001"/>
    <n v="1.61"/>
    <n v="177.09380105725003"/>
  </r>
  <r>
    <d v="2018-11-30T00:00:00"/>
    <s v="Canned and dry goods"/>
    <n v="2"/>
    <n v="4"/>
    <n v="40.3125"/>
    <s v="CEREAL CINN TST CRUN BULKPAK"/>
    <x v="8"/>
    <x v="0"/>
    <n v="322.5"/>
    <n v="146.28353932500002"/>
    <n v="1.61"/>
    <n v="235.51649831325005"/>
  </r>
  <r>
    <d v="2018-12-03T00:00:00"/>
    <s v="Canned and dry goods"/>
    <n v="1"/>
    <n v="4"/>
    <n v="1.8125"/>
    <s v="CEREAL CHEERIO GLUTEN FR"/>
    <x v="8"/>
    <x v="0"/>
    <n v="7.25"/>
    <n v="3.2885446825"/>
    <n v="1.61"/>
    <n v="5.294556938825"/>
  </r>
  <r>
    <d v="2018-12-03T00:00:00"/>
    <s v="Canned and dry goods"/>
    <n v="1"/>
    <n v="4"/>
    <n v="2.5"/>
    <s v="CEREAL FROSTED FLAKES"/>
    <x v="8"/>
    <x v="0"/>
    <n v="10"/>
    <n v="4.5359237000000006"/>
    <n v="1.61"/>
    <n v="7.3028371570000017"/>
  </r>
  <r>
    <d v="2018-12-03T00:00:00"/>
    <s v="Canned and dry goods"/>
    <n v="2"/>
    <n v="4"/>
    <n v="30.3125"/>
    <s v="CEREAL LUCKY CHARMS GLUTN FR"/>
    <x v="8"/>
    <x v="0"/>
    <n v="242.5"/>
    <n v="109.99614972500001"/>
    <n v="1.61"/>
    <n v="177.09380105725003"/>
  </r>
  <r>
    <d v="2018-12-03T00:00:00"/>
    <s v="Canned and dry goods"/>
    <n v="2"/>
    <n v="4"/>
    <n v="30.3125"/>
    <s v="CEREAL COCOA PUFFS BULKPAK"/>
    <x v="8"/>
    <x v="0"/>
    <n v="242.5"/>
    <n v="109.99614972500001"/>
    <n v="1.61"/>
    <n v="177.09380105725003"/>
  </r>
  <r>
    <d v="2018-12-03T00:00:00"/>
    <s v="Canned and dry goods"/>
    <n v="1"/>
    <n v="4"/>
    <n v="3.125"/>
    <s v="CEREAL GRANOLA OATSN HNY BLKPK"/>
    <x v="8"/>
    <x v="0"/>
    <n v="12.5"/>
    <n v="5.669904625"/>
    <n v="1.61"/>
    <n v="9.1285464462500006"/>
  </r>
  <r>
    <d v="2018-12-05T00:00:00"/>
    <s v="Canned and dry goods"/>
    <n v="1"/>
    <n v="12"/>
    <s v="12 CT"/>
    <s v="CEREAL HOT GRITS QUICK"/>
    <x v="9"/>
    <x v="0"/>
    <n v="0"/>
    <n v="0"/>
    <n v="0.55000000000000004"/>
    <n v="0"/>
  </r>
  <r>
    <d v="2018-12-05T00:00:00"/>
    <s v="Canned and dry goods"/>
    <n v="1"/>
    <n v="4"/>
    <n v="1.8125"/>
    <s v="CEREAL CHEERIO GLUTEN FR"/>
    <x v="8"/>
    <x v="0"/>
    <n v="7.25"/>
    <n v="3.2885446825"/>
    <n v="1.61"/>
    <n v="5.294556938825"/>
  </r>
  <r>
    <d v="2018-12-05T00:00:00"/>
    <s v="Canned and dry goods"/>
    <n v="3"/>
    <n v="4"/>
    <n v="2.5"/>
    <s v="CEREAL FROSTED FLAKES"/>
    <x v="8"/>
    <x v="0"/>
    <n v="30"/>
    <n v="13.607771100000001"/>
    <n v="1.61"/>
    <n v="21.908511471000004"/>
  </r>
  <r>
    <d v="2018-12-05T00:00:00"/>
    <s v="Canned and dry goods"/>
    <n v="3"/>
    <n v="4"/>
    <n v="30.3125"/>
    <s v="CEREAL LUCKY CHARMS GLUTN FR"/>
    <x v="8"/>
    <x v="0"/>
    <n v="363.75"/>
    <n v="164.99422458750001"/>
    <n v="1.61"/>
    <n v="265.64070158587504"/>
  </r>
  <r>
    <d v="2018-12-05T00:00:00"/>
    <s v="Canned and dry goods"/>
    <n v="1"/>
    <n v="4"/>
    <n v="30.3125"/>
    <s v="CEREAL COCOA PUFFS BULKPAK"/>
    <x v="8"/>
    <x v="0"/>
    <n v="121.25"/>
    <n v="54.998074862500005"/>
    <n v="1.61"/>
    <n v="88.546900528625017"/>
  </r>
  <r>
    <d v="2018-12-05T00:00:00"/>
    <s v="Canned and dry goods"/>
    <n v="4"/>
    <n v="4"/>
    <n v="40.3125"/>
    <s v="CEREAL CINN TST CRUN BULKPAK"/>
    <x v="8"/>
    <x v="0"/>
    <n v="645"/>
    <n v="292.56707865000004"/>
    <n v="1.61"/>
    <n v="471.03299662650011"/>
  </r>
  <r>
    <d v="2018-12-05T00:00:00"/>
    <s v="Canned and dry goods"/>
    <n v="1"/>
    <n v="4"/>
    <n v="3.125"/>
    <s v="CEREAL GRANOLA OATSN HNY BLKPK"/>
    <x v="8"/>
    <x v="0"/>
    <n v="12.5"/>
    <n v="5.669904625"/>
    <n v="1.61"/>
    <n v="9.1285464462500006"/>
  </r>
  <r>
    <d v="2018-11-30T00:00:00"/>
    <s v="Canned and dry goods"/>
    <n v="2"/>
    <n v="4"/>
    <n v="30.0625"/>
    <s v="CEREAL APPLE JACKS"/>
    <x v="10"/>
    <x v="0"/>
    <n v="240.5"/>
    <n v="109.088964985"/>
    <n v="1.61"/>
    <n v="175.63323362585001"/>
  </r>
  <r>
    <d v="2018-11-30T00:00:00"/>
    <s v="Canned and dry goods"/>
    <n v="2"/>
    <n v="4"/>
    <n v="2.5"/>
    <s v="CEREAL FROSTED FLAKES"/>
    <x v="11"/>
    <x v="0"/>
    <n v="20"/>
    <n v="9.0718474000000011"/>
    <n v="1.61"/>
    <n v="14.605674314000003"/>
  </r>
  <r>
    <d v="2018-11-30T00:00:00"/>
    <s v="Canned and dry goods"/>
    <n v="4"/>
    <n v="4"/>
    <n v="3.125"/>
    <s v="CEREAL GRANOLA OATSN HNY BLKPK"/>
    <x v="12"/>
    <x v="0"/>
    <n v="50"/>
    <n v="22.6796185"/>
    <n v="1.61"/>
    <n v="36.514185785000002"/>
  </r>
  <r>
    <d v="2018-11-30T00:00:00"/>
    <s v="Canned and dry goods"/>
    <n v="8"/>
    <n v="6"/>
    <n v="10"/>
    <s v="BEAN GARBANZO LOW SODIUM"/>
    <x v="13"/>
    <x v="0"/>
    <n v="480"/>
    <n v="217.72433760000001"/>
    <n v="0.49099999999999999"/>
    <n v="106.9026497616"/>
  </r>
  <r>
    <d v="2018-12-05T00:00:00"/>
    <s v="Canned and dry goods"/>
    <n v="3"/>
    <n v="6"/>
    <n v="10"/>
    <s v="BEAN GARBANZO LOW SODIUM"/>
    <x v="13"/>
    <x v="0"/>
    <n v="180"/>
    <n v="81.646626600000005"/>
    <n v="0.49099999999999999"/>
    <n v="40.088493660600001"/>
  </r>
  <r>
    <d v="2018-12-05T00:00:00"/>
    <s v="Canned and dry goods"/>
    <n v="1"/>
    <n v="6"/>
    <s v="50 CT"/>
    <s v="COCOA MIX INDIV"/>
    <x v="14"/>
    <x v="0"/>
    <n v="0"/>
    <n v="0"/>
    <n v="33.646999999999998"/>
    <n v="0"/>
  </r>
  <r>
    <d v="2018-12-03T00:00:00"/>
    <s v="Canned and dry goods"/>
    <n v="1"/>
    <n v="1"/>
    <n v="25"/>
    <s v="CORN MEAL WHITE"/>
    <x v="9"/>
    <x v="0"/>
    <n v="25"/>
    <n v="11.33980925"/>
    <n v="0.55000000000000004"/>
    <n v="6.2368950875000007"/>
  </r>
  <r>
    <d v="2018-12-05T00:00:00"/>
    <s v="Canned and dry goods"/>
    <n v="1"/>
    <n v="24"/>
    <n v="1"/>
    <s v="CORN STARCH"/>
    <x v="15"/>
    <x v="0"/>
    <n v="24"/>
    <n v="10.886216880000001"/>
    <n v="0.76"/>
    <n v="8.2735248288000012"/>
  </r>
  <r>
    <d v="2018-11-30T00:00:00"/>
    <s v="Canned and dry goods"/>
    <n v="2"/>
    <n v="24"/>
    <n v="1"/>
    <s v="CORN STARCH"/>
    <x v="15"/>
    <x v="0"/>
    <n v="48"/>
    <n v="21.772433760000002"/>
    <n v="0.76"/>
    <n v="16.547049657600002"/>
  </r>
  <r>
    <d v="2018-12-03T00:00:00"/>
    <s v="Canned and dry goods"/>
    <n v="1"/>
    <n v="6"/>
    <n v="5"/>
    <s v="MIX CORNBREAD SOTHRN STY CMPLT"/>
    <x v="9"/>
    <x v="0"/>
    <n v="30"/>
    <n v="13.607771100000001"/>
    <n v="0.55000000000000004"/>
    <n v="7.4842741050000008"/>
  </r>
  <r>
    <d v="2018-12-05T00:00:00"/>
    <s v="Canned and dry goods"/>
    <n v="1"/>
    <n v="500"/>
    <s v="2pk"/>
    <s v="CRACKER SALTINE ZESTA"/>
    <x v="16"/>
    <x v="0"/>
    <n v="0"/>
    <n v="0"/>
    <n v="2.5299999999999998"/>
    <n v="0"/>
  </r>
  <r>
    <d v="2018-12-05T00:00:00"/>
    <s v="Canned and dry goods"/>
    <n v="1"/>
    <n v="150"/>
    <n v="3.125E-2"/>
    <s v="CRACKER OYSTER DOTS"/>
    <x v="16"/>
    <x v="0"/>
    <n v="4.6875"/>
    <n v="2.1262142343750003"/>
    <n v="2.5299999999999998"/>
    <n v="5.3793220129687507"/>
  </r>
  <r>
    <d v="2018-12-03T00:00:00"/>
    <s v="Canned and dry goods"/>
    <n v="1"/>
    <n v="1"/>
    <n v="10"/>
    <s v="CRANBERRY DRIED CRAISINS"/>
    <x v="17"/>
    <x v="0"/>
    <n v="10"/>
    <n v="4.5359237000000006"/>
    <n v="1.4179999999999999"/>
    <n v="6.4319398066000009"/>
  </r>
  <r>
    <d v="2018-12-05T00:00:00"/>
    <s v="Canned and dry goods"/>
    <n v="2"/>
    <n v="4"/>
    <n v="8.35"/>
    <s v="PICKLE SLI DILL HAM SC 1/8 PLS"/>
    <x v="18"/>
    <x v="0"/>
    <n v="66.8"/>
    <n v="30.299970316"/>
    <n v="0.40899999999999997"/>
    <n v="12.392687859243999"/>
  </r>
  <r>
    <d v="2018-11-30T00:00:00"/>
    <s v="Canned and dry goods"/>
    <n v="6"/>
    <n v="1"/>
    <n v="50"/>
    <s v="FLOUR HI-GLUTEN ALL TRUMP"/>
    <x v="19"/>
    <x v="0"/>
    <n v="300"/>
    <n v="136.07771100000002"/>
    <n v="0.35799999999999998"/>
    <n v="48.715820538000003"/>
  </r>
  <r>
    <d v="2018-11-30T00:00:00"/>
    <s v="Canned and dry goods"/>
    <n v="4"/>
    <n v="1"/>
    <n v="25"/>
    <s v="FLOUR H&amp; R ALL PURP ENRICH BLCH"/>
    <x v="19"/>
    <x v="0"/>
    <n v="100"/>
    <n v="45.359237"/>
    <n v="0.35799999999999998"/>
    <n v="16.238606846"/>
  </r>
  <r>
    <d v="2018-12-03T00:00:00"/>
    <s v="Canned and dry goods"/>
    <n v="1"/>
    <n v="1"/>
    <n v="50"/>
    <s v="FLOUR HI-GLUTEN ALL TRUMP"/>
    <x v="19"/>
    <x v="0"/>
    <n v="50"/>
    <n v="22.6796185"/>
    <n v="0.35799999999999998"/>
    <n v="8.1193034229999999"/>
  </r>
  <r>
    <d v="2018-12-05T00:00:00"/>
    <s v="Canned and dry goods"/>
    <n v="5"/>
    <n v="1"/>
    <n v="50"/>
    <s v="FLOUR HI-GLUTEN ALL TRUMP"/>
    <x v="19"/>
    <x v="0"/>
    <n v="250"/>
    <n v="113.3980925"/>
    <n v="0.35799999999999998"/>
    <n v="40.596517114999997"/>
  </r>
  <r>
    <d v="2018-11-30T00:00:00"/>
    <s v="Canned and dry goods"/>
    <n v="2"/>
    <n v="8"/>
    <n v="5"/>
    <s v="CEREAL HOT GRITS QUICK"/>
    <x v="20"/>
    <x v="0"/>
    <n v="80"/>
    <n v="36.287389600000004"/>
    <n v="0.55000000000000004"/>
    <n v="19.958064280000006"/>
  </r>
  <r>
    <d v="2018-12-03T00:00:00"/>
    <s v="Canned and dry goods"/>
    <n v="1"/>
    <n v="6"/>
    <n v="5"/>
    <s v="HONEY LIGHT AMBER"/>
    <x v="21"/>
    <x v="0"/>
    <n v="30"/>
    <n v="13.607771100000001"/>
    <n v="2.44"/>
    <n v="33.202961483999999"/>
  </r>
  <r>
    <d v="2018-12-05T00:00:00"/>
    <s v="Canned and dry goods"/>
    <n v="1"/>
    <n v="6"/>
    <n v="5"/>
    <s v="HONEY LIGHT AMBER"/>
    <x v="21"/>
    <x v="0"/>
    <n v="30"/>
    <n v="13.607771100000001"/>
    <n v="2.44"/>
    <n v="33.202961483999999"/>
  </r>
  <r>
    <d v="2018-11-30T00:00:00"/>
    <s v="Canned and dry goods"/>
    <n v="1"/>
    <n v="6"/>
    <n v="4"/>
    <s v="JELLY GRAPE"/>
    <x v="22"/>
    <x v="0"/>
    <n v="24"/>
    <n v="10.886216880000001"/>
    <n v="3.25"/>
    <n v="35.380204860000006"/>
  </r>
  <r>
    <d v="2018-12-05T00:00:00"/>
    <s v="Canned and dry goods"/>
    <n v="1"/>
    <n v="6"/>
    <n v="4"/>
    <s v="JELLY GRAPE"/>
    <x v="22"/>
    <x v="0"/>
    <n v="24"/>
    <n v="10.886216880000001"/>
    <n v="3.25"/>
    <n v="35.380204860000006"/>
  </r>
  <r>
    <d v="2018-11-30T00:00:00"/>
    <s v="Canned and dry goods"/>
    <n v="4"/>
    <n v="2"/>
    <n v="14.385"/>
    <s v="KETCHUP FANCY POUCH DISPENSER"/>
    <x v="23"/>
    <x v="0"/>
    <n v="115.08"/>
    <n v="52.199409939600002"/>
    <n v="3.33"/>
    <n v="173.82403509886802"/>
  </r>
  <r>
    <d v="2018-12-03T00:00:00"/>
    <s v="Canned and dry goods"/>
    <n v="1"/>
    <n v="6"/>
    <n v="7.125"/>
    <s v="KETCHUP POUCH-PK FCY (= 6/10)"/>
    <x v="23"/>
    <x v="0"/>
    <n v="42.75"/>
    <n v="19.391073817500001"/>
    <n v="3.33"/>
    <n v="64.572275812275009"/>
  </r>
  <r>
    <d v="2018-12-05T00:00:00"/>
    <s v="Canned and dry goods"/>
    <n v="2"/>
    <n v="6"/>
    <n v="7.125"/>
    <s v="KETCHUP POUCH-PK FCY (= 6/10)"/>
    <x v="23"/>
    <x v="0"/>
    <n v="85.5"/>
    <n v="38.782147635000001"/>
    <n v="3.33"/>
    <n v="129.14455162455002"/>
  </r>
  <r>
    <d v="2018-11-30T00:00:00"/>
    <s v="Canned and dry goods"/>
    <n v="4"/>
    <n v="4"/>
    <n v="7.79"/>
    <s v="MAYONNAISE REAL"/>
    <x v="24"/>
    <x v="1"/>
    <n v="124.64"/>
    <n v="56.535752996799999"/>
    <n v="3.33"/>
    <n v="188.26405747934399"/>
  </r>
  <r>
    <d v="2018-12-05T00:00:00"/>
    <s v="Canned and dry goods"/>
    <n v="3"/>
    <n v="4"/>
    <n v="7.79"/>
    <s v="MAYONNAISE REAL"/>
    <x v="24"/>
    <x v="1"/>
    <n v="93.48"/>
    <n v="42.4018147476"/>
    <n v="3.33"/>
    <n v="141.19804310950801"/>
  </r>
  <r>
    <d v="2018-11-30T00:00:00"/>
    <s v="Canned and dry goods"/>
    <n v="1"/>
    <n v="4"/>
    <n v="11.89"/>
    <s v="MOLASSES UNSULFURED"/>
    <x v="25"/>
    <x v="0"/>
    <n v="47.56"/>
    <n v="21.572853117200001"/>
    <n v="0.48799999999999999"/>
    <n v="10.5275523211936"/>
  </r>
  <r>
    <d v="2018-11-30T00:00:00"/>
    <s v="Canned and dry goods"/>
    <n v="2"/>
    <n v="2"/>
    <n v="6.5625"/>
    <s v="MUSTARD DIJON PLS JUG"/>
    <x v="23"/>
    <x v="0"/>
    <n v="26.25"/>
    <n v="11.9067997125"/>
    <n v="3.33"/>
    <n v="39.649643042625001"/>
  </r>
  <r>
    <d v="2018-12-05T00:00:00"/>
    <s v="Canned and dry goods"/>
    <n v="1"/>
    <n v="4"/>
    <n v="6.5625"/>
    <s v="MUSTARD YELLOW PLS JUG"/>
    <x v="23"/>
    <x v="0"/>
    <n v="26.25"/>
    <n v="11.9067997125"/>
    <n v="3.33"/>
    <n v="39.649643042625001"/>
  </r>
  <r>
    <d v="2018-12-03T00:00:00"/>
    <s v="Canned and dry goods"/>
    <n v="3"/>
    <n v="4"/>
    <n v="5"/>
    <s v="NOODLE YAKI SOBA"/>
    <x v="26"/>
    <x v="0"/>
    <n v="60"/>
    <n v="27.215542200000002"/>
    <n v="5.99"/>
    <n v="163.02109777800001"/>
  </r>
  <r>
    <d v="2018-12-05T00:00:00"/>
    <s v="Canned and dry goods"/>
    <n v="3"/>
    <n v="4"/>
    <n v="5"/>
    <s v="NOODLE YAKI SOBA"/>
    <x v="26"/>
    <x v="0"/>
    <n v="60"/>
    <n v="27.215542200000002"/>
    <n v="5.99"/>
    <n v="163.02109777800001"/>
  </r>
  <r>
    <d v="2018-12-03T00:00:00"/>
    <s v="Canned and dry goods"/>
    <n v="6"/>
    <n v="4"/>
    <n v="7.9"/>
    <s v="OIL CANOLA"/>
    <x v="27"/>
    <x v="0"/>
    <n v="189.60000000000002"/>
    <n v="86.001113352000019"/>
    <n v="2.6459999999999999"/>
    <n v="227.55894592939205"/>
  </r>
  <r>
    <d v="2018-12-05T00:00:00"/>
    <s v="Canned and dry goods"/>
    <n v="3"/>
    <n v="1"/>
    <n v="35"/>
    <s v="OIL CANOLA PURE ZTF"/>
    <x v="27"/>
    <x v="0"/>
    <n v="105"/>
    <n v="47.627198849999999"/>
    <n v="2.6459999999999999"/>
    <n v="126.02156815709999"/>
  </r>
  <r>
    <d v="2018-12-05T00:00:00"/>
    <s v="Canned and dry goods"/>
    <n v="6"/>
    <n v="4"/>
    <n v="7.9"/>
    <s v="OIL CANOLA"/>
    <x v="27"/>
    <x v="0"/>
    <n v="189.60000000000002"/>
    <n v="86.001113352000019"/>
    <n v="2.6459999999999999"/>
    <n v="227.55894592939205"/>
  </r>
  <r>
    <d v="2018-11-30T00:00:00"/>
    <s v="Canned and dry goods"/>
    <n v="6"/>
    <n v="4"/>
    <n v="7.9"/>
    <s v="OIL CANOLA"/>
    <x v="27"/>
    <x v="0"/>
    <n v="189.60000000000002"/>
    <n v="86.001113352000019"/>
    <n v="2.6459999999999999"/>
    <n v="227.55894592939205"/>
  </r>
  <r>
    <d v="2018-12-05T00:00:00"/>
    <s v="Canned and dry goods"/>
    <n v="1"/>
    <n v="6"/>
    <n v="10"/>
    <s v="OLIVE RIPE SLICED"/>
    <x v="28"/>
    <x v="0"/>
    <n v="60"/>
    <n v="27.215542200000002"/>
    <n v="3.206"/>
    <n v="87.253028293200003"/>
  </r>
  <r>
    <d v="2018-11-30T00:00:00"/>
    <s v="Canned and dry goods"/>
    <n v="1"/>
    <n v="6"/>
    <n v="5"/>
    <s v="MIX PANCAKE BTRMLK COMPLT"/>
    <x v="29"/>
    <x v="0"/>
    <n v="30"/>
    <n v="13.607771100000001"/>
    <m/>
    <n v="0"/>
  </r>
  <r>
    <d v="2018-12-03T00:00:00"/>
    <s v="Canned and dry goods"/>
    <n v="1"/>
    <n v="6"/>
    <n v="5"/>
    <s v="MIX PANCAKE BTRMLK COMPLT"/>
    <x v="29"/>
    <x v="0"/>
    <n v="30"/>
    <n v="13.607771100000001"/>
    <m/>
    <n v="0"/>
  </r>
  <r>
    <d v="2018-11-30T00:00:00"/>
    <s v="Canned and dry goods"/>
    <n v="4"/>
    <n v="2"/>
    <n v="10"/>
    <s v="PASTA PENNE RIGATE"/>
    <x v="30"/>
    <x v="0"/>
    <n v="80"/>
    <n v="36.287389600000004"/>
    <n v="5.99"/>
    <n v="217.36146370400004"/>
  </r>
  <r>
    <d v="2018-11-30T00:00:00"/>
    <s v="Canned and dry goods"/>
    <n v="4"/>
    <n v="2"/>
    <n v="10"/>
    <s v="PASTA GEMELLI"/>
    <x v="30"/>
    <x v="0"/>
    <n v="80"/>
    <n v="36.287389600000004"/>
    <n v="5.99"/>
    <n v="217.36146370400004"/>
  </r>
  <r>
    <d v="2018-11-30T00:00:00"/>
    <s v="Canned and dry goods"/>
    <n v="4"/>
    <n v="2"/>
    <n v="10"/>
    <s v="PASTA FARFALLE"/>
    <x v="30"/>
    <x v="0"/>
    <n v="80"/>
    <n v="36.287389600000004"/>
    <n v="5.99"/>
    <n v="217.36146370400004"/>
  </r>
  <r>
    <d v="2018-11-30T00:00:00"/>
    <s v="Canned and dry goods"/>
    <n v="4"/>
    <n v="2"/>
    <n v="10"/>
    <s v="PASTA MACARONI ELBOW"/>
    <x v="30"/>
    <x v="0"/>
    <n v="80"/>
    <n v="36.287389600000004"/>
    <n v="5.99"/>
    <n v="217.36146370400004"/>
  </r>
  <r>
    <d v="2018-12-05T00:00:00"/>
    <s v="Canned and dry goods"/>
    <n v="3"/>
    <n v="2"/>
    <n v="10"/>
    <s v="PASTA PENNE RIGATE"/>
    <x v="30"/>
    <x v="0"/>
    <n v="60"/>
    <n v="27.215542200000002"/>
    <n v="5.99"/>
    <n v="163.02109777800001"/>
  </r>
  <r>
    <d v="2018-11-30T00:00:00"/>
    <s v="Canned and dry goods"/>
    <n v="1"/>
    <n v="12"/>
    <n v="1"/>
    <s v="PASTE TAHINI"/>
    <x v="31"/>
    <x v="0"/>
    <n v="12"/>
    <n v="5.4431084400000005"/>
    <n v="0.11799999999999999"/>
    <n v="0.64228679592000004"/>
  </r>
  <r>
    <d v="2018-12-05T00:00:00"/>
    <s v="Canned and dry goods"/>
    <n v="1"/>
    <n v="1"/>
    <n v="20"/>
    <s v="PEA BLACKEYE DRIED"/>
    <x v="32"/>
    <x v="0"/>
    <n v="20"/>
    <n v="9.0718474000000011"/>
    <n v="0.61699999999999999"/>
    <n v="5.5973298458000009"/>
  </r>
  <r>
    <d v="2018-11-30T00:00:00"/>
    <s v="Canned and dry goods"/>
    <n v="1"/>
    <n v="4"/>
    <n v="8.35"/>
    <s v="PEPPER JALAPENO NACHO SLI"/>
    <x v="33"/>
    <x v="0"/>
    <n v="33.4"/>
    <n v="15.149985158"/>
    <n v="0.79900000000000004"/>
    <n v="12.104838141242"/>
  </r>
  <r>
    <d v="2018-11-30T00:00:00"/>
    <s v="Canned and dry goods"/>
    <n v="1"/>
    <n v="12"/>
    <n v="1.75"/>
    <s v="PEPPER RED ROASTED WHOLE"/>
    <x v="34"/>
    <x v="0"/>
    <n v="21"/>
    <n v="9.5254397700000002"/>
    <n v="0.52500000000000002"/>
    <n v="5.0008558792500004"/>
  </r>
  <r>
    <d v="2018-11-30T00:00:00"/>
    <s v="Canned and dry goods"/>
    <n v="1"/>
    <n v="3"/>
    <n v="5"/>
    <s v="SPICE PEPPER BLK SHAKER GRND"/>
    <x v="35"/>
    <x v="0"/>
    <n v="15"/>
    <n v="6.8038855500000004"/>
    <n v="0.87"/>
    <n v="5.9193804285000002"/>
  </r>
  <r>
    <d v="2018-12-05T00:00:00"/>
    <s v="Canned and dry goods"/>
    <n v="1"/>
    <n v="3"/>
    <n v="5"/>
    <s v="SPICE PEPPER BLK SHAKER GRND"/>
    <x v="35"/>
    <x v="0"/>
    <n v="15"/>
    <n v="6.8038855500000004"/>
    <n v="0.87"/>
    <n v="5.9193804285000002"/>
  </r>
  <r>
    <d v="2018-11-30T00:00:00"/>
    <s v="Canned and dry goods"/>
    <n v="2"/>
    <n v="12"/>
    <n v="1.6875"/>
    <s v="PEPPER CHILI GREEN DICED"/>
    <x v="36"/>
    <x v="0"/>
    <n v="40.5"/>
    <n v="18.370490985"/>
    <n v="0.79900000000000004"/>
    <n v="14.678022297015001"/>
  </r>
  <r>
    <d v="2018-11-30T00:00:00"/>
    <s v="Canned and dry goods"/>
    <n v="2"/>
    <n v="12"/>
    <n v="0.4375"/>
    <s v="PEPPER CHIPOTLE IN ADOBO SAUCE"/>
    <x v="36"/>
    <x v="0"/>
    <n v="10.5"/>
    <n v="4.7627198850000001"/>
    <n v="0.79900000000000004"/>
    <n v="3.8054131881150002"/>
  </r>
  <r>
    <d v="2018-12-05T00:00:00"/>
    <s v="Canned and dry goods"/>
    <n v="1"/>
    <n v="4"/>
    <n v="8.35"/>
    <s v="PEPPER JALAPENO NACHO SLI"/>
    <x v="36"/>
    <x v="0"/>
    <n v="33.4"/>
    <n v="15.149985158"/>
    <n v="0.79900000000000004"/>
    <n v="12.104838141242"/>
  </r>
  <r>
    <d v="2018-12-03T00:00:00"/>
    <s v="Canned and dry goods"/>
    <n v="1"/>
    <n v="6"/>
    <n v="2"/>
    <s v="QUINOA GRAIN WHT"/>
    <x v="37"/>
    <x v="0"/>
    <n v="12"/>
    <n v="5.4431084400000005"/>
    <n v="0.34699999999999998"/>
    <n v="1.88875862868"/>
  </r>
  <r>
    <d v="2018-12-05T00:00:00"/>
    <s v="Canned and dry goods"/>
    <n v="1"/>
    <n v="24"/>
    <n v="0.9375"/>
    <s v="RAISIN SEEDLESS"/>
    <x v="38"/>
    <x v="0"/>
    <n v="22.5"/>
    <n v="10.205828325000001"/>
    <n v="0.68400000000000005"/>
    <n v="6.9807865743000006"/>
  </r>
  <r>
    <d v="2018-12-05T00:00:00"/>
    <s v="Canned and dry goods"/>
    <n v="1"/>
    <n v="1"/>
    <n v="30"/>
    <s v="RAISIN SEEDLESS GOLDEN"/>
    <x v="38"/>
    <x v="0"/>
    <n v="30"/>
    <n v="13.607771100000001"/>
    <n v="0.68400000000000005"/>
    <n v="9.307715432400002"/>
  </r>
  <r>
    <d v="2018-11-30T00:00:00"/>
    <s v="Canned and dry goods"/>
    <n v="8"/>
    <n v="1"/>
    <n v="25"/>
    <s v="RICE PARBOILED"/>
    <x v="39"/>
    <x v="0"/>
    <n v="200"/>
    <n v="90.718474000000001"/>
    <n v="1.5409999999999999"/>
    <n v="139.79716843399999"/>
  </r>
  <r>
    <d v="2018-11-30T00:00:00"/>
    <s v="Canned and dry goods"/>
    <n v="4"/>
    <n v="2"/>
    <n v="5"/>
    <s v="RICE JASMINE"/>
    <x v="39"/>
    <x v="0"/>
    <n v="40"/>
    <n v="18.143694800000002"/>
    <n v="1.5409999999999999"/>
    <n v="27.959433686800001"/>
  </r>
  <r>
    <d v="2018-11-30T00:00:00"/>
    <s v="Canned and dry goods"/>
    <n v="4"/>
    <n v="1"/>
    <n v="25"/>
    <s v="RICE PARBOILED BRN WHLGN LNGRN"/>
    <x v="39"/>
    <x v="0"/>
    <n v="100"/>
    <n v="45.359237"/>
    <n v="1.5409999999999999"/>
    <n v="69.898584216999993"/>
  </r>
  <r>
    <d v="2018-11-30T00:00:00"/>
    <s v="Canned and dry goods"/>
    <n v="4"/>
    <n v="2"/>
    <n v="5"/>
    <s v="RICE BASMATI"/>
    <x v="39"/>
    <x v="0"/>
    <n v="40"/>
    <n v="18.143694800000002"/>
    <n v="1.5409999999999999"/>
    <n v="27.959433686800001"/>
  </r>
  <r>
    <d v="2018-12-03T00:00:00"/>
    <s v="Canned and dry goods"/>
    <n v="3"/>
    <n v="1"/>
    <n v="25"/>
    <s v="RICE PARBOILED"/>
    <x v="39"/>
    <x v="0"/>
    <n v="75"/>
    <n v="34.019427750000006"/>
    <n v="1.5409999999999999"/>
    <n v="52.423938162750005"/>
  </r>
  <r>
    <d v="2018-12-03T00:00:00"/>
    <s v="Canned and dry goods"/>
    <n v="3"/>
    <n v="2"/>
    <n v="5"/>
    <s v="RICE JASMINE"/>
    <x v="39"/>
    <x v="0"/>
    <n v="30"/>
    <n v="13.607771100000001"/>
    <n v="1.5409999999999999"/>
    <n v="20.969575265100001"/>
  </r>
  <r>
    <d v="2018-12-03T00:00:00"/>
    <s v="Canned and dry goods"/>
    <n v="2"/>
    <n v="1"/>
    <n v="25"/>
    <s v="RICE PARBOILED BRN WHLGN LNGRN"/>
    <x v="39"/>
    <x v="0"/>
    <n v="50"/>
    <n v="22.6796185"/>
    <n v="1.5409999999999999"/>
    <n v="34.949292108499996"/>
  </r>
  <r>
    <d v="2018-12-03T00:00:00"/>
    <s v="Canned and dry goods"/>
    <n v="1"/>
    <n v="1"/>
    <n v="50"/>
    <s v="RICE CALROSE MED GRN SUSHI"/>
    <x v="39"/>
    <x v="0"/>
    <n v="50"/>
    <n v="22.6796185"/>
    <n v="1.5409999999999999"/>
    <n v="34.949292108499996"/>
  </r>
  <r>
    <d v="2018-12-05T00:00:00"/>
    <s v="Canned and dry goods"/>
    <n v="4"/>
    <n v="1"/>
    <n v="25"/>
    <s v="RICE PARBOILED"/>
    <x v="39"/>
    <x v="0"/>
    <n v="100"/>
    <n v="45.359237"/>
    <n v="1.5409999999999999"/>
    <n v="69.898584216999993"/>
  </r>
  <r>
    <d v="2018-12-05T00:00:00"/>
    <s v="Canned and dry goods"/>
    <n v="3"/>
    <n v="1"/>
    <n v="25"/>
    <s v="RICE PARBOILED BRN WHLGN LNGRN"/>
    <x v="39"/>
    <x v="0"/>
    <n v="75"/>
    <n v="34.019427750000006"/>
    <n v="1.5409999999999999"/>
    <n v="52.423938162750005"/>
  </r>
  <r>
    <d v="2018-12-05T00:00:00"/>
    <s v="Canned and dry goods"/>
    <n v="1"/>
    <n v="1"/>
    <n v="50"/>
    <s v="RICE CALROSE MED GRN SUSHI"/>
    <x v="39"/>
    <x v="0"/>
    <n v="50"/>
    <n v="22.6796185"/>
    <n v="1.5409999999999999"/>
    <n v="34.949292108499996"/>
  </r>
  <r>
    <d v="2018-11-30T00:00:00"/>
    <s v="Canned and dry goods"/>
    <n v="1"/>
    <n v="6"/>
    <n v="5"/>
    <s v="SAUCE HOISIN"/>
    <x v="23"/>
    <x v="0"/>
    <n v="30"/>
    <n v="13.607771100000001"/>
    <n v="3.33"/>
    <n v="45.313877763000001"/>
  </r>
  <r>
    <d v="2018-12-03T00:00:00"/>
    <s v="Canned and dry goods"/>
    <n v="1"/>
    <n v="4"/>
    <n v="11.480799999999999"/>
    <s v="SAUCE SOY SWEET"/>
    <x v="23"/>
    <x v="0"/>
    <n v="45.923199999999994"/>
    <n v="20.830413125983998"/>
    <n v="3.33"/>
    <n v="69.365275709526713"/>
  </r>
  <r>
    <d v="2018-12-03T00:00:00"/>
    <s v="Canned and dry goods"/>
    <n v="1"/>
    <n v="12"/>
    <n v="1.5625"/>
    <s v="SAUCE CHILI SWEET THAI"/>
    <x v="23"/>
    <x v="0"/>
    <n v="18.75"/>
    <n v="8.5048569375000014"/>
    <n v="3.33"/>
    <n v="28.321173601875007"/>
  </r>
  <r>
    <d v="2018-12-03T00:00:00"/>
    <s v="Canned and dry goods"/>
    <n v="1"/>
    <n v="4"/>
    <n v="11.480799999999999"/>
    <s v="SAUCE SOY LESS SODIUM"/>
    <x v="23"/>
    <x v="0"/>
    <n v="45.923199999999994"/>
    <n v="20.830413125983998"/>
    <n v="3.33"/>
    <n v="69.365275709526713"/>
  </r>
  <r>
    <d v="2018-12-03T00:00:00"/>
    <s v="Canned and dry goods"/>
    <n v="2"/>
    <n v="4"/>
    <n v="13.198399999999998"/>
    <s v="SAUCE PEPPER CAYENNE RED HOT"/>
    <x v="23"/>
    <x v="0"/>
    <n v="105.58719999999998"/>
    <n v="47.893548289663997"/>
    <n v="3.33"/>
    <n v="159.48551580458113"/>
  </r>
  <r>
    <d v="2018-12-05T00:00:00"/>
    <s v="Canned and dry goods"/>
    <n v="1"/>
    <n v="24"/>
    <n v="0.3125"/>
    <s v="SAUCE PEPPER CAYENNE RED HOT"/>
    <x v="23"/>
    <x v="0"/>
    <n v="7.5"/>
    <n v="3.4019427750000002"/>
    <n v="3.33"/>
    <n v="11.32846944075"/>
  </r>
  <r>
    <d v="2018-12-05T00:00:00"/>
    <s v="Canned and dry goods"/>
    <n v="1"/>
    <n v="24"/>
    <n v="0.375"/>
    <s v="SAUCE HOT"/>
    <x v="23"/>
    <x v="0"/>
    <n v="9"/>
    <n v="4.0823313299999997"/>
    <n v="3.33"/>
    <n v="13.594163328899999"/>
  </r>
  <r>
    <d v="2018-12-05T00:00:00"/>
    <s v="Canned and dry goods"/>
    <n v="1"/>
    <n v="12"/>
    <n v="1.5625"/>
    <s v="SAUCE CHILI SWEET THAI"/>
    <x v="23"/>
    <x v="0"/>
    <n v="18.75"/>
    <n v="8.5048569375000014"/>
    <n v="3.33"/>
    <n v="28.321173601875007"/>
  </r>
  <r>
    <d v="2018-12-05T00:00:00"/>
    <s v="Canned and dry goods"/>
    <n v="1"/>
    <n v="12"/>
    <n v="10.4375"/>
    <s v="SAUCE CHILI SRIRACHA"/>
    <x v="23"/>
    <x v="0"/>
    <n v="125.25"/>
    <n v="56.812444342500001"/>
    <n v="3.33"/>
    <n v="189.18543966052502"/>
  </r>
  <r>
    <d v="2018-11-30T00:00:00"/>
    <s v="Canned and dry goods"/>
    <n v="1"/>
    <n v="4"/>
    <n v="7.9"/>
    <s v="OIL SESAME SEED PURE"/>
    <x v="40"/>
    <x v="0"/>
    <n v="31.6"/>
    <n v="14.333518892000003"/>
    <n v="2.3340000000000001"/>
    <n v="33.45443309392801"/>
  </r>
  <r>
    <d v="2018-12-03T00:00:00"/>
    <s v="Canned and dry goods"/>
    <n v="3"/>
    <n v="6"/>
    <n v="0.875"/>
    <s v="SPICE CUMIN GRND"/>
    <x v="41"/>
    <x v="0"/>
    <n v="15.75"/>
    <n v="7.1440798275000006"/>
    <n v="0.87"/>
    <n v="6.2153494499250002"/>
  </r>
  <r>
    <d v="2018-12-03T00:00:00"/>
    <s v="Canned and dry goods"/>
    <n v="3"/>
    <n v="6"/>
    <n v="1"/>
    <s v="SPICE PAPRIKA XFCY"/>
    <x v="41"/>
    <x v="0"/>
    <n v="18"/>
    <n v="8.1646626599999994"/>
    <n v="0.87"/>
    <n v="7.103256514199999"/>
  </r>
  <r>
    <d v="2018-12-05T00:00:00"/>
    <s v="Canned and dry goods"/>
    <n v="3"/>
    <n v="6"/>
    <n v="1.125"/>
    <s v="SPICE CHILI POWDER LT"/>
    <x v="41"/>
    <x v="0"/>
    <n v="20.25"/>
    <n v="9.1852454925"/>
    <n v="0.87"/>
    <n v="7.9911635784749997"/>
  </r>
  <r>
    <d v="2018-12-05T00:00:00"/>
    <s v="Canned and dry goods"/>
    <n v="3"/>
    <n v="6"/>
    <n v="0.875"/>
    <s v="SPICE CUMIN GRND"/>
    <x v="41"/>
    <x v="0"/>
    <n v="15.75"/>
    <n v="7.1440798275000006"/>
    <n v="0.87"/>
    <n v="6.2153494499250002"/>
  </r>
  <r>
    <d v="2018-12-05T00:00:00"/>
    <s v="Canned and dry goods"/>
    <n v="1"/>
    <n v="3"/>
    <n v="7.25"/>
    <s v="SPICE GARLIC GRANULATED"/>
    <x v="41"/>
    <x v="0"/>
    <n v="21.75"/>
    <n v="9.8656340475000004"/>
    <n v="0.87"/>
    <n v="8.5831016213249995"/>
  </r>
  <r>
    <d v="2018-12-05T00:00:00"/>
    <s v="Canned and dry goods"/>
    <n v="3"/>
    <n v="6"/>
    <n v="1.25"/>
    <s v="SPICE ONION POWDER"/>
    <x v="41"/>
    <x v="0"/>
    <n v="22.5"/>
    <n v="10.205828325000001"/>
    <n v="0.87"/>
    <n v="8.8790706427500012"/>
  </r>
  <r>
    <d v="2018-11-30T00:00:00"/>
    <s v="Canned and dry goods"/>
    <n v="2"/>
    <n v="6"/>
    <n v="1.125"/>
    <s v="SEASONING CAJUN"/>
    <x v="42"/>
    <x v="0"/>
    <n v="13.5"/>
    <n v="6.1234969950000009"/>
    <n v="0.87"/>
    <n v="5.3274423856500004"/>
  </r>
  <r>
    <d v="2018-11-30T00:00:00"/>
    <s v="Canned and dry goods"/>
    <n v="1"/>
    <n v="6"/>
    <n v="1"/>
    <s v="SPICE CURRY POWDER"/>
    <x v="42"/>
    <x v="0"/>
    <n v="6"/>
    <n v="2.7215542200000002"/>
    <n v="0.87"/>
    <n v="2.3677521714000003"/>
  </r>
  <r>
    <d v="2018-11-30T00:00:00"/>
    <s v="Canned and dry goods"/>
    <n v="1"/>
    <n v="3"/>
    <n v="7.25"/>
    <s v="SPICE GARLIC GRANULATED"/>
    <x v="42"/>
    <x v="0"/>
    <n v="21.75"/>
    <n v="9.8656340475000004"/>
    <n v="0.87"/>
    <n v="8.5831016213249995"/>
  </r>
  <r>
    <d v="2018-11-30T00:00:00"/>
    <s v="Canned and dry goods"/>
    <n v="1"/>
    <n v="12"/>
    <n v="3"/>
    <s v="SALT KOSHER FLAKE COARSE"/>
    <x v="42"/>
    <x v="0"/>
    <n v="36"/>
    <n v="16.329325319999999"/>
    <n v="0.87"/>
    <n v="14.206513028399998"/>
  </r>
  <r>
    <d v="2018-11-30T00:00:00"/>
    <s v="Canned and dry goods"/>
    <n v="2"/>
    <n v="6"/>
    <n v="1.5"/>
    <s v="SEASONING OLD BAY"/>
    <x v="42"/>
    <x v="0"/>
    <n v="18"/>
    <n v="8.1646626599999994"/>
    <n v="0.87"/>
    <n v="7.103256514199999"/>
  </r>
  <r>
    <d v="2018-11-30T00:00:00"/>
    <s v="Canned and dry goods"/>
    <n v="1"/>
    <n v="6"/>
    <n v="0.390625"/>
    <s v="SEASONING ITALIAN WHL"/>
    <x v="42"/>
    <x v="0"/>
    <n v="2.34375"/>
    <n v="1.0631071171875002"/>
    <n v="0.87"/>
    <n v="0.92490319195312509"/>
  </r>
  <r>
    <d v="2018-12-03T00:00:00"/>
    <s v="Canned and dry goods"/>
    <n v="2"/>
    <n v="6"/>
    <n v="1.125"/>
    <s v="SEASONING CARIBBEAN JERK"/>
    <x v="42"/>
    <x v="0"/>
    <n v="13.5"/>
    <n v="6.1234969950000009"/>
    <n v="0.87"/>
    <n v="5.3274423856500004"/>
  </r>
  <r>
    <d v="2018-12-03T00:00:00"/>
    <s v="Canned and dry goods"/>
    <n v="1"/>
    <n v="12"/>
    <n v="3"/>
    <s v="SALT KOSHER FLAKE COARSE"/>
    <x v="42"/>
    <x v="0"/>
    <n v="36"/>
    <n v="16.329325319999999"/>
    <n v="0.87"/>
    <n v="14.206513028399998"/>
  </r>
  <r>
    <d v="2018-12-05T00:00:00"/>
    <s v="Canned and dry goods"/>
    <n v="2"/>
    <n v="12"/>
    <n v="3"/>
    <s v="SALT KOSHER FLAKE COARSE"/>
    <x v="42"/>
    <x v="0"/>
    <n v="72"/>
    <n v="32.658650639999998"/>
    <n v="0.87"/>
    <n v="28.413026056799996"/>
  </r>
  <r>
    <d v="2018-11-30T00:00:00"/>
    <s v="Canned and dry goods"/>
    <n v="1"/>
    <n v="1"/>
    <n v="50"/>
    <s v="SUGAR BROWN LIGHT CANE"/>
    <x v="43"/>
    <x v="0"/>
    <n v="50"/>
    <n v="22.6796185"/>
    <n v="0.7"/>
    <n v="15.87573295"/>
  </r>
  <r>
    <d v="2018-11-30T00:00:00"/>
    <s v="Canned and dry goods"/>
    <n v="2"/>
    <n v="1"/>
    <n v="25"/>
    <s v="SUGAR GRANULATED XFINE CANE"/>
    <x v="43"/>
    <x v="0"/>
    <n v="50"/>
    <n v="22.6796185"/>
    <n v="0.7"/>
    <n v="15.87573295"/>
  </r>
  <r>
    <d v="2018-12-03T00:00:00"/>
    <s v="Canned and dry goods"/>
    <n v="1"/>
    <n v="1"/>
    <n v="50"/>
    <s v="SUGAR GRANULATED XFN"/>
    <x v="43"/>
    <x v="0"/>
    <n v="50"/>
    <n v="22.6796185"/>
    <n v="0.7"/>
    <n v="15.87573295"/>
  </r>
  <r>
    <d v="2018-12-05T00:00:00"/>
    <s v="Canned and dry goods"/>
    <n v="1"/>
    <n v="1"/>
    <n v="50"/>
    <s v="SUGAR GRANULATED XFN"/>
    <x v="43"/>
    <x v="0"/>
    <n v="50"/>
    <n v="22.6796185"/>
    <n v="0.7"/>
    <n v="15.87573295"/>
  </r>
  <r>
    <d v="2018-12-03T00:00:00"/>
    <s v="Canned and dry goods"/>
    <n v="2"/>
    <n v="4"/>
    <n v="11.01"/>
    <s v="SYRUP PANCAKE &amp;  WAFFLE"/>
    <x v="44"/>
    <x v="0"/>
    <n v="88.08"/>
    <n v="39.952415949600002"/>
    <n v="6.7539999999999996"/>
    <n v="269.83861732359838"/>
  </r>
  <r>
    <d v="2018-11-30T00:00:00"/>
    <s v="Canned and dry goods"/>
    <n v="1"/>
    <n v="4"/>
    <n v="11.01"/>
    <s v="SYRUP PANCAKE &amp;  WAFFLE"/>
    <x v="45"/>
    <x v="0"/>
    <n v="44.04"/>
    <n v="19.976207974800001"/>
    <n v="6.7539999999999996"/>
    <n v="134.91930866179919"/>
  </r>
  <r>
    <d v="2018-11-30T00:00:00"/>
    <s v="Canned and dry goods"/>
    <n v="4"/>
    <n v="6"/>
    <n v="10"/>
    <s v="TOMATO DICED IN JCE NO SALT CA"/>
    <x v="46"/>
    <x v="0"/>
    <n v="240"/>
    <n v="108.86216880000001"/>
    <n v="0.47"/>
    <n v="51.165219336"/>
  </r>
  <r>
    <d v="2018-11-30T00:00:00"/>
    <s v="Canned and dry goods"/>
    <n v="4"/>
    <n v="6"/>
    <n v="10"/>
    <s v="TOMATO CRUSHED ALL PURP FCY CA"/>
    <x v="46"/>
    <x v="0"/>
    <n v="240"/>
    <n v="108.86216880000001"/>
    <n v="0.47"/>
    <n v="51.165219336"/>
  </r>
  <r>
    <d v="2018-11-30T00:00:00"/>
    <s v="Canned and dry goods"/>
    <n v="8"/>
    <n v="6"/>
    <n v="10"/>
    <s v="TOMATO GRND PLD IN PUREE"/>
    <x v="46"/>
    <x v="0"/>
    <n v="480"/>
    <n v="217.72433760000001"/>
    <n v="0.47"/>
    <n v="102.330438672"/>
  </r>
  <r>
    <d v="2018-12-03T00:00:00"/>
    <s v="Canned and dry goods"/>
    <n v="2"/>
    <n v="6"/>
    <n v="10"/>
    <s v="TOMATO CRUSHED ALL PURP FCY CA"/>
    <x v="46"/>
    <x v="0"/>
    <n v="120"/>
    <n v="54.431084400000003"/>
    <n v="0.47"/>
    <n v="25.582609668"/>
  </r>
  <r>
    <d v="2018-12-05T00:00:00"/>
    <s v="Canned and dry goods"/>
    <n v="6"/>
    <n v="6"/>
    <n v="10"/>
    <s v="TOMATO CRUSHED ALL PURP FCY CA"/>
    <x v="46"/>
    <x v="0"/>
    <n v="360"/>
    <n v="163.29325320000001"/>
    <n v="0.47"/>
    <n v="76.747829003999996"/>
  </r>
  <r>
    <d v="2018-12-05T00:00:00"/>
    <s v="Canned and dry goods"/>
    <n v="1"/>
    <n v="6"/>
    <n v="10"/>
    <s v="TOMATO GRND PLD IN PUREE"/>
    <x v="46"/>
    <x v="0"/>
    <n v="60"/>
    <n v="27.215542200000002"/>
    <n v="0.47"/>
    <n v="12.791304834"/>
  </r>
  <r>
    <d v="2018-12-03T00:00:00"/>
    <s v="Canned and dry goods"/>
    <n v="1"/>
    <n v="6"/>
    <n v="10"/>
    <s v="TOMATO PASTE FANCY CA"/>
    <x v="47"/>
    <x v="0"/>
    <n v="60"/>
    <n v="27.215542200000002"/>
    <n v="0.11799999999999999"/>
    <n v="3.2114339796000002"/>
  </r>
  <r>
    <d v="2018-11-30T00:00:00"/>
    <s v="Canned and dry goods"/>
    <n v="1"/>
    <n v="6"/>
    <n v="4.15625"/>
    <s v="TUNA CHUNK SKIP JACK FAD FREE"/>
    <x v="48"/>
    <x v="2"/>
    <n v="24.9375"/>
    <n v="11.311459726875"/>
    <n v="2.1480000000000001"/>
    <n v="24.297015493327503"/>
  </r>
  <r>
    <d v="2018-12-03T00:00:00"/>
    <s v="Canned and dry goods"/>
    <n v="1"/>
    <n v="6"/>
    <n v="4.15625"/>
    <s v="TUNA CHUNK SKIP JACK FAD FREE"/>
    <x v="48"/>
    <x v="2"/>
    <n v="24.9375"/>
    <n v="11.311459726875"/>
    <n v="2.1480000000000001"/>
    <n v="24.297015493327503"/>
  </r>
  <r>
    <d v="2018-11-30T00:00:00"/>
    <s v="Canned and dry goods"/>
    <n v="1"/>
    <n v="4"/>
    <n v="8.41"/>
    <s v="VINEGAR WINE RED PLS"/>
    <x v="49"/>
    <x v="0"/>
    <n v="33.64"/>
    <n v="15.258847326800002"/>
    <n v="0.34"/>
    <n v="5.1880080911120006"/>
  </r>
  <r>
    <d v="2018-12-03T00:00:00"/>
    <s v="Canned and dry goods"/>
    <n v="1"/>
    <n v="2"/>
    <n v="11.950000000000001"/>
    <s v="VINEGAR BALSAMIC ITALY"/>
    <x v="49"/>
    <x v="0"/>
    <n v="23.900000000000002"/>
    <n v="10.840857643000001"/>
    <n v="0.34"/>
    <n v="3.6858915986200009"/>
  </r>
  <r>
    <d v="2018-12-05T00:00:00"/>
    <s v="Canned and dry goods"/>
    <n v="1"/>
    <n v="4"/>
    <n v="8.41"/>
    <s v="VINEGAR RICE WINE SEAS 4.5%"/>
    <x v="49"/>
    <x v="0"/>
    <n v="33.64"/>
    <n v="15.258847326800002"/>
    <n v="0.34"/>
    <n v="5.1880080911120006"/>
  </r>
  <r>
    <d v="2018-12-03T00:00:00"/>
    <s v="Canned and dry goods"/>
    <n v="1"/>
    <n v="4"/>
    <n v="8.41"/>
    <s v="WINE COOKING BURGUNDY"/>
    <x v="50"/>
    <x v="0"/>
    <n v="33.64"/>
    <n v="15.258847326800002"/>
    <n v="0.78"/>
    <n v="11.901900914904001"/>
  </r>
  <r>
    <d v="2018-12-03T00:00:00"/>
    <s v="Canned and dry goods"/>
    <n v="1"/>
    <n v="4"/>
    <n v="8.41"/>
    <s v="WINE COOKING SAUTERNE"/>
    <x v="50"/>
    <x v="0"/>
    <n v="33.64"/>
    <n v="15.258847326800002"/>
    <n v="0.78"/>
    <n v="11.901900914904001"/>
  </r>
  <r>
    <d v="2018-12-05T00:00:00"/>
    <s v="Canned and dry goods"/>
    <n v="1"/>
    <n v="8"/>
    <n v="0.79366439999999994"/>
    <s v="WRAP TORTILLA FLOUR 12"/>
    <x v="51"/>
    <x v="0"/>
    <n v="6.3493151999999995"/>
    <n v="2.8800009294450239"/>
    <n v="1.28"/>
    <n v="3.6864011896896307"/>
  </r>
  <r>
    <d v="2018-11-30T00:00:00"/>
    <s v="Canned and dry goods"/>
    <n v="2"/>
    <n v="12"/>
    <n v="2"/>
    <s v="YEAST ACTIVE DRY"/>
    <x v="52"/>
    <x v="0"/>
    <n v="48"/>
    <n v="21.772433760000002"/>
    <m/>
    <n v="0"/>
  </r>
  <r>
    <d v="2018-11-30T00:00:00"/>
    <s v="Dairy Products"/>
    <n v="2"/>
    <n v="36"/>
    <n v="1"/>
    <s v="BUTTER SOLID UNSLTD USDA AA"/>
    <x v="53"/>
    <x v="1"/>
    <n v="72"/>
    <n v="32.658650639999998"/>
    <n v="11.52"/>
    <n v="376.22765537279997"/>
  </r>
  <r>
    <d v="2018-11-30T00:00:00"/>
    <s v="Dairy Products"/>
    <n v="2"/>
    <n v="6"/>
    <n v="1"/>
    <s v="CHEESE MOZZ FRSH SLI 18 CT"/>
    <x v="54"/>
    <x v="1"/>
    <n v="12"/>
    <n v="5.4431084400000005"/>
    <n v="9.9740000000000002"/>
    <n v="54.289563580560007"/>
  </r>
  <r>
    <d v="2018-11-30T00:00:00"/>
    <s v="Dairy Products"/>
    <n v="2"/>
    <n v="6"/>
    <n v="3"/>
    <s v="CHEESE CREAM ORIG LOAF"/>
    <x v="54"/>
    <x v="1"/>
    <n v="36"/>
    <n v="16.329325319999999"/>
    <n v="9.9740000000000002"/>
    <n v="162.86869074167998"/>
  </r>
  <r>
    <d v="2018-11-30T00:00:00"/>
    <s v="Dairy Products"/>
    <n v="2"/>
    <n v="4"/>
    <n v="5"/>
    <s v="CHEESE COTTAGE SMALL CURD 4%"/>
    <x v="54"/>
    <x v="1"/>
    <n v="40"/>
    <n v="18.143694800000002"/>
    <n v="9.9740000000000002"/>
    <n v="180.96521193520002"/>
  </r>
  <r>
    <d v="2018-11-30T00:00:00"/>
    <s v="Dairy Products"/>
    <n v="15"/>
    <n v="4"/>
    <n v="5"/>
    <s v="CHEESE MOZZ FTHR SHRD WHL MILK"/>
    <x v="54"/>
    <x v="1"/>
    <n v="300"/>
    <n v="136.07771100000002"/>
    <n v="9.9740000000000002"/>
    <n v="1357.2390895140002"/>
  </r>
  <r>
    <d v="2018-11-30T00:00:00"/>
    <s v="Dairy Products"/>
    <n v="1"/>
    <n v="4"/>
    <n v="5"/>
    <s v="CHEESE AMER YEL 160 SLI"/>
    <x v="54"/>
    <x v="1"/>
    <n v="20"/>
    <n v="9.0718474000000011"/>
    <n v="9.9740000000000002"/>
    <n v="90.482605967600009"/>
  </r>
  <r>
    <d v="2018-11-30T00:00:00"/>
    <s v="Dairy Products"/>
    <n v="4"/>
    <n v="4"/>
    <n v="5"/>
    <s v="CHEESE CHDR MILD FTHR SHRD"/>
    <x v="54"/>
    <x v="1"/>
    <n v="80"/>
    <n v="36.287389600000004"/>
    <n v="9.9740000000000002"/>
    <n v="361.93042387040003"/>
  </r>
  <r>
    <d v="2018-11-30T00:00:00"/>
    <s v="Dairy Products"/>
    <n v="3"/>
    <n v="4"/>
    <n v="5"/>
    <s v="CHEESE BLUE CRUMBLE"/>
    <x v="54"/>
    <x v="1"/>
    <n v="60"/>
    <n v="27.215542200000002"/>
    <n v="9.9740000000000002"/>
    <n v="271.44781790280001"/>
  </r>
  <r>
    <d v="2018-11-30T00:00:00"/>
    <s v="Dairy Products"/>
    <n v="2"/>
    <n v="4"/>
    <n v="2.5"/>
    <s v="CHEESE SWISS SLI .0.3125"/>
    <x v="54"/>
    <x v="1"/>
    <n v="20"/>
    <n v="9.0718474000000011"/>
    <n v="9.9740000000000002"/>
    <n v="90.482605967600009"/>
  </r>
  <r>
    <d v="2018-11-30T00:00:00"/>
    <s v="Dairy Products"/>
    <n v="2"/>
    <n v="4"/>
    <n v="2.5"/>
    <s v="CHEESE PEPPER JACK SLI .70.3125"/>
    <x v="54"/>
    <x v="1"/>
    <n v="20"/>
    <n v="9.0718474000000011"/>
    <n v="9.9740000000000002"/>
    <n v="90.482605967600009"/>
  </r>
  <r>
    <d v="2018-11-30T00:00:00"/>
    <s v="Dairy Products"/>
    <n v="2"/>
    <n v="8"/>
    <n v="1.25"/>
    <s v="CHEESE CHDR MILD SLI .0.3125"/>
    <x v="54"/>
    <x v="1"/>
    <n v="20"/>
    <n v="9.0718474000000011"/>
    <n v="9.9740000000000002"/>
    <n v="90.482605967600009"/>
  </r>
  <r>
    <d v="2018-11-30T00:00:00"/>
    <s v="Dairy Products"/>
    <n v="2"/>
    <n v="4"/>
    <n v="2.5"/>
    <s v="CHEESE PROVOLONE SLI .0.3125"/>
    <x v="54"/>
    <x v="1"/>
    <n v="20"/>
    <n v="9.0718474000000011"/>
    <n v="9.9740000000000002"/>
    <n v="90.482605967600009"/>
  </r>
  <r>
    <d v="2018-11-30T00:00:00"/>
    <s v="Dairy Products"/>
    <n v="1"/>
    <n v="2"/>
    <n v="5"/>
    <s v="CHEESE PARM GRATED PURE"/>
    <x v="54"/>
    <x v="1"/>
    <n v="10"/>
    <n v="4.5359237000000006"/>
    <n v="9.9740000000000002"/>
    <n v="45.241302983800004"/>
  </r>
  <r>
    <d v="2018-11-30T00:00:00"/>
    <s v="Dairy Products"/>
    <n v="1"/>
    <n v="6"/>
    <n v="2"/>
    <s v="CHEESE PARM FANCY SHRED"/>
    <x v="54"/>
    <x v="1"/>
    <n v="12"/>
    <n v="5.4431084400000005"/>
    <n v="9.9740000000000002"/>
    <n v="54.289563580560007"/>
  </r>
  <r>
    <d v="2018-11-30T00:00:00"/>
    <s v="Dairy Products"/>
    <n v="1"/>
    <n v="6"/>
    <n v="3"/>
    <s v="CHEESE RICOTTA WHL MLK CLS"/>
    <x v="54"/>
    <x v="1"/>
    <n v="18"/>
    <n v="8.1646626599999994"/>
    <n v="9.9740000000000002"/>
    <n v="81.434345370839992"/>
  </r>
  <r>
    <d v="2018-12-03T00:00:00"/>
    <s v="Dairy Products"/>
    <n v="4"/>
    <n v="4"/>
    <n v="5"/>
    <s v="CHEESE CHDR MILD FTHR SHRD"/>
    <x v="54"/>
    <x v="1"/>
    <n v="80"/>
    <n v="36.287389600000004"/>
    <n v="9.9740000000000002"/>
    <n v="361.93042387040003"/>
  </r>
  <r>
    <d v="2018-12-03T00:00:00"/>
    <s v="Dairy Products"/>
    <n v="6"/>
    <n v="4"/>
    <n v="5"/>
    <s v="CHEESE MOZZ FTHR SHRD PART SKM"/>
    <x v="54"/>
    <x v="1"/>
    <n v="120"/>
    <n v="54.431084400000003"/>
    <n v="9.9740000000000002"/>
    <n v="542.89563580560002"/>
  </r>
  <r>
    <d v="2018-12-03T00:00:00"/>
    <s v="Dairy Products"/>
    <n v="3"/>
    <n v="2"/>
    <n v="5"/>
    <s v="CHEESE PARM GRATED PURE"/>
    <x v="54"/>
    <x v="1"/>
    <n v="30"/>
    <n v="13.607771100000001"/>
    <n v="9.9740000000000002"/>
    <n v="135.72390895140001"/>
  </r>
  <r>
    <d v="2018-12-05T00:00:00"/>
    <s v="Dairy Products"/>
    <n v="1"/>
    <n v="10"/>
    <n v="3"/>
    <s v="CHEESE CREAM LOAF"/>
    <x v="54"/>
    <x v="1"/>
    <n v="30"/>
    <n v="13.607771100000001"/>
    <n v="9.9740000000000002"/>
    <n v="135.72390895140001"/>
  </r>
  <r>
    <d v="2018-12-05T00:00:00"/>
    <s v="Dairy Products"/>
    <n v="2"/>
    <n v="4"/>
    <n v="5"/>
    <s v="CHEESE AMER YEL 160 SLI"/>
    <x v="54"/>
    <x v="1"/>
    <n v="40"/>
    <n v="18.143694800000002"/>
    <n v="9.9740000000000002"/>
    <n v="180.96521193520002"/>
  </r>
  <r>
    <d v="2018-12-05T00:00:00"/>
    <s v="Dairy Products"/>
    <n v="2"/>
    <n v="4"/>
    <n v="5"/>
    <s v="CHEESE CHDR MILD FTHR SHRD"/>
    <x v="54"/>
    <x v="1"/>
    <n v="40"/>
    <n v="18.143694800000002"/>
    <n v="9.9740000000000002"/>
    <n v="180.96521193520002"/>
  </r>
  <r>
    <d v="2018-12-05T00:00:00"/>
    <s v="Dairy Products"/>
    <n v="5"/>
    <n v="4"/>
    <n v="5"/>
    <s v="CHEESE MOZZ FTHR SHRD PART SKM"/>
    <x v="54"/>
    <x v="1"/>
    <n v="100"/>
    <n v="45.359237"/>
    <n v="9.9740000000000002"/>
    <n v="452.413029838"/>
  </r>
  <r>
    <d v="2018-12-05T00:00:00"/>
    <s v="Dairy Products"/>
    <n v="1"/>
    <n v="4"/>
    <n v="2.5"/>
    <s v="CHEESE SWISS SLI .0.3125"/>
    <x v="54"/>
    <x v="1"/>
    <n v="10"/>
    <n v="4.5359237000000006"/>
    <n v="9.9740000000000002"/>
    <n v="45.241302983800004"/>
  </r>
  <r>
    <d v="2018-12-05T00:00:00"/>
    <s v="Dairy Products"/>
    <n v="1"/>
    <n v="8"/>
    <n v="1.25"/>
    <s v="CHEESE CHDR MILD SLI .0.3125"/>
    <x v="54"/>
    <x v="1"/>
    <n v="10"/>
    <n v="4.5359237000000006"/>
    <n v="9.9740000000000002"/>
    <n v="45.241302983800004"/>
  </r>
  <r>
    <d v="2018-12-05T00:00:00"/>
    <s v="Dairy Products"/>
    <n v="2"/>
    <n v="4"/>
    <n v="2.5"/>
    <s v="CHEESE PROVOLONE SLI .0.3125"/>
    <x v="54"/>
    <x v="1"/>
    <n v="20"/>
    <n v="9.0718474000000011"/>
    <n v="9.9740000000000002"/>
    <n v="90.482605967600009"/>
  </r>
  <r>
    <d v="2018-11-30T00:00:00"/>
    <s v="Dairy Products"/>
    <n v="1"/>
    <n v="1"/>
    <n v="2"/>
    <s v="CREAM SOUR SEL 13%"/>
    <x v="55"/>
    <x v="1"/>
    <n v="2"/>
    <n v="0.90718474000000004"/>
    <n v="5.32"/>
    <n v="4.8262228168000005"/>
  </r>
  <r>
    <d v="2018-12-05T00:00:00"/>
    <s v="Dairy Products"/>
    <n v="1"/>
    <n v="1"/>
    <n v="2"/>
    <s v="CREAM SOUR SEL 13%"/>
    <x v="55"/>
    <x v="1"/>
    <n v="2"/>
    <n v="0.90718474000000004"/>
    <n v="5.32"/>
    <n v="4.8262228168000005"/>
  </r>
  <r>
    <d v="2018-11-30T00:00:00"/>
    <s v="Dairy Products"/>
    <n v="12"/>
    <n v="2"/>
    <n v="20"/>
    <s v="EGG LIQ WHL CAGE FREE W/CITRIC"/>
    <x v="56"/>
    <x v="1"/>
    <n v="480"/>
    <n v="217.72433760000001"/>
    <n v="3.754"/>
    <n v="817.33716335040003"/>
  </r>
  <r>
    <d v="2018-11-30T00:00:00"/>
    <s v="Dairy Products"/>
    <n v="1"/>
    <n v="15"/>
    <n v="2"/>
    <s v="EGG WHITE CAGE FREE LIQ"/>
    <x v="56"/>
    <x v="1"/>
    <n v="30"/>
    <n v="13.607771100000001"/>
    <n v="3.754"/>
    <n v="51.083572709400002"/>
  </r>
  <r>
    <d v="2018-11-30T00:00:00"/>
    <s v="Dairy Products"/>
    <n v="2"/>
    <n v="15"/>
    <n v="1.5"/>
    <s v="EGG SHELL CG FR LG HFAC GR A"/>
    <x v="56"/>
    <x v="1"/>
    <n v="45"/>
    <n v="20.411656650000001"/>
    <n v="3.754"/>
    <n v="76.62535906410001"/>
  </r>
  <r>
    <d v="2018-12-03T00:00:00"/>
    <s v="Dairy Products"/>
    <n v="13"/>
    <n v="2"/>
    <n v="20"/>
    <s v="EGG LIQ WHL CAGE FREE W/CITRIC"/>
    <x v="56"/>
    <x v="1"/>
    <n v="520"/>
    <n v="235.8680324"/>
    <n v="3.754"/>
    <n v="885.44859362960005"/>
  </r>
  <r>
    <d v="2018-12-03T00:00:00"/>
    <s v="Dairy Products"/>
    <n v="2"/>
    <n v="15"/>
    <n v="2"/>
    <s v="EGG WHITE CAGE FREE LIQ"/>
    <x v="56"/>
    <x v="1"/>
    <n v="60"/>
    <n v="27.215542200000002"/>
    <n v="3.754"/>
    <n v="102.1671454188"/>
  </r>
  <r>
    <d v="2018-12-05T00:00:00"/>
    <s v="Dairy Products"/>
    <n v="8"/>
    <n v="2"/>
    <n v="20"/>
    <s v="EGG LIQ WHL CAGE FREE W/CITRIC"/>
    <x v="56"/>
    <x v="1"/>
    <n v="320"/>
    <n v="145.14955840000002"/>
    <n v="3.754"/>
    <n v="544.89144223360006"/>
  </r>
  <r>
    <d v="2018-12-05T00:00:00"/>
    <s v="Dairy Products"/>
    <n v="2"/>
    <n v="15"/>
    <n v="2"/>
    <s v="EGG WHITE CAGE FREE LIQ"/>
    <x v="56"/>
    <x v="1"/>
    <n v="60"/>
    <n v="27.215542200000002"/>
    <n v="3.754"/>
    <n v="102.1671454188"/>
  </r>
  <r>
    <d v="2018-12-05T00:00:00"/>
    <s v="Dairy Products"/>
    <n v="4"/>
    <n v="15"/>
    <n v="1.5"/>
    <s v="EGG SHELL CG FR LG HFAC GR A"/>
    <x v="56"/>
    <x v="1"/>
    <n v="90"/>
    <n v="40.823313300000002"/>
    <n v="3.754"/>
    <n v="153.25071812820002"/>
  </r>
  <r>
    <d v="2018-11-30T00:00:00"/>
    <s v="Dairy Products"/>
    <n v="4"/>
    <n v="1"/>
    <n v="25.799999999999997"/>
    <s v="ICE CREAM VAN BEAN"/>
    <x v="57"/>
    <x v="1"/>
    <n v="103.19999999999999"/>
    <n v="46.810732584"/>
    <n v="3.84"/>
    <n v="179.75321312256"/>
  </r>
  <r>
    <d v="2018-11-30T00:00:00"/>
    <s v="Dairy Products"/>
    <n v="4"/>
    <n v="1"/>
    <n v="25.799999999999997"/>
    <s v="ICE CREAM CHOC"/>
    <x v="57"/>
    <x v="1"/>
    <n v="103.19999999999999"/>
    <n v="46.810732584"/>
    <n v="3.84"/>
    <n v="179.75321312256"/>
  </r>
  <r>
    <d v="2018-11-30T00:00:00"/>
    <s v="Dairy Products"/>
    <n v="4"/>
    <n v="1"/>
    <n v="25.799999999999997"/>
    <s v="ICE CREAM BIRTHDAY CAKE"/>
    <x v="57"/>
    <x v="1"/>
    <n v="103.19999999999999"/>
    <n v="46.810732584"/>
    <n v="3.84"/>
    <n v="179.75321312256"/>
  </r>
  <r>
    <d v="2018-12-05T00:00:00"/>
    <s v="Dairy Products"/>
    <n v="2"/>
    <n v="1"/>
    <n v="25.799999999999997"/>
    <s v="ICE CREAM COOKIES &amp;  CRM"/>
    <x v="57"/>
    <x v="1"/>
    <n v="51.599999999999994"/>
    <n v="23.405366292"/>
    <n v="3.84"/>
    <n v="89.876606561279999"/>
  </r>
  <r>
    <d v="2018-12-05T00:00:00"/>
    <s v="Dairy Products"/>
    <n v="2"/>
    <n v="1"/>
    <n v="25.799999999999997"/>
    <s v="ICE CREAM JUST PEACHY"/>
    <x v="57"/>
    <x v="1"/>
    <n v="51.599999999999994"/>
    <n v="23.405366292"/>
    <n v="3.84"/>
    <n v="89.876606561279999"/>
  </r>
  <r>
    <d v="2018-12-05T00:00:00"/>
    <s v="Dairy Products"/>
    <n v="3"/>
    <n v="1"/>
    <n v="25.799999999999997"/>
    <s v="ICE CREAM STWBRY"/>
    <x v="57"/>
    <x v="1"/>
    <n v="77.399999999999991"/>
    <n v="35.108049437999995"/>
    <n v="3.84"/>
    <n v="134.81490984191998"/>
  </r>
  <r>
    <d v="2018-12-05T00:00:00"/>
    <s v="Dairy Products"/>
    <n v="3"/>
    <n v="1"/>
    <n v="25.799999999999997"/>
    <s v="ICE CREAM CHOC"/>
    <x v="57"/>
    <x v="1"/>
    <n v="77.399999999999991"/>
    <n v="35.108049437999995"/>
    <n v="3.84"/>
    <n v="134.81490984191998"/>
  </r>
  <r>
    <d v="2018-12-05T00:00:00"/>
    <s v="Dairy Products"/>
    <n v="3"/>
    <n v="1"/>
    <n v="25.799999999999997"/>
    <s v="ICE CREAM FRCH VAN"/>
    <x v="57"/>
    <x v="1"/>
    <n v="77.399999999999991"/>
    <n v="35.108049437999995"/>
    <n v="3.84"/>
    <n v="134.81490984191998"/>
  </r>
  <r>
    <d v="2018-11-30T00:00:00"/>
    <s v="Dairy Products"/>
    <n v="3"/>
    <n v="1"/>
    <n v="21.5"/>
    <s v="MILK SOY VAN BAG"/>
    <x v="58"/>
    <x v="0"/>
    <n v="64.5"/>
    <n v="29.256707864999999"/>
    <n v="0.25800000000000001"/>
    <n v="7.5482306291699999"/>
  </r>
  <r>
    <d v="2018-11-30T00:00:00"/>
    <s v="Dairy Products"/>
    <n v="3"/>
    <n v="1"/>
    <n v="21.5"/>
    <s v="MILK SOY CHOC BAG"/>
    <x v="58"/>
    <x v="0"/>
    <n v="64.5"/>
    <n v="29.256707864999999"/>
    <n v="0.25800000000000001"/>
    <n v="7.5482306291699999"/>
  </r>
  <r>
    <d v="2018-11-30T00:00:00"/>
    <s v="Dairy Products"/>
    <n v="1"/>
    <n v="12"/>
    <n v="2"/>
    <s v="MILK SOY PLAIN"/>
    <x v="58"/>
    <x v="0"/>
    <n v="24"/>
    <n v="10.886216880000001"/>
    <n v="0.25800000000000001"/>
    <n v="2.8086439550400004"/>
  </r>
  <r>
    <d v="2018-12-03T00:00:00"/>
    <s v="Dairy Products"/>
    <n v="2"/>
    <n v="1"/>
    <n v="21.5"/>
    <s v="MILK SOY VAN BAG"/>
    <x v="58"/>
    <x v="0"/>
    <n v="43"/>
    <n v="19.504471909999999"/>
    <n v="0.25800000000000001"/>
    <n v="5.0321537527800002"/>
  </r>
  <r>
    <d v="2018-12-03T00:00:00"/>
    <s v="Dairy Products"/>
    <n v="1"/>
    <n v="1"/>
    <n v="21.5"/>
    <s v="MILK SOY CHOC BAG"/>
    <x v="58"/>
    <x v="0"/>
    <n v="21.5"/>
    <n v="9.7522359549999997"/>
    <n v="0.25800000000000001"/>
    <n v="2.5160768763900001"/>
  </r>
  <r>
    <d v="2018-12-03T00:00:00"/>
    <s v="Dairy Products"/>
    <n v="1"/>
    <n v="20"/>
    <n v="0.5"/>
    <s v="MILK NFAT 100% LACT CAL ENRCHD"/>
    <x v="59"/>
    <x v="1"/>
    <n v="10"/>
    <n v="4.5359237000000006"/>
    <n v="1.23"/>
    <n v="5.5791861510000009"/>
  </r>
  <r>
    <d v="2018-12-05T00:00:00"/>
    <s v="Dairy Products"/>
    <n v="2"/>
    <n v="1"/>
    <n v="21.5"/>
    <s v="MILK SOY VAN BAG"/>
    <x v="58"/>
    <x v="0"/>
    <n v="43"/>
    <n v="19.504471909999999"/>
    <n v="0.25800000000000001"/>
    <n v="5.0321537527800002"/>
  </r>
  <r>
    <d v="2018-12-05T00:00:00"/>
    <s v="Dairy Products"/>
    <n v="2"/>
    <n v="1"/>
    <n v="21.5"/>
    <s v="MILK SOY CHOC BAG"/>
    <x v="58"/>
    <x v="0"/>
    <n v="43"/>
    <n v="19.504471909999999"/>
    <n v="0.25800000000000001"/>
    <n v="5.0321537527800002"/>
  </r>
  <r>
    <d v="2018-11-30T00:00:00"/>
    <s v="Dairy Products"/>
    <n v="10"/>
    <n v="2"/>
    <n v="6"/>
    <s v="YOGURT PLAIN GREEK BAG OIKOS"/>
    <x v="60"/>
    <x v="1"/>
    <n v="120"/>
    <n v="54.431084400000003"/>
    <n v="1.33"/>
    <n v="72.393342252000011"/>
  </r>
  <r>
    <d v="2018-11-30T00:00:00"/>
    <s v="Dairy Products"/>
    <n v="10"/>
    <n v="2"/>
    <n v="6"/>
    <s v="YOGURT VANILLA GRK BAG OIKOS"/>
    <x v="60"/>
    <x v="1"/>
    <n v="120"/>
    <n v="54.431084400000003"/>
    <n v="1.33"/>
    <n v="72.393342252000011"/>
  </r>
  <r>
    <d v="2018-12-05T00:00:00"/>
    <s v="Dairy Products"/>
    <n v="2"/>
    <n v="2"/>
    <n v="6"/>
    <s v="YOGURT VANILLA GRK BAG OIKOS"/>
    <x v="60"/>
    <x v="1"/>
    <n v="24"/>
    <n v="10.886216880000001"/>
    <n v="1.33"/>
    <n v="14.478668450400002"/>
  </r>
  <r>
    <d v="2018-11-30T00:00:00"/>
    <s v="Frozen"/>
    <n v="4"/>
    <n v="4"/>
    <n v="6"/>
    <s v="BANANA PLANTAIN FRZN SWEET SLI"/>
    <x v="61"/>
    <x v="0"/>
    <n v="96"/>
    <n v="43.544867520000004"/>
    <n v="0.374"/>
    <n v="16.285780452480001"/>
  </r>
  <r>
    <d v="2018-12-03T00:00:00"/>
    <s v="Frozen"/>
    <n v="5"/>
    <n v="4"/>
    <n v="6"/>
    <s v="BANANA PLANTAIN SLI SWEET"/>
    <x v="61"/>
    <x v="0"/>
    <n v="120"/>
    <n v="54.431084400000003"/>
    <n v="0.374"/>
    <n v="20.3572255656"/>
  </r>
  <r>
    <d v="2018-11-30T00:00:00"/>
    <s v="Frozen"/>
    <n v="4"/>
    <n v="40"/>
    <n v="0.25"/>
    <s v="BURGER VEG BEYOND PATTY"/>
    <x v="62"/>
    <x v="0"/>
    <n v="40"/>
    <n v="18.143694800000002"/>
    <n v="3.5270000000000001"/>
    <n v="63.992811559600007"/>
  </r>
  <r>
    <d v="2018-11-30T00:00:00"/>
    <s v="Frozen"/>
    <n v="4"/>
    <n v="48"/>
    <n v="0.18124999999999999"/>
    <s v="BURGER BLK BEAN SPCY"/>
    <x v="63"/>
    <x v="0"/>
    <n v="34.799999999999997"/>
    <n v="15.785014475999999"/>
    <n v="6.87"/>
    <n v="108.44304945012"/>
  </r>
  <r>
    <d v="2018-12-05T00:00:00"/>
    <s v="Frozen"/>
    <n v="1"/>
    <n v="10"/>
    <n v="1"/>
    <s v="BREAD FOCACCIA QTR SHEET"/>
    <x v="6"/>
    <x v="0"/>
    <n v="10"/>
    <n v="4.5359237000000006"/>
    <n v="1.28"/>
    <n v="5.8059823360000005"/>
  </r>
  <r>
    <d v="2018-12-05T00:00:00"/>
    <s v="Frozen"/>
    <n v="2"/>
    <n v="12"/>
    <n v="1.3125"/>
    <s v="BUN HOAGIE WHT 6 HNGD HARTHBK"/>
    <x v="64"/>
    <x v="0"/>
    <n v="31.5"/>
    <n v="14.288159655000001"/>
    <n v="1.28"/>
    <n v="18.288844358400002"/>
  </r>
  <r>
    <d v="2018-11-30T00:00:00"/>
    <s v="Frozen"/>
    <n v="2"/>
    <n v="2"/>
    <n v="5"/>
    <s v="STRIP CHICKEN-FREE LTY SEASON"/>
    <x v="65"/>
    <x v="0"/>
    <n v="20"/>
    <n v="9.0718474000000011"/>
    <n v="0"/>
    <n v="0"/>
  </r>
  <r>
    <d v="2018-11-30T00:00:00"/>
    <s v="Frozen"/>
    <n v="11"/>
    <n v="100"/>
    <n v="0.16250000000000001"/>
    <s v="CHURRO PRFRD MEXICAN PASTRY"/>
    <x v="66"/>
    <x v="0"/>
    <n v="178.75"/>
    <n v="81.079636137500003"/>
    <n v="1.2"/>
    <n v="97.295563365000007"/>
  </r>
  <r>
    <d v="2018-12-03T00:00:00"/>
    <s v="Frozen"/>
    <n v="3"/>
    <n v="1"/>
    <n v="30"/>
    <s v="CORN WHL KERNEL"/>
    <x v="67"/>
    <x v="0"/>
    <n v="90"/>
    <n v="40.823313300000002"/>
    <n v="0.75700000000000001"/>
    <n v="30.903248168100003"/>
  </r>
  <r>
    <d v="2018-12-05T00:00:00"/>
    <s v="Frozen"/>
    <n v="1"/>
    <n v="1"/>
    <n v="30"/>
    <s v="CORN WHL KERNEL"/>
    <x v="67"/>
    <x v="0"/>
    <n v="30"/>
    <n v="13.607771100000001"/>
    <n v="0.75700000000000001"/>
    <n v="10.3010827227"/>
  </r>
  <r>
    <d v="2018-11-30T00:00:00"/>
    <s v="Frozen"/>
    <n v="2"/>
    <n v="210"/>
    <s v="1.0.125"/>
    <s v="DOUGH BISCUIT SOUTHERN STY MIN"/>
    <x v="68"/>
    <x v="0"/>
    <n v="0"/>
    <n v="0"/>
    <n v="2.2999999999999998"/>
    <n v="0"/>
  </r>
  <r>
    <d v="2018-12-03T00:00:00"/>
    <s v="Frozen"/>
    <n v="3"/>
    <n v="4"/>
    <n v="5"/>
    <s v="NOODLE LO MEIN"/>
    <x v="26"/>
    <x v="0"/>
    <n v="60"/>
    <n v="27.215542200000002"/>
    <n v="5.99"/>
    <n v="163.02109777800001"/>
  </r>
  <r>
    <d v="2018-11-30T00:00:00"/>
    <s v="Frozen"/>
    <n v="2"/>
    <n v="12"/>
    <n v="2.5"/>
    <s v="PEA GREEN GR A P"/>
    <x v="69"/>
    <x v="0"/>
    <n v="60"/>
    <n v="27.215542200000002"/>
    <n v="0.61699999999999999"/>
    <n v="16.791989537399999"/>
  </r>
  <r>
    <d v="2018-12-03T00:00:00"/>
    <s v="Frozen"/>
    <n v="1"/>
    <n v="12"/>
    <n v="2.5"/>
    <s v="PEA GREEN GR A P"/>
    <x v="69"/>
    <x v="0"/>
    <n v="30"/>
    <n v="13.607771100000001"/>
    <n v="0.61699999999999999"/>
    <n v="8.3959947686999996"/>
  </r>
  <r>
    <d v="2018-11-30T00:00:00"/>
    <s v="Frozen"/>
    <n v="4"/>
    <n v="6"/>
    <n v="6"/>
    <s v="POTATO H/BRN DICE SKIN-ON CTRY"/>
    <x v="70"/>
    <x v="0"/>
    <n v="144"/>
    <n v="65.317301279999995"/>
    <n v="0.217"/>
    <n v="14.17385437776"/>
  </r>
  <r>
    <d v="2018-11-30T00:00:00"/>
    <s v="Frozen"/>
    <n v="4"/>
    <n v="6"/>
    <n v="3"/>
    <s v="POTATO H/BRN IQF LOOSE SHRED"/>
    <x v="70"/>
    <x v="0"/>
    <n v="72"/>
    <n v="32.658650639999998"/>
    <n v="0.217"/>
    <n v="7.0869271888799998"/>
  </r>
  <r>
    <d v="2018-11-30T00:00:00"/>
    <s v="Frozen"/>
    <n v="6"/>
    <n v="6"/>
    <n v="5"/>
    <s v="POTATO FRY 3/8 COLSSL CRISP"/>
    <x v="70"/>
    <x v="0"/>
    <n v="180"/>
    <n v="81.646626600000005"/>
    <n v="0.217"/>
    <n v="17.7173179722"/>
  </r>
  <r>
    <d v="2018-12-03T00:00:00"/>
    <s v="Frozen"/>
    <n v="4"/>
    <n v="6"/>
    <n v="6"/>
    <s v="POTATO H/BRN DICE SKIN-ON CTRY"/>
    <x v="70"/>
    <x v="0"/>
    <n v="144"/>
    <n v="65.317301279999995"/>
    <n v="0.217"/>
    <n v="14.17385437776"/>
  </r>
  <r>
    <d v="2018-12-03T00:00:00"/>
    <s v="Frozen"/>
    <n v="4"/>
    <n v="6"/>
    <n v="3"/>
    <s v="POTATO H/BRN IQF LOOSE SHRED"/>
    <x v="70"/>
    <x v="0"/>
    <n v="72"/>
    <n v="32.658650639999998"/>
    <n v="0.217"/>
    <n v="7.0869271888799998"/>
  </r>
  <r>
    <d v="2018-12-03T00:00:00"/>
    <s v="Frozen"/>
    <n v="4"/>
    <n v="6"/>
    <n v="5"/>
    <s v="POTATO FRY STEAK HSE"/>
    <x v="70"/>
    <x v="0"/>
    <n v="120"/>
    <n v="54.431084400000003"/>
    <n v="0.217"/>
    <n v="11.8115453148"/>
  </r>
  <r>
    <d v="2018-12-05T00:00:00"/>
    <s v="Frozen"/>
    <n v="4"/>
    <n v="6"/>
    <n v="5"/>
    <s v="POTATO TATER PUFF"/>
    <x v="70"/>
    <x v="0"/>
    <n v="120"/>
    <n v="54.431084400000003"/>
    <n v="0.217"/>
    <n v="11.8115453148"/>
  </r>
  <r>
    <d v="2018-12-05T00:00:00"/>
    <s v="Frozen"/>
    <n v="4"/>
    <n v="6"/>
    <n v="5"/>
    <s v="POTATO FRY STEAK HSE"/>
    <x v="70"/>
    <x v="0"/>
    <n v="120"/>
    <n v="54.431084400000003"/>
    <n v="0.217"/>
    <n v="11.8115453148"/>
  </r>
  <r>
    <d v="2018-12-05T00:00:00"/>
    <s v="Frozen"/>
    <n v="8"/>
    <n v="6"/>
    <n v="5"/>
    <s v="POTATO FRY 3/8 COLSSL CRISP"/>
    <x v="70"/>
    <x v="0"/>
    <n v="240"/>
    <n v="108.86216880000001"/>
    <n v="0.217"/>
    <n v="23.6230906296"/>
  </r>
  <r>
    <d v="2018-12-03T00:00:00"/>
    <s v="Frozen"/>
    <n v="4"/>
    <n v="6"/>
    <n v="5"/>
    <s v="POTATO CHIP NAT FRY 1/8"/>
    <x v="71"/>
    <x v="0"/>
    <n v="120"/>
    <n v="54.431084400000003"/>
    <n v="1.5449999999999999"/>
    <n v="84.096025397999995"/>
  </r>
  <r>
    <d v="2018-12-03T00:00:00"/>
    <s v="Frozen"/>
    <n v="4"/>
    <n v="5"/>
    <n v="3"/>
    <s v="POTATO SWEET THIN REG CUT 5/16"/>
    <x v="72"/>
    <x v="0"/>
    <n v="60"/>
    <n v="27.215542200000002"/>
    <n v="0.30199999999999999"/>
    <n v="8.2190937444000003"/>
  </r>
  <r>
    <d v="2018-11-30T00:00:00"/>
    <s v="Frozen"/>
    <n v="2"/>
    <n v="12"/>
    <n v="3.9683219999999997"/>
    <s v="TORTILLA CORN WHT 6 IN"/>
    <x v="73"/>
    <x v="0"/>
    <n v="95.239727999999985"/>
    <n v="43.200013941675351"/>
    <n v="1.28"/>
    <n v="55.296017845344451"/>
  </r>
  <r>
    <d v="2018-11-30T00:00:00"/>
    <s v="Frozen"/>
    <n v="2"/>
    <n v="6"/>
    <n v="0.79366439999999994"/>
    <s v="WRAP TORTILLA TOMATO BASIL 12"/>
    <x v="74"/>
    <x v="0"/>
    <n v="9.5239727999999992"/>
    <n v="4.3200013941675364"/>
    <n v="1.28"/>
    <n v="5.5296017845344467"/>
  </r>
  <r>
    <d v="2018-11-30T00:00:00"/>
    <s v="Frozen"/>
    <n v="2"/>
    <n v="6"/>
    <n v="0.79366439999999994"/>
    <s v="WRAP TORTILLA SPINACH HERB 12"/>
    <x v="74"/>
    <x v="0"/>
    <n v="9.5239727999999992"/>
    <n v="4.3200013941675364"/>
    <n v="1.28"/>
    <n v="5.5296017845344467"/>
  </r>
  <r>
    <d v="2018-12-03T00:00:00"/>
    <s v="Frozen"/>
    <n v="1"/>
    <n v="24"/>
    <n v="0.79366439999999994"/>
    <s v="TORTILLA FLOUR PRESSED 6 IN"/>
    <x v="74"/>
    <x v="0"/>
    <n v="19.047945599999998"/>
    <n v="8.6400027883350727"/>
    <n v="1.28"/>
    <n v="11.059203569068893"/>
  </r>
  <r>
    <d v="2018-12-03T00:00:00"/>
    <s v="Frozen"/>
    <n v="1"/>
    <n v="6"/>
    <n v="0.79366439999999994"/>
    <s v="WRAP TORTILLA SPINACH HERB 12"/>
    <x v="74"/>
    <x v="0"/>
    <n v="4.7619863999999996"/>
    <n v="2.1600006970837682"/>
    <n v="1.28"/>
    <n v="2.7648008922672234"/>
  </r>
  <r>
    <d v="2018-12-05T00:00:00"/>
    <s v="Frozen"/>
    <n v="1"/>
    <n v="6"/>
    <n v="0.79366439999999994"/>
    <s v="WRAP TORTILLA SPINACH HERB 12"/>
    <x v="51"/>
    <x v="0"/>
    <n v="4.7619863999999996"/>
    <n v="2.1600006970837682"/>
    <n v="1.28"/>
    <n v="2.7648008922672234"/>
  </r>
  <r>
    <d v="2018-11-30T00:00:00"/>
    <s v="Meats"/>
    <n v="2"/>
    <n v="2"/>
    <n v="5"/>
    <s v="PEPPERONI SLI CHRPRF 15-17 CT"/>
    <x v="75"/>
    <x v="2"/>
    <n v="20"/>
    <n v="9.0718474000000011"/>
    <n v="19.202999999999999"/>
    <n v="174.20668562220001"/>
  </r>
  <r>
    <d v="2018-12-05T00:00:00"/>
    <s v="Meats"/>
    <n v="1"/>
    <n v="2"/>
    <n v="5"/>
    <s v="PEPPERONI SLI CHRPRF 15-17 CT"/>
    <x v="75"/>
    <x v="2"/>
    <n v="10"/>
    <n v="4.5359237000000006"/>
    <n v="19.202999999999999"/>
    <n v="87.103342811100006"/>
  </r>
  <r>
    <d v="2018-11-30T00:00:00"/>
    <s v="Meats"/>
    <n v="1"/>
    <n v="1"/>
    <n v="220.62"/>
    <s v="BEEF EYE OF RND HALAL IAP"/>
    <x v="76"/>
    <x v="2"/>
    <n v="220.62"/>
    <n v="100.0715486694"/>
    <n v="32.845999999999997"/>
    <n v="3286.9500875951121"/>
  </r>
  <r>
    <d v="2018-12-05T00:00:00"/>
    <s v="Meats"/>
    <n v="4"/>
    <n v="1"/>
    <n v="10"/>
    <s v="FRANK BEEF 8X1 F/C"/>
    <x v="76"/>
    <x v="2"/>
    <n v="40"/>
    <n v="18.143694800000002"/>
    <n v="32.845999999999997"/>
    <n v="595.94779940080002"/>
  </r>
  <r>
    <d v="2018-12-05T00:00:00"/>
    <s v="Meats"/>
    <n v="1"/>
    <n v="1"/>
    <n v="143.28"/>
    <s v="BEEF EYE OF RND HALAL IAP"/>
    <x v="76"/>
    <x v="2"/>
    <n v="143.28"/>
    <n v="64.990714773600004"/>
    <n v="32.845999999999997"/>
    <n v="2134.6850174536653"/>
  </r>
  <r>
    <d v="2018-11-30T00:00:00"/>
    <s v="Meats"/>
    <n v="12"/>
    <n v="1"/>
    <n v="10"/>
    <s v="CORN DOG ALL MEAT MINI 240/.67"/>
    <x v="77"/>
    <x v="2"/>
    <n v="120"/>
    <n v="54.431084400000003"/>
    <n v="32.845999999999997"/>
    <n v="1787.8433982023998"/>
  </r>
  <r>
    <d v="2018-11-30T00:00:00"/>
    <s v="Meats"/>
    <n v="1"/>
    <n v="1"/>
    <n v="89.1"/>
    <s v="HAM PIT BNLS CKD"/>
    <x v="78"/>
    <x v="2"/>
    <n v="89.1"/>
    <n v="40.415080166999999"/>
    <n v="5.56"/>
    <n v="224.70784572851997"/>
  </r>
  <r>
    <d v="2018-12-05T00:00:00"/>
    <s v="Meats"/>
    <n v="1"/>
    <n v="1"/>
    <n v="29.8"/>
    <s v="HAM PIT BNLS CKD"/>
    <x v="78"/>
    <x v="2"/>
    <n v="29.8"/>
    <n v="13.517052626000002"/>
    <n v="5.56"/>
    <n v="75.154812600560007"/>
  </r>
  <r>
    <d v="2018-11-30T00:00:00"/>
    <s v="Poultry"/>
    <n v="1"/>
    <n v="1"/>
    <n v="72.5"/>
    <s v="TURKEY BRST SMKD SKLS PREM"/>
    <x v="79"/>
    <x v="2"/>
    <n v="72.5"/>
    <n v="32.885446825000002"/>
    <n v="2.5710000000000002"/>
    <n v="84.548483787075014"/>
  </r>
  <r>
    <d v="2018-12-03T00:00:00"/>
    <s v="Poultry"/>
    <n v="1"/>
    <n v="1"/>
    <n v="124.53"/>
    <s v="TURKEY BRST FRCH CUT RTC"/>
    <x v="79"/>
    <x v="2"/>
    <n v="124.53"/>
    <n v="56.485857836100003"/>
    <n v="2.5710000000000002"/>
    <n v="145.22514049661311"/>
  </r>
  <r>
    <d v="2018-12-03T00:00:00"/>
    <s v="Poultry"/>
    <n v="4"/>
    <n v="160"/>
    <n v="6.25E-2"/>
    <s v="TURKEY SAUSAGE LINK RAW"/>
    <x v="79"/>
    <x v="2"/>
    <n v="40"/>
    <n v="18.143694800000002"/>
    <n v="2.5710000000000002"/>
    <n v="46.647439330800012"/>
  </r>
  <r>
    <d v="2018-12-03T00:00:00"/>
    <s v="Poultry"/>
    <n v="4"/>
    <n v="2"/>
    <n v="6"/>
    <s v="BACON TURKEY LAYFLT"/>
    <x v="79"/>
    <x v="2"/>
    <n v="48"/>
    <n v="21.772433760000002"/>
    <n v="2.5710000000000002"/>
    <n v="55.976927196960006"/>
  </r>
  <r>
    <d v="2018-12-05T00:00:00"/>
    <s v="Poultry"/>
    <n v="3"/>
    <n v="160"/>
    <n v="6.25E-2"/>
    <s v="TURKEY SAUSAGE LINK RAW"/>
    <x v="79"/>
    <x v="2"/>
    <n v="30"/>
    <n v="13.607771100000001"/>
    <n v="2.5710000000000002"/>
    <n v="34.985579498100002"/>
  </r>
  <r>
    <d v="2018-11-30T00:00:00"/>
    <s v="Seafood"/>
    <n v="6"/>
    <n v="1"/>
    <n v="10"/>
    <s v="POLLOCK FLT IQF 4-6OZ CHN"/>
    <x v="80"/>
    <x v="2"/>
    <n v="60"/>
    <n v="27.215542200000002"/>
    <n v="3.0209999999999999"/>
    <n v="82.218152986199996"/>
  </r>
  <r>
    <d v="2018-11-30T00:00:00"/>
    <s v="Seafood"/>
    <n v="8"/>
    <n v="1"/>
    <n v="10"/>
    <s v="COD LOIN 4OZ IQF MSC"/>
    <x v="80"/>
    <x v="2"/>
    <n v="80"/>
    <n v="36.287389600000004"/>
    <n v="3.0209999999999999"/>
    <n v="109.6242039816"/>
  </r>
  <r>
    <d v="2018-12-03T00:00:00"/>
    <s v="Seafood"/>
    <n v="10"/>
    <n v="1"/>
    <n v="10"/>
    <s v="POLLOCK FLT IQF 4-6OZ CHN"/>
    <x v="80"/>
    <x v="2"/>
    <n v="100"/>
    <n v="45.359237"/>
    <n v="3.0209999999999999"/>
    <n v="137.030254977"/>
  </r>
  <r>
    <d v="2018-12-03T00:00:00"/>
    <s v="Seafood"/>
    <n v="5"/>
    <n v="1"/>
    <n v="10"/>
    <s v="COD LOIN 4OZ IQF MSC"/>
    <x v="80"/>
    <x v="2"/>
    <n v="50"/>
    <n v="22.6796185"/>
    <n v="3.0209999999999999"/>
    <n v="68.515127488499999"/>
  </r>
  <r>
    <d v="2018-12-03T00:00:00"/>
    <s v="Seafood"/>
    <n v="4"/>
    <n v="1"/>
    <n v="15"/>
    <s v="PANGASIUS FILLET IQF 3-0.3125"/>
    <x v="80"/>
    <x v="2"/>
    <n v="60"/>
    <n v="27.215542200000002"/>
    <n v="3.0209999999999999"/>
    <n v="82.218152986199996"/>
  </r>
  <r>
    <d v="2018-12-05T00:00:00"/>
    <s v="Seafood"/>
    <n v="1"/>
    <n v="1"/>
    <n v="10"/>
    <s v="POLLOCK FLT IQF 4-6OZ CHN"/>
    <x v="80"/>
    <x v="2"/>
    <n v="10"/>
    <n v="4.5359237000000006"/>
    <n v="3.0209999999999999"/>
    <n v="13.703025497700001"/>
  </r>
  <r>
    <d v="2018-12-05T00:00:00"/>
    <s v="Seafood"/>
    <n v="8"/>
    <n v="1"/>
    <n v="15"/>
    <s v="PANGASIUS FILLET IQF 3-0.3125"/>
    <x v="80"/>
    <x v="2"/>
    <n v="120"/>
    <n v="54.431084400000003"/>
    <n v="3.0209999999999999"/>
    <n v="164.4363059723999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40">
  <r>
    <d v="2019-01-18T00:00:00"/>
    <s v="Canned and dry goods"/>
    <n v="1"/>
    <n v="12"/>
    <n v="1"/>
    <s v="BARLEY PEARLED"/>
    <x v="0"/>
    <x v="0"/>
    <n v="12"/>
    <n v="5.4431084400000005"/>
    <n v="0.39300000000000002"/>
    <n v="2.1391416169200004"/>
  </r>
  <r>
    <d v="2019-01-21T00:00:00"/>
    <s v="Canned and dry goods"/>
    <n v="1"/>
    <n v="12"/>
    <n v="1"/>
    <s v="BARLEY PEARLED"/>
    <x v="0"/>
    <x v="0"/>
    <n v="12"/>
    <n v="5.4431084400000005"/>
    <n v="0.39300000000000002"/>
    <n v="2.1391416169200004"/>
  </r>
  <r>
    <d v="2019-01-18T00:00:00"/>
    <s v="Canned and dry goods"/>
    <n v="1"/>
    <n v="6"/>
    <n v="10"/>
    <s v="BEAN BAKED VEGETARIAN RED SOD"/>
    <x v="1"/>
    <x v="0"/>
    <n v="60"/>
    <n v="27.215542200000002"/>
    <n v="0.308"/>
    <n v="8.3823869976000012"/>
  </r>
  <r>
    <d v="2019-01-18T00:00:00"/>
    <s v="Canned and dry goods"/>
    <n v="3"/>
    <n v="6"/>
    <n v="10"/>
    <s v="BEAN BLACK LOW SODIUM"/>
    <x v="2"/>
    <x v="0"/>
    <n v="180"/>
    <n v="81.646626600000005"/>
    <n v="0.308"/>
    <n v="25.1471609928"/>
  </r>
  <r>
    <d v="2019-01-18T00:00:00"/>
    <s v="Canned and dry goods"/>
    <n v="1"/>
    <n v="1"/>
    <n v="20"/>
    <s v="BEAN BLACK TURTLE DRIED WASH"/>
    <x v="2"/>
    <x v="0"/>
    <n v="20"/>
    <n v="9.0718474000000011"/>
    <n v="0.308"/>
    <n v="2.7941289992000002"/>
  </r>
  <r>
    <d v="2019-01-18T00:00:00"/>
    <s v="Canned and dry goods"/>
    <n v="1"/>
    <n v="1"/>
    <n v="20"/>
    <s v="BEAN GREAT NORTHERN DRIED"/>
    <x v="3"/>
    <x v="0"/>
    <n v="20"/>
    <n v="9.0718474000000011"/>
    <n v="0.308"/>
    <n v="2.7941289992000002"/>
  </r>
  <r>
    <d v="2019-01-21T00:00:00"/>
    <s v="Canned and dry goods"/>
    <n v="1"/>
    <n v="1"/>
    <n v="20"/>
    <s v="BEAN GREAT NORTHERN DRIED"/>
    <x v="3"/>
    <x v="0"/>
    <n v="20"/>
    <n v="9.0718474000000011"/>
    <n v="0.308"/>
    <n v="2.7941289992000002"/>
  </r>
  <r>
    <d v="2019-01-18T00:00:00"/>
    <s v="Canned and dry goods"/>
    <n v="1"/>
    <n v="1"/>
    <n v="20"/>
    <s v="BEAN KIDNEY LIGHT RED DRIED"/>
    <x v="4"/>
    <x v="0"/>
    <n v="20"/>
    <n v="9.0718474000000011"/>
    <n v="0.308"/>
    <n v="2.7941289992000002"/>
  </r>
  <r>
    <d v="2019-01-23T00:00:00"/>
    <s v="Canned and dry goods"/>
    <n v="1"/>
    <n v="1"/>
    <n v="20"/>
    <s v="BEAN KIDNEY LIGHT RED DRIED"/>
    <x v="4"/>
    <x v="0"/>
    <n v="20"/>
    <n v="9.0718474000000011"/>
    <n v="0.308"/>
    <n v="2.7941289992000002"/>
  </r>
  <r>
    <d v="2019-01-18T00:00:00"/>
    <s v="Canned and dry goods"/>
    <n v="1"/>
    <n v="1"/>
    <n v="20"/>
    <s v="BEAN PINTO DRIED MULTI-CLEAN"/>
    <x v="5"/>
    <x v="0"/>
    <n v="20"/>
    <n v="9.0718474000000011"/>
    <n v="0.308"/>
    <n v="2.7941289992000002"/>
  </r>
  <r>
    <d v="2019-01-21T00:00:00"/>
    <s v="Canned and dry goods"/>
    <n v="1"/>
    <n v="6"/>
    <n v="10"/>
    <s v="BEAN BLACK LOW SODIUM"/>
    <x v="6"/>
    <x v="0"/>
    <n v="60"/>
    <n v="27.215542200000002"/>
    <n v="0.308"/>
    <n v="8.3823869976000012"/>
  </r>
  <r>
    <d v="2019-01-18T00:00:00"/>
    <s v="Canned and dry goods"/>
    <n v="1"/>
    <n v="6"/>
    <n v="0.125"/>
    <s v="CAPER SPANISH NONPAREIL"/>
    <x v="7"/>
    <x v="0"/>
    <n v="0.75"/>
    <n v="0.34019427750000003"/>
    <n v="0.48199999999999998"/>
    <n v="0.16397364175500001"/>
  </r>
  <r>
    <d v="2019-01-18T00:00:00"/>
    <s v="Canned and dry goods"/>
    <n v="2"/>
    <n v="4"/>
    <n v="2.5"/>
    <s v="CEREAL FROSTED FLAKES"/>
    <x v="8"/>
    <x v="0"/>
    <n v="20"/>
    <n v="9.0718474000000011"/>
    <n v="1.61"/>
    <n v="14.605674314000003"/>
  </r>
  <r>
    <d v="2019-01-18T00:00:00"/>
    <s v="Canned and dry goods"/>
    <n v="1"/>
    <n v="4"/>
    <n v="2.1875"/>
    <s v="CEREAL LUCKY CHARMS GLUTN FR"/>
    <x v="8"/>
    <x v="0"/>
    <n v="8.75"/>
    <n v="3.9689332375000004"/>
    <n v="1.61"/>
    <n v="6.3899825123750009"/>
  </r>
  <r>
    <d v="2019-01-18T00:00:00"/>
    <s v="Canned and dry goods"/>
    <n v="2"/>
    <n v="4"/>
    <n v="2.8125"/>
    <s v="CEREAL CINN TST CRUN BULKPAK"/>
    <x v="8"/>
    <x v="0"/>
    <n v="22.5"/>
    <n v="10.205828325000001"/>
    <n v="1.61"/>
    <n v="16.431383603250001"/>
  </r>
  <r>
    <d v="2019-01-18T00:00:00"/>
    <s v="Canned and dry goods"/>
    <n v="1"/>
    <n v="12"/>
    <n v="2.9375"/>
    <s v="CEREAL HOT OAT KETTLE HEARTY"/>
    <x v="8"/>
    <x v="0"/>
    <n v="35.25"/>
    <n v="15.989131042500002"/>
    <n v="1.61"/>
    <n v="25.742500978425007"/>
  </r>
  <r>
    <d v="2019-01-18T00:00:00"/>
    <s v="Canned and dry goods"/>
    <n v="2"/>
    <n v="4"/>
    <n v="3.125"/>
    <s v="CEREAL GRANOLA OATSN HNY BLKPK"/>
    <x v="8"/>
    <x v="0"/>
    <n v="25"/>
    <n v="11.33980925"/>
    <n v="1.61"/>
    <n v="18.257092892500001"/>
  </r>
  <r>
    <d v="2019-01-21T00:00:00"/>
    <s v="Canned and dry goods"/>
    <n v="2"/>
    <n v="4"/>
    <n v="1.8125"/>
    <s v="CEREAL CHEERIO GLUTEN FR"/>
    <x v="8"/>
    <x v="0"/>
    <n v="14.5"/>
    <n v="6.577089365"/>
    <n v="1.61"/>
    <n v="10.58911387765"/>
  </r>
  <r>
    <d v="2019-01-21T00:00:00"/>
    <s v="Canned and dry goods"/>
    <n v="3"/>
    <n v="4"/>
    <n v="2.5"/>
    <s v="CEREAL FROSTED FLAKES"/>
    <x v="8"/>
    <x v="0"/>
    <n v="30"/>
    <n v="13.607771100000001"/>
    <n v="1.61"/>
    <n v="21.908511471000004"/>
  </r>
  <r>
    <d v="2019-01-21T00:00:00"/>
    <s v="Canned and dry goods"/>
    <n v="2"/>
    <n v="4"/>
    <n v="2.1875"/>
    <s v="CEREAL LUCKY CHARMS GLUTN FR"/>
    <x v="8"/>
    <x v="0"/>
    <n v="17.5"/>
    <n v="7.9378664750000008"/>
    <n v="1.61"/>
    <n v="12.779965024750002"/>
  </r>
  <r>
    <d v="2019-01-21T00:00:00"/>
    <s v="Canned and dry goods"/>
    <n v="2"/>
    <n v="4"/>
    <n v="2.1875"/>
    <s v="CEREAL COCOA PUFFS BULKPAK"/>
    <x v="8"/>
    <x v="0"/>
    <n v="17.5"/>
    <n v="7.9378664750000008"/>
    <n v="1.61"/>
    <n v="12.779965024750002"/>
  </r>
  <r>
    <d v="2019-01-21T00:00:00"/>
    <s v="Canned and dry goods"/>
    <n v="1"/>
    <n v="4"/>
    <n v="3.125"/>
    <s v="CEREAL GRANOLA OATSN HNY BLKPK"/>
    <x v="8"/>
    <x v="0"/>
    <n v="12.5"/>
    <n v="5.669904625"/>
    <n v="1.61"/>
    <n v="9.1285464462500006"/>
  </r>
  <r>
    <d v="2019-01-23T00:00:00"/>
    <s v="Canned and dry goods"/>
    <n v="1"/>
    <n v="4"/>
    <n v="2.5"/>
    <s v="CEREAL FROSTED FLAKES"/>
    <x v="8"/>
    <x v="0"/>
    <n v="10"/>
    <n v="4.5359237000000006"/>
    <n v="1.61"/>
    <n v="7.3028371570000017"/>
  </r>
  <r>
    <d v="2019-01-23T00:00:00"/>
    <s v="Canned and dry goods"/>
    <n v="2"/>
    <n v="4"/>
    <n v="2.8125"/>
    <s v="CEREAL CINN TST CRUN BULKPAK"/>
    <x v="8"/>
    <x v="0"/>
    <n v="22.5"/>
    <n v="10.205828325000001"/>
    <n v="1.61"/>
    <n v="16.431383603250001"/>
  </r>
  <r>
    <d v="2019-01-23T00:00:00"/>
    <s v="Canned and dry goods"/>
    <n v="1"/>
    <n v="4"/>
    <n v="3.125"/>
    <s v="CEREAL GRANOLA OATSN HNY BLKPK"/>
    <x v="8"/>
    <x v="0"/>
    <n v="12.5"/>
    <n v="5.669904625"/>
    <n v="1.61"/>
    <n v="9.1285464462500006"/>
  </r>
  <r>
    <d v="2019-01-18T00:00:00"/>
    <s v="Canned and dry goods"/>
    <n v="3"/>
    <n v="6"/>
    <n v="10"/>
    <s v="BEAN GARBANZO LOW SODIUM"/>
    <x v="9"/>
    <x v="0"/>
    <n v="180"/>
    <n v="81.646626600000005"/>
    <n v="0.49099999999999999"/>
    <n v="40.088493660600001"/>
  </r>
  <r>
    <d v="2019-01-21T00:00:00"/>
    <s v="Canned and dry goods"/>
    <n v="3"/>
    <n v="6"/>
    <n v="10"/>
    <s v="BEAN GARBANZO LOW SODIUM"/>
    <x v="9"/>
    <x v="0"/>
    <n v="180"/>
    <n v="81.646626600000005"/>
    <n v="0.49099999999999999"/>
    <n v="40.088493660600001"/>
  </r>
  <r>
    <d v="2019-01-23T00:00:00"/>
    <s v="Canned and dry goods"/>
    <n v="3"/>
    <n v="6"/>
    <n v="10"/>
    <s v="BEAN GARBANZO LOW SODIUM"/>
    <x v="9"/>
    <x v="0"/>
    <n v="180"/>
    <n v="81.646626600000005"/>
    <n v="0.49099999999999999"/>
    <n v="40.088493660600001"/>
  </r>
  <r>
    <d v="2019-01-18T00:00:00"/>
    <s v="Canned and dry goods"/>
    <n v="1"/>
    <n v="6"/>
    <s v="50 CT"/>
    <s v="COCOA MIX INDIV"/>
    <x v="10"/>
    <x v="0"/>
    <n v="0"/>
    <n v="0"/>
    <n v="33.646999999999998"/>
    <n v="0"/>
  </r>
  <r>
    <d v="2019-01-18T00:00:00"/>
    <s v="Canned and dry goods"/>
    <n v="1"/>
    <n v="12"/>
    <n v="1.5625"/>
    <s v="SAUCE CHILI SWEET THAI"/>
    <x v="11"/>
    <x v="0"/>
    <n v="18.75"/>
    <n v="8.5048569375000014"/>
    <n v="3.33"/>
    <n v="28.321173601875007"/>
  </r>
  <r>
    <d v="2019-01-18T00:00:00"/>
    <s v="Canned and dry goods"/>
    <n v="1"/>
    <n v="4"/>
    <n v="8.35"/>
    <s v="SAUCE SOY LESS SODIUM"/>
    <x v="11"/>
    <x v="0"/>
    <n v="33.4"/>
    <n v="15.149985158"/>
    <n v="3.33"/>
    <n v="50.449450576140002"/>
  </r>
  <r>
    <d v="2019-01-18T00:00:00"/>
    <s v="Canned and dry goods"/>
    <n v="1"/>
    <n v="12"/>
    <n v="1.0625"/>
    <s v="SAUCE CHILI SRIRACHA"/>
    <x v="11"/>
    <x v="0"/>
    <n v="12.75"/>
    <n v="5.7833027175000007"/>
    <n v="3.33"/>
    <n v="19.258398049275002"/>
  </r>
  <r>
    <d v="2019-01-18T00:00:00"/>
    <s v="Canned and dry goods"/>
    <n v="1"/>
    <n v="6"/>
    <n v="7.125"/>
    <s v="KETCHUP POUCH-PK FCY (= 6/10)"/>
    <x v="11"/>
    <x v="0"/>
    <n v="42.75"/>
    <n v="19.391073817500001"/>
    <n v="3.33"/>
    <n v="64.572275812275009"/>
  </r>
  <r>
    <d v="2019-01-19T00:00:00"/>
    <s v="Canned and dry goods"/>
    <n v="1"/>
    <n v="24"/>
    <n v="0.3125"/>
    <s v="SAUCE PEPPER CAYENNE RED HOT"/>
    <x v="11"/>
    <x v="0"/>
    <n v="7.5"/>
    <n v="3.4019427750000002"/>
    <n v="3.33"/>
    <n v="11.32846944075"/>
  </r>
  <r>
    <d v="2019-01-19T00:00:00"/>
    <s v="Canned and dry goods"/>
    <n v="1"/>
    <n v="12"/>
    <n v="1.5625"/>
    <s v="SAUCE CHILI SWEET THAI"/>
    <x v="11"/>
    <x v="0"/>
    <n v="18.75"/>
    <n v="8.5048569375000014"/>
    <n v="3.33"/>
    <n v="28.321173601875007"/>
  </r>
  <r>
    <d v="2019-01-21T00:00:00"/>
    <s v="Canned and dry goods"/>
    <n v="1"/>
    <n v="6"/>
    <n v="4.1887800000000004"/>
    <s v="SAUCE SOY GLUTEN FREE"/>
    <x v="11"/>
    <x v="0"/>
    <n v="25.132680000000001"/>
    <n v="11.399991885651602"/>
    <n v="3.33"/>
    <n v="37.961972979219837"/>
  </r>
  <r>
    <d v="2019-01-21T00:00:00"/>
    <s v="Canned and dry goods"/>
    <n v="2"/>
    <n v="6"/>
    <n v="7.125"/>
    <s v="KETCHUP POUCH-PK FCY (= 6/10)"/>
    <x v="11"/>
    <x v="0"/>
    <n v="85.5"/>
    <n v="38.782147635000001"/>
    <n v="3.33"/>
    <n v="129.14455162455002"/>
  </r>
  <r>
    <d v="2019-01-21T00:00:00"/>
    <s v="Canned and dry goods"/>
    <n v="1"/>
    <n v="24"/>
    <n v="0.375"/>
    <s v="SAUCE HOT"/>
    <x v="11"/>
    <x v="0"/>
    <n v="9"/>
    <n v="4.0823313299999997"/>
    <n v="3.33"/>
    <n v="13.594163328899999"/>
  </r>
  <r>
    <d v="2019-01-23T00:00:00"/>
    <s v="Canned and dry goods"/>
    <n v="2"/>
    <n v="4"/>
    <n v="7.79"/>
    <s v="MAYONNAISE REAL"/>
    <x v="12"/>
    <x v="1"/>
    <n v="62.32"/>
    <n v="28.2678764984"/>
    <n v="3.33"/>
    <n v="94.132028739671995"/>
  </r>
  <r>
    <d v="2019-01-23T00:00:00"/>
    <s v="Canned and dry goods"/>
    <n v="2"/>
    <n v="6"/>
    <n v="7.125"/>
    <s v="KETCHUP POUCH-PK FCY (= 6/10)"/>
    <x v="11"/>
    <x v="0"/>
    <n v="85.5"/>
    <n v="38.782147635000001"/>
    <n v="3.33"/>
    <n v="129.14455162455002"/>
  </r>
  <r>
    <d v="2019-01-21T00:00:00"/>
    <s v="Canned and dry goods"/>
    <n v="1"/>
    <n v="4"/>
    <n v="2.5"/>
    <s v="COOKIE CRUMB OREO MED CRUNCH"/>
    <x v="13"/>
    <x v="0"/>
    <n v="10"/>
    <n v="4.5359237000000006"/>
    <n v="2.21"/>
    <n v="10.024391377000001"/>
  </r>
  <r>
    <d v="2019-01-23T00:00:00"/>
    <s v="Canned and dry goods"/>
    <n v="1"/>
    <n v="24"/>
    <n v="1"/>
    <s v="CORN STARCH"/>
    <x v="14"/>
    <x v="0"/>
    <n v="24"/>
    <n v="10.886216880000001"/>
    <n v="0.76"/>
    <n v="8.2735248288000012"/>
  </r>
  <r>
    <d v="2019-01-18T00:00:00"/>
    <s v="Canned and dry goods"/>
    <n v="2"/>
    <n v="1"/>
    <n v="10"/>
    <s v="COUSCOUS INTL"/>
    <x v="15"/>
    <x v="0"/>
    <n v="20"/>
    <n v="9.0718474000000011"/>
    <n v="0.34699999999999998"/>
    <n v="3.1479310478000002"/>
  </r>
  <r>
    <d v="2019-01-21T00:00:00"/>
    <s v="Canned and dry goods"/>
    <n v="1"/>
    <n v="6"/>
    <n v="1.5"/>
    <s v="COUSCOUS INTL ISRAELI"/>
    <x v="15"/>
    <x v="0"/>
    <n v="9"/>
    <n v="4.0823313299999997"/>
    <n v="0.34699999999999998"/>
    <n v="1.4165689715099998"/>
  </r>
  <r>
    <d v="2019-01-21T00:00:00"/>
    <s v="Canned and dry goods"/>
    <n v="2"/>
    <n v="1"/>
    <n v="10"/>
    <s v="COUSCOUS INTL"/>
    <x v="15"/>
    <x v="0"/>
    <n v="20"/>
    <n v="9.0718474000000011"/>
    <n v="0.34699999999999998"/>
    <n v="3.1479310478000002"/>
  </r>
  <r>
    <d v="2019-01-21T00:00:00"/>
    <s v="Canned and dry goods"/>
    <n v="1"/>
    <n v="6"/>
    <n v="1.9375"/>
    <s v="CRACKER GOLDFISH WHL GRAIN"/>
    <x v="16"/>
    <x v="0"/>
    <n v="11.625"/>
    <n v="5.2730113012500004"/>
    <n v="2.5299999999999998"/>
    <n v="13.340718592162499"/>
  </r>
  <r>
    <d v="2019-01-23T00:00:00"/>
    <s v="Canned and dry goods"/>
    <n v="1"/>
    <n v="150"/>
    <n v="3.125E-2"/>
    <s v="CRACKER OYSTER DOTS"/>
    <x v="17"/>
    <x v="0"/>
    <n v="4.6875"/>
    <n v="2.1262142343750003"/>
    <n v="2.5299999999999998"/>
    <n v="5.3793220129687507"/>
  </r>
  <r>
    <d v="2019-01-23T00:00:00"/>
    <s v="Canned and dry goods"/>
    <n v="1"/>
    <n v="500"/>
    <s v="2pk"/>
    <s v="CRACKER SALTINE ZESTA"/>
    <x v="18"/>
    <x v="0"/>
    <n v="0"/>
    <n v="0"/>
    <n v="2.5299999999999998"/>
    <n v="0"/>
  </r>
  <r>
    <d v="2019-01-18T00:00:00"/>
    <s v="Canned and dry goods"/>
    <n v="1"/>
    <n v="1"/>
    <n v="10"/>
    <s v="CRANBERRY DRIED CRAISINS"/>
    <x v="19"/>
    <x v="0"/>
    <n v="10"/>
    <n v="4.5359237000000006"/>
    <n v="3.8250000000000002"/>
    <n v="17.349908152500003"/>
  </r>
  <r>
    <d v="2019-01-18T00:00:00"/>
    <s v="Canned and dry goods"/>
    <n v="2"/>
    <n v="6"/>
    <n v="2"/>
    <s v="EXTRACT VANILLA IMIT"/>
    <x v="20"/>
    <x v="0"/>
    <n v="24"/>
    <n v="10.886216880000001"/>
    <m/>
    <n v="0"/>
  </r>
  <r>
    <d v="2019-01-18T00:00:00"/>
    <s v="Canned and dry goods"/>
    <n v="4"/>
    <n v="1"/>
    <n v="50"/>
    <s v="FLOUR HI-GLUTEN ALL TRUMP"/>
    <x v="21"/>
    <x v="0"/>
    <n v="200"/>
    <n v="90.718474000000001"/>
    <n v="0.35799999999999998"/>
    <n v="32.477213691999999"/>
  </r>
  <r>
    <d v="2019-01-21T00:00:00"/>
    <s v="Canned and dry goods"/>
    <n v="3"/>
    <n v="1"/>
    <n v="50"/>
    <s v="FLOUR HI-GLUTEN ALL TRUMP"/>
    <x v="21"/>
    <x v="0"/>
    <n v="150"/>
    <n v="68.038855500000011"/>
    <n v="0.35799999999999998"/>
    <n v="24.357910269000001"/>
  </r>
  <r>
    <d v="2019-01-23T00:00:00"/>
    <s v="Canned and dry goods"/>
    <n v="2"/>
    <n v="1"/>
    <n v="50"/>
    <s v="FLOUR HI-GLUTEN ALL TRUMP"/>
    <x v="21"/>
    <x v="0"/>
    <n v="100"/>
    <n v="45.359237"/>
    <n v="0.35799999999999998"/>
    <n v="16.238606846"/>
  </r>
  <r>
    <d v="2019-01-23T00:00:00"/>
    <s v="Canned and dry goods"/>
    <n v="1"/>
    <n v="6"/>
    <n v="5"/>
    <s v="HONEY LIGHT AMBER"/>
    <x v="22"/>
    <x v="0"/>
    <n v="30"/>
    <n v="13.607771100000001"/>
    <n v="2.44"/>
    <n v="33.202961483999999"/>
  </r>
  <r>
    <d v="2019-01-23T00:00:00"/>
    <s v="Canned and dry goods"/>
    <n v="1"/>
    <n v="6"/>
    <n v="4"/>
    <s v="JELLY GRAPE"/>
    <x v="23"/>
    <x v="0"/>
    <n v="24"/>
    <n v="10.886216880000001"/>
    <n v="3.1"/>
    <n v="33.747272328000001"/>
  </r>
  <r>
    <d v="2019-01-19T00:00:00"/>
    <s v="Canned and dry goods"/>
    <n v="1"/>
    <n v="6"/>
    <n v="4"/>
    <s v="JELLY GRAPE"/>
    <x v="24"/>
    <x v="0"/>
    <n v="24"/>
    <n v="10.886216880000001"/>
    <n v="3.1"/>
    <n v="33.747272328000001"/>
  </r>
  <r>
    <d v="2019-01-18T00:00:00"/>
    <s v="Canned and dry goods"/>
    <n v="4"/>
    <n v="6"/>
    <n v="7.125"/>
    <s v="KETCHUP POUCH-PK FCY (= 6/10)"/>
    <x v="25"/>
    <x v="0"/>
    <n v="171"/>
    <n v="77.564295270000002"/>
    <n v="3.2"/>
    <n v="248.20574486400002"/>
  </r>
  <r>
    <d v="2019-01-18T00:00:00"/>
    <s v="Canned and dry goods"/>
    <n v="1"/>
    <n v="1"/>
    <n v="20"/>
    <s v="BEAN LENTIL DRIED"/>
    <x v="26"/>
    <x v="0"/>
    <n v="20"/>
    <n v="9.0718474000000011"/>
    <n v="1.88"/>
    <n v="17.055073112000002"/>
  </r>
  <r>
    <d v="2019-01-18T00:00:00"/>
    <s v="Canned and dry goods"/>
    <n v="2"/>
    <n v="4"/>
    <n v="7.79"/>
    <s v="MAYONNAISE REAL"/>
    <x v="12"/>
    <x v="1"/>
    <n v="62.32"/>
    <n v="28.2678764984"/>
    <n v="3.2"/>
    <n v="90.457204794879999"/>
  </r>
  <r>
    <d v="2019-01-18T00:00:00"/>
    <s v="Canned and dry goods"/>
    <n v="1"/>
    <n v="4"/>
    <n v="11.89"/>
    <s v="MOLASSES UNSULFURED"/>
    <x v="27"/>
    <x v="0"/>
    <n v="47.56"/>
    <n v="21.572853117200001"/>
    <n v="0.48799999999999999"/>
    <n v="10.5275523211936"/>
  </r>
  <r>
    <d v="2019-01-21T00:00:00"/>
    <s v="Canned and dry goods"/>
    <n v="1"/>
    <n v="4"/>
    <n v="11.89"/>
    <s v="MOLASSES UNSULFURED"/>
    <x v="27"/>
    <x v="0"/>
    <n v="47.56"/>
    <n v="21.572853117200001"/>
    <n v="0.48799999999999999"/>
    <n v="10.5275523211936"/>
  </r>
  <r>
    <d v="2019-01-21T00:00:00"/>
    <s v="Canned and dry goods"/>
    <n v="6"/>
    <n v="6"/>
    <n v="10"/>
    <s v="NOODLE CHOW MEIN"/>
    <x v="28"/>
    <x v="0"/>
    <n v="360"/>
    <n v="163.29325320000001"/>
    <n v="5.99"/>
    <n v="978.12658666800007"/>
  </r>
  <r>
    <d v="2019-01-21T00:00:00"/>
    <s v="Canned and dry goods"/>
    <n v="3"/>
    <n v="4"/>
    <n v="5"/>
    <s v="NOODLE YAKI SOBA"/>
    <x v="28"/>
    <x v="0"/>
    <n v="60"/>
    <n v="27.215542200000002"/>
    <n v="5.99"/>
    <n v="163.02109777800001"/>
  </r>
  <r>
    <d v="2019-01-18T00:00:00"/>
    <s v="Canned and dry goods"/>
    <n v="8"/>
    <n v="4"/>
    <n v="7.9"/>
    <s v="OIL CANOLA"/>
    <x v="29"/>
    <x v="0"/>
    <n v="252.8"/>
    <n v="114.66815113600002"/>
    <n v="2.6459999999999999"/>
    <n v="303.41192790585603"/>
  </r>
  <r>
    <d v="2019-01-21T00:00:00"/>
    <s v="Canned and dry goods"/>
    <n v="1"/>
    <n v="6"/>
    <n v="10"/>
    <s v="OLIVE RIPE SLICED"/>
    <x v="30"/>
    <x v="0"/>
    <n v="60"/>
    <n v="27.215542200000002"/>
    <n v="0.48199999999999998"/>
    <n v="13.1178913404"/>
  </r>
  <r>
    <d v="2019-01-23T00:00:00"/>
    <s v="Canned and dry goods"/>
    <n v="1"/>
    <n v="6"/>
    <n v="10"/>
    <s v="OLIVE RIPE SLICED"/>
    <x v="30"/>
    <x v="0"/>
    <n v="60"/>
    <n v="27.215542200000002"/>
    <n v="0.48199999999999998"/>
    <n v="13.1178913404"/>
  </r>
  <r>
    <d v="2019-01-18T00:00:00"/>
    <s v="Canned and dry goods"/>
    <n v="2"/>
    <n v="6"/>
    <n v="5"/>
    <s v="MIX PANCAKE BTRMLK COMPLT"/>
    <x v="31"/>
    <x v="0"/>
    <n v="60"/>
    <n v="27.215542200000002"/>
    <m/>
    <n v="0"/>
  </r>
  <r>
    <d v="2019-01-23T00:00:00"/>
    <s v="Canned and dry goods"/>
    <n v="2"/>
    <n v="6"/>
    <n v="5"/>
    <s v="MIX PANCAKE BTRMLK COMPLT"/>
    <x v="31"/>
    <x v="0"/>
    <n v="60"/>
    <n v="27.215542200000002"/>
    <m/>
    <n v="0"/>
  </r>
  <r>
    <d v="2019-01-18T00:00:00"/>
    <s v="Canned and dry goods"/>
    <n v="4"/>
    <n v="2"/>
    <n v="10"/>
    <s v="PASTA FARFALLE"/>
    <x v="32"/>
    <x v="0"/>
    <n v="80"/>
    <n v="36.287389600000004"/>
    <n v="5.99"/>
    <n v="217.36146370400004"/>
  </r>
  <r>
    <d v="2019-01-18T00:00:00"/>
    <s v="Canned and dry goods"/>
    <n v="3"/>
    <n v="2"/>
    <n v="10"/>
    <s v="PASTA MACARONI ELBOW"/>
    <x v="32"/>
    <x v="0"/>
    <n v="60"/>
    <n v="27.215542200000002"/>
    <n v="5.99"/>
    <n v="163.02109777800001"/>
  </r>
  <r>
    <d v="2019-01-18T00:00:00"/>
    <s v="Canned and dry goods"/>
    <n v="3"/>
    <n v="2"/>
    <n v="10"/>
    <s v="PASTA PENNE WHL GRAIN 100%"/>
    <x v="32"/>
    <x v="0"/>
    <n v="60"/>
    <n v="27.215542200000002"/>
    <n v="5.99"/>
    <n v="163.02109777800001"/>
  </r>
  <r>
    <d v="2019-01-18T00:00:00"/>
    <s v="Canned and dry goods"/>
    <n v="2"/>
    <n v="8"/>
    <n v="0.75"/>
    <s v="PASTA PENNE RIGATE GLUTEN FREE"/>
    <x v="32"/>
    <x v="0"/>
    <n v="12"/>
    <n v="5.4431084400000005"/>
    <n v="5.99"/>
    <n v="32.604219555600004"/>
  </r>
  <r>
    <d v="2019-01-21T00:00:00"/>
    <s v="Canned and dry goods"/>
    <n v="3"/>
    <n v="2"/>
    <n v="10"/>
    <s v="PASTA ZITI"/>
    <x v="32"/>
    <x v="0"/>
    <n v="60"/>
    <n v="27.215542200000002"/>
    <n v="5.99"/>
    <n v="163.02109777800001"/>
  </r>
  <r>
    <d v="2019-01-21T00:00:00"/>
    <s v="Canned and dry goods"/>
    <n v="2"/>
    <n v="2"/>
    <n v="10"/>
    <s v="PASTA SPAGHETTI"/>
    <x v="32"/>
    <x v="0"/>
    <n v="40"/>
    <n v="18.143694800000002"/>
    <n v="5.99"/>
    <n v="108.68073185200002"/>
  </r>
  <r>
    <d v="2019-01-21T00:00:00"/>
    <s v="Canned and dry goods"/>
    <n v="4"/>
    <n v="2"/>
    <n v="10"/>
    <s v="PASTA PENNE RIGATE"/>
    <x v="32"/>
    <x v="0"/>
    <n v="80"/>
    <n v="36.287389600000004"/>
    <n v="5.99"/>
    <n v="217.36146370400004"/>
  </r>
  <r>
    <d v="2019-01-21T00:00:00"/>
    <s v="Canned and dry goods"/>
    <n v="3"/>
    <n v="2"/>
    <n v="10"/>
    <s v="PASTA GEMELLI"/>
    <x v="32"/>
    <x v="0"/>
    <n v="60"/>
    <n v="27.215542200000002"/>
    <n v="5.99"/>
    <n v="163.02109777800001"/>
  </r>
  <r>
    <d v="2019-01-21T00:00:00"/>
    <s v="Canned and dry goods"/>
    <n v="4"/>
    <n v="2"/>
    <n v="10"/>
    <s v="PASTA FARFALLE"/>
    <x v="32"/>
    <x v="0"/>
    <n v="80"/>
    <n v="36.287389600000004"/>
    <n v="5.99"/>
    <n v="217.36146370400004"/>
  </r>
  <r>
    <d v="2019-01-21T00:00:00"/>
    <s v="Canned and dry goods"/>
    <n v="4"/>
    <n v="2"/>
    <n v="10"/>
    <s v="PASTA MACARONI ELBOW"/>
    <x v="32"/>
    <x v="0"/>
    <n v="80"/>
    <n v="36.287389600000004"/>
    <n v="5.99"/>
    <n v="217.36146370400004"/>
  </r>
  <r>
    <d v="2019-01-23T00:00:00"/>
    <s v="Canned and dry goods"/>
    <n v="1"/>
    <n v="2"/>
    <n v="5"/>
    <s v="SUNFLOWER SEED SPREAD CREAMY"/>
    <x v="33"/>
    <x v="0"/>
    <n v="10"/>
    <n v="4.5359237000000006"/>
    <n v="1.1319999999999999"/>
    <n v="5.1346656284000005"/>
  </r>
  <r>
    <d v="2019-01-21T00:00:00"/>
    <s v="Canned and dry goods"/>
    <n v="1"/>
    <n v="4"/>
    <n v="4.54"/>
    <s v="PEPPER BANANA RINGS"/>
    <x v="34"/>
    <x v="0"/>
    <n v="18.16"/>
    <n v="8.2372374392000012"/>
    <n v="0.79900000000000004"/>
    <n v="6.581552713920801"/>
  </r>
  <r>
    <d v="2019-01-21T00:00:00"/>
    <s v="Canned and dry goods"/>
    <n v="1"/>
    <n v="3"/>
    <n v="5"/>
    <s v="SPICE PEPPER BLK SHAKER GRND"/>
    <x v="35"/>
    <x v="0"/>
    <n v="15"/>
    <n v="6.8038855500000004"/>
    <n v="0.87"/>
    <n v="5.9193804285000002"/>
  </r>
  <r>
    <d v="2019-01-21T00:00:00"/>
    <s v="Canned and dry goods"/>
    <n v="1"/>
    <n v="4"/>
    <n v="8.35"/>
    <s v="PEPPER JALAPENO NACHO SLI"/>
    <x v="34"/>
    <x v="0"/>
    <n v="33.4"/>
    <n v="15.149985158"/>
    <n v="0.79900000000000004"/>
    <n v="12.104838141242"/>
  </r>
  <r>
    <d v="2019-01-18T00:00:00"/>
    <s v="Canned and dry goods"/>
    <n v="2"/>
    <n v="6"/>
    <n v="2"/>
    <s v="QUINOA GRAIN WHT"/>
    <x v="36"/>
    <x v="0"/>
    <n v="24"/>
    <n v="10.886216880000001"/>
    <n v="0.34699999999999998"/>
    <n v="3.77751725736"/>
  </r>
  <r>
    <d v="2019-01-21T00:00:00"/>
    <s v="Canned and dry goods"/>
    <n v="2"/>
    <n v="6"/>
    <n v="2"/>
    <s v="QUINOA GRAIN WHT"/>
    <x v="36"/>
    <x v="0"/>
    <n v="24"/>
    <n v="10.886216880000001"/>
    <n v="0.34699999999999998"/>
    <n v="3.77751725736"/>
  </r>
  <r>
    <d v="2019-01-18T00:00:00"/>
    <s v="Canned and dry goods"/>
    <n v="2"/>
    <n v="1"/>
    <n v="25"/>
    <s v="RICE PARBOILED"/>
    <x v="37"/>
    <x v="0"/>
    <n v="50"/>
    <n v="22.6796185"/>
    <n v="1.5409999999999999"/>
    <n v="34.949292108499996"/>
  </r>
  <r>
    <d v="2019-01-18T00:00:00"/>
    <s v="Canned and dry goods"/>
    <n v="4"/>
    <n v="2"/>
    <n v="5"/>
    <s v="RICE JASMINE"/>
    <x v="37"/>
    <x v="0"/>
    <n v="40"/>
    <n v="18.143694800000002"/>
    <n v="1.5409999999999999"/>
    <n v="27.959433686800001"/>
  </r>
  <r>
    <d v="2019-01-18T00:00:00"/>
    <s v="Canned and dry goods"/>
    <n v="3"/>
    <n v="1"/>
    <n v="25"/>
    <s v="RICE PARBOILED BRN WHLGN LNGRN"/>
    <x v="37"/>
    <x v="0"/>
    <n v="75"/>
    <n v="34.019427750000006"/>
    <n v="1.5409999999999999"/>
    <n v="52.423938162750005"/>
  </r>
  <r>
    <d v="2019-01-18T00:00:00"/>
    <s v="Canned and dry goods"/>
    <n v="2"/>
    <n v="1"/>
    <n v="50"/>
    <s v="RICE CALROSE MED GRN SUSHI"/>
    <x v="37"/>
    <x v="0"/>
    <n v="100"/>
    <n v="45.359237"/>
    <n v="1.5409999999999999"/>
    <n v="69.898584216999993"/>
  </r>
  <r>
    <d v="2019-01-19T00:00:00"/>
    <s v="Canned and dry goods"/>
    <n v="1"/>
    <n v="1"/>
    <n v="25"/>
    <s v="RICE PARBOILED"/>
    <x v="37"/>
    <x v="0"/>
    <n v="25"/>
    <n v="11.33980925"/>
    <n v="1.5409999999999999"/>
    <n v="17.474646054249998"/>
  </r>
  <r>
    <d v="2019-01-19T00:00:00"/>
    <s v="Canned and dry goods"/>
    <n v="2"/>
    <n v="1"/>
    <n v="25"/>
    <s v="RICE PARBOILED BRN WHLGN LNGRN"/>
    <x v="37"/>
    <x v="0"/>
    <n v="50"/>
    <n v="22.6796185"/>
    <n v="1.5409999999999999"/>
    <n v="34.949292108499996"/>
  </r>
  <r>
    <d v="2019-01-21T00:00:00"/>
    <s v="Canned and dry goods"/>
    <n v="3"/>
    <n v="1"/>
    <n v="25"/>
    <s v="RICE PARBOILED"/>
    <x v="37"/>
    <x v="0"/>
    <n v="75"/>
    <n v="34.019427750000006"/>
    <n v="1.5409999999999999"/>
    <n v="52.423938162750005"/>
  </r>
  <r>
    <d v="2019-01-21T00:00:00"/>
    <s v="Canned and dry goods"/>
    <n v="2"/>
    <n v="1"/>
    <n v="25"/>
    <s v="RICE PARBOILED BRN WHLGN LNGRN"/>
    <x v="37"/>
    <x v="0"/>
    <n v="50"/>
    <n v="22.6796185"/>
    <n v="1.5409999999999999"/>
    <n v="34.949292108499996"/>
  </r>
  <r>
    <d v="2019-01-21T00:00:00"/>
    <s v="Canned and dry goods"/>
    <n v="2"/>
    <n v="2"/>
    <n v="5"/>
    <s v="RICE BASMATI"/>
    <x v="37"/>
    <x v="0"/>
    <n v="20"/>
    <n v="9.0718474000000011"/>
    <n v="1.5409999999999999"/>
    <n v="13.9797168434"/>
  </r>
  <r>
    <d v="2019-01-23T00:00:00"/>
    <s v="Canned and dry goods"/>
    <n v="2"/>
    <n v="1"/>
    <n v="25"/>
    <s v="RICE PARBOILED"/>
    <x v="37"/>
    <x v="0"/>
    <n v="50"/>
    <n v="22.6796185"/>
    <n v="1.5409999999999999"/>
    <n v="34.949292108499996"/>
  </r>
  <r>
    <d v="2019-01-23T00:00:00"/>
    <s v="Canned and dry goods"/>
    <n v="3"/>
    <n v="1"/>
    <n v="25"/>
    <s v="RICE PARBOILED BRN WHLGN LNGRN"/>
    <x v="37"/>
    <x v="0"/>
    <n v="75"/>
    <n v="34.019427750000006"/>
    <n v="1.5409999999999999"/>
    <n v="52.423938162750005"/>
  </r>
  <r>
    <d v="2019-01-23T00:00:00"/>
    <s v="Canned and dry goods"/>
    <n v="2"/>
    <n v="2"/>
    <n v="5"/>
    <s v="RICE ARBORIO"/>
    <x v="37"/>
    <x v="0"/>
    <n v="20"/>
    <n v="9.0718474000000011"/>
    <n v="1.5409999999999999"/>
    <n v="13.9797168434"/>
  </r>
  <r>
    <d v="2019-01-18T00:00:00"/>
    <s v="Canned and dry goods"/>
    <n v="3"/>
    <n v="6"/>
    <n v="0.875"/>
    <s v="SPICE CUMIN GRND"/>
    <x v="38"/>
    <x v="0"/>
    <n v="15.75"/>
    <n v="7.1440798275000006"/>
    <n v="0.87"/>
    <n v="6.2153494499250002"/>
  </r>
  <r>
    <d v="2019-01-18T00:00:00"/>
    <s v="Canned and dry goods"/>
    <n v="1"/>
    <n v="3"/>
    <n v="7.25"/>
    <s v="SPICE GARLIC GRANULATED"/>
    <x v="38"/>
    <x v="0"/>
    <n v="21.75"/>
    <n v="9.8656340475000004"/>
    <n v="0.87"/>
    <n v="8.5831016213249995"/>
  </r>
  <r>
    <d v="2019-01-18T00:00:00"/>
    <s v="Canned and dry goods"/>
    <n v="2"/>
    <n v="6"/>
    <n v="1.125"/>
    <s v="SPICE ONION GRANULATED"/>
    <x v="38"/>
    <x v="0"/>
    <n v="13.5"/>
    <n v="6.1234969950000009"/>
    <n v="0.87"/>
    <n v="5.3274423856500004"/>
  </r>
  <r>
    <d v="2019-01-18T00:00:00"/>
    <s v="Canned and dry goods"/>
    <n v="2"/>
    <n v="6"/>
    <n v="1"/>
    <s v="SPICE PAPRIKA XFCY"/>
    <x v="38"/>
    <x v="0"/>
    <n v="12"/>
    <n v="5.4431084400000005"/>
    <n v="0.87"/>
    <n v="4.7355043428000005"/>
  </r>
  <r>
    <d v="2019-01-18T00:00:00"/>
    <s v="Canned and dry goods"/>
    <n v="1"/>
    <n v="3"/>
    <n v="5"/>
    <s v="SPICE PEPPER BLK TABLE GRND"/>
    <x v="38"/>
    <x v="0"/>
    <n v="15"/>
    <n v="6.8038855500000004"/>
    <n v="0.87"/>
    <n v="5.9193804285000002"/>
  </r>
  <r>
    <d v="2019-01-18T00:00:00"/>
    <s v="Canned and dry goods"/>
    <n v="2"/>
    <n v="6"/>
    <n v="0.875"/>
    <s v="SPICE PEPPER CAYENNE GRND"/>
    <x v="38"/>
    <x v="0"/>
    <n v="10.5"/>
    <n v="4.7627198850000001"/>
    <n v="0.87"/>
    <n v="4.1435662999499998"/>
  </r>
  <r>
    <d v="2019-01-21T00:00:00"/>
    <s v="Canned and dry goods"/>
    <n v="1"/>
    <n v="3"/>
    <n v="7.25"/>
    <s v="SPICE GARLIC GRANULATED"/>
    <x v="38"/>
    <x v="0"/>
    <n v="21.75"/>
    <n v="9.8656340475000004"/>
    <n v="0.87"/>
    <n v="8.5831016213249995"/>
  </r>
  <r>
    <d v="2019-01-21T00:00:00"/>
    <s v="Canned and dry goods"/>
    <n v="2"/>
    <n v="6"/>
    <n v="1.125"/>
    <s v="SPICE ONION GRANULATED"/>
    <x v="38"/>
    <x v="0"/>
    <n v="13.5"/>
    <n v="6.1234969950000009"/>
    <n v="0.87"/>
    <n v="5.3274423856500004"/>
  </r>
  <r>
    <d v="2019-01-21T00:00:00"/>
    <s v="Canned and dry goods"/>
    <n v="1"/>
    <n v="6"/>
    <n v="1.125"/>
    <s v="SEASONING CARIBBEAN JERK"/>
    <x v="38"/>
    <x v="0"/>
    <n v="6.75"/>
    <n v="3.0617484975000004"/>
    <n v="0.87"/>
    <n v="2.6637211928250002"/>
  </r>
  <r>
    <d v="2019-01-18T00:00:00"/>
    <s v="Canned and dry goods"/>
    <n v="1"/>
    <n v="12"/>
    <n v="3"/>
    <s v="SALT KOSHER FLAKE COARSE"/>
    <x v="39"/>
    <x v="0"/>
    <n v="36"/>
    <n v="16.329325319999999"/>
    <n v="0.87"/>
    <n v="14.206513028399998"/>
  </r>
  <r>
    <d v="2019-01-23T00:00:00"/>
    <s v="Canned and dry goods"/>
    <n v="2"/>
    <n v="12"/>
    <n v="3"/>
    <s v="SALT KOSHER FLAKE COARSE"/>
    <x v="39"/>
    <x v="0"/>
    <n v="72"/>
    <n v="32.658650639999998"/>
    <n v="0.87"/>
    <n v="28.413026056799996"/>
  </r>
  <r>
    <d v="2019-01-18T00:00:00"/>
    <s v="Canned and dry goods"/>
    <n v="1"/>
    <n v="1"/>
    <n v="50"/>
    <s v="SUGAR BROWN LIGHT CANE"/>
    <x v="40"/>
    <x v="0"/>
    <n v="50"/>
    <n v="22.6796185"/>
    <n v="0.7"/>
    <n v="15.87573295"/>
  </r>
  <r>
    <d v="2019-01-18T00:00:00"/>
    <s v="Canned and dry goods"/>
    <n v="1"/>
    <n v="1"/>
    <n v="50"/>
    <s v="SUGAR GRANULATED XFN"/>
    <x v="40"/>
    <x v="0"/>
    <n v="50"/>
    <n v="22.6796185"/>
    <n v="0.7"/>
    <n v="15.87573295"/>
  </r>
  <r>
    <d v="2019-01-18T00:00:00"/>
    <s v="Canned and dry goods"/>
    <n v="1"/>
    <n v="12"/>
    <n v="2"/>
    <s v="SUGAR CONFECTIONER 10X CANE"/>
    <x v="40"/>
    <x v="0"/>
    <n v="24"/>
    <n v="10.886216880000001"/>
    <n v="0.7"/>
    <n v="7.6203518160000003"/>
  </r>
  <r>
    <d v="2019-01-21T00:00:00"/>
    <s v="Canned and dry goods"/>
    <n v="1"/>
    <n v="1"/>
    <n v="50"/>
    <s v="SUGAR GRANULATED XFN"/>
    <x v="40"/>
    <x v="0"/>
    <n v="50"/>
    <n v="22.6796185"/>
    <n v="0.7"/>
    <n v="15.87573295"/>
  </r>
  <r>
    <d v="2019-01-18T00:00:00"/>
    <s v="Canned and dry goods"/>
    <n v="2"/>
    <n v="2"/>
    <n v="5"/>
    <s v="SUNFLOWER SEED SPREAD CREAMY"/>
    <x v="41"/>
    <x v="0"/>
    <n v="20"/>
    <n v="9.0718474000000011"/>
    <n v="1.1319999999999999"/>
    <n v="10.269331256800001"/>
  </r>
  <r>
    <d v="2019-01-18T00:00:00"/>
    <s v="Canned and dry goods"/>
    <n v="2"/>
    <n v="3"/>
    <n v="2"/>
    <s v="SUNFLOWER KERNEL OIL RST SALT"/>
    <x v="29"/>
    <x v="0"/>
    <n v="12"/>
    <n v="5.4431084400000005"/>
    <n v="2.6459999999999999"/>
    <n v="14.402464932240001"/>
  </r>
  <r>
    <d v="2019-01-18T00:00:00"/>
    <s v="Canned and dry goods"/>
    <n v="4"/>
    <n v="1"/>
    <n v="35"/>
    <s v="OIL CANOLA PURE ZTF"/>
    <x v="29"/>
    <x v="0"/>
    <n v="140"/>
    <n v="63.502931800000006"/>
    <n v="2.6459999999999999"/>
    <n v="168.02875754280001"/>
  </r>
  <r>
    <d v="2019-01-21T00:00:00"/>
    <s v="Canned and dry goods"/>
    <n v="5"/>
    <n v="4"/>
    <n v="7.9"/>
    <s v="OIL CANOLA"/>
    <x v="29"/>
    <x v="0"/>
    <n v="158"/>
    <n v="71.667594460000004"/>
    <n v="2.6459999999999999"/>
    <n v="189.63245494116001"/>
  </r>
  <r>
    <d v="2019-01-23T00:00:00"/>
    <s v="Canned and dry goods"/>
    <n v="3"/>
    <n v="1"/>
    <n v="35"/>
    <s v="OIL CANOLA PURE ZTF"/>
    <x v="29"/>
    <x v="0"/>
    <n v="105"/>
    <n v="47.627198849999999"/>
    <n v="2.6459999999999999"/>
    <n v="126.02156815709999"/>
  </r>
  <r>
    <d v="2019-01-23T00:00:00"/>
    <s v="Canned and dry goods"/>
    <n v="5"/>
    <n v="4"/>
    <n v="7.9"/>
    <s v="OIL CANOLA"/>
    <x v="29"/>
    <x v="0"/>
    <n v="158"/>
    <n v="71.667594460000004"/>
    <n v="2.6459999999999999"/>
    <n v="189.63245494116001"/>
  </r>
  <r>
    <d v="2019-01-23T00:00:00"/>
    <s v="Canned and dry goods"/>
    <n v="2"/>
    <n v="4"/>
    <n v="11.01"/>
    <s v="SYRUP PANCAKE &amp;  WAFFLE"/>
    <x v="42"/>
    <x v="0"/>
    <n v="88.08"/>
    <n v="39.952415949600002"/>
    <n v="6.7539999999999996"/>
    <n v="269.83861732359838"/>
  </r>
  <r>
    <d v="2019-01-18T00:00:00"/>
    <s v="Canned and dry goods"/>
    <n v="5"/>
    <n v="6"/>
    <n v="10"/>
    <s v="TOMATO CRUSHED ALL PURP FCY CA"/>
    <x v="43"/>
    <x v="0"/>
    <n v="300"/>
    <n v="136.07771100000002"/>
    <n v="0.47"/>
    <n v="63.956524170000009"/>
  </r>
  <r>
    <d v="2019-01-18T00:00:00"/>
    <s v="Canned and dry goods"/>
    <n v="2"/>
    <n v="6"/>
    <n v="10"/>
    <s v="TOMATO GRND PLD IN PUREE"/>
    <x v="43"/>
    <x v="0"/>
    <n v="120"/>
    <n v="54.431084400000003"/>
    <n v="0.47"/>
    <n v="25.582609668"/>
  </r>
  <r>
    <d v="2019-01-18T00:00:00"/>
    <s v="Canned and dry goods"/>
    <n v="2"/>
    <n v="6"/>
    <n v="10"/>
    <s v="TOMATO CRUSHED ALL PURP FCY CA"/>
    <x v="43"/>
    <x v="0"/>
    <n v="120"/>
    <n v="54.431084400000003"/>
    <n v="0.47"/>
    <n v="25.582609668"/>
  </r>
  <r>
    <d v="2019-01-18T00:00:00"/>
    <s v="Canned and dry goods"/>
    <n v="3"/>
    <n v="6"/>
    <n v="10"/>
    <s v="TOMATO GRND PLD IN PUREE"/>
    <x v="43"/>
    <x v="0"/>
    <n v="180"/>
    <n v="81.646626600000005"/>
    <n v="0.47"/>
    <n v="38.373914501999998"/>
  </r>
  <r>
    <d v="2019-01-21T00:00:00"/>
    <s v="Canned and dry goods"/>
    <n v="1"/>
    <n v="6"/>
    <n v="10"/>
    <s v="TOMATO DICED IN JCE NO SALT CA"/>
    <x v="43"/>
    <x v="0"/>
    <n v="60"/>
    <n v="27.215542200000002"/>
    <n v="0.47"/>
    <n v="12.791304834"/>
  </r>
  <r>
    <d v="2019-01-21T00:00:00"/>
    <s v="Canned and dry goods"/>
    <n v="3"/>
    <n v="6"/>
    <n v="10"/>
    <s v="TOMATO CRUSHED ALL PURP FCY CA"/>
    <x v="43"/>
    <x v="0"/>
    <n v="180"/>
    <n v="81.646626600000005"/>
    <n v="0.47"/>
    <n v="38.373914501999998"/>
  </r>
  <r>
    <d v="2019-01-21T00:00:00"/>
    <s v="Canned and dry goods"/>
    <n v="2"/>
    <n v="6"/>
    <n v="10"/>
    <s v="TOMATO GRND PLD IN PUREE"/>
    <x v="43"/>
    <x v="0"/>
    <n v="120"/>
    <n v="54.431084400000003"/>
    <n v="0.47"/>
    <n v="25.582609668"/>
  </r>
  <r>
    <d v="2019-01-23T00:00:00"/>
    <s v="Canned and dry goods"/>
    <n v="4"/>
    <n v="6"/>
    <n v="10"/>
    <s v="TOMATO CRUSHED ALL PURP FCY CA"/>
    <x v="43"/>
    <x v="0"/>
    <n v="240"/>
    <n v="108.86216880000001"/>
    <n v="0.47"/>
    <n v="51.165219336"/>
  </r>
  <r>
    <d v="2019-01-23T00:00:00"/>
    <s v="Canned and dry goods"/>
    <n v="1"/>
    <n v="6"/>
    <n v="10"/>
    <s v="TOMATO PASTE FANCY CA"/>
    <x v="43"/>
    <x v="0"/>
    <n v="60"/>
    <n v="27.215542200000002"/>
    <n v="0.47"/>
    <n v="12.791304834"/>
  </r>
  <r>
    <d v="2019-01-21T00:00:00"/>
    <s v="Canned and dry goods"/>
    <n v="2"/>
    <n v="6"/>
    <n v="4.15625"/>
    <s v="TUNA CHUNK SKIP JACK FAD FREE"/>
    <x v="44"/>
    <x v="2"/>
    <n v="49.875"/>
    <n v="22.622919453750001"/>
    <n v="2.1480000000000001"/>
    <n v="48.594030986655007"/>
  </r>
  <r>
    <d v="2019-01-18T00:00:00"/>
    <s v="Canned and dry goods"/>
    <n v="1"/>
    <n v="2"/>
    <n v="11.023099999999999"/>
    <s v="VINEGAR BLSMIC AGED ITALY  PL"/>
    <x v="45"/>
    <x v="0"/>
    <n v="22.046199999999999"/>
    <n v="9.9999881074940014"/>
    <n v="0.34"/>
    <n v="3.3999959565479605"/>
  </r>
  <r>
    <d v="2019-01-21T00:00:00"/>
    <s v="Canned and dry goods"/>
    <n v="1"/>
    <n v="4"/>
    <n v="8.41"/>
    <s v="VINEGAR WINE RED PLS"/>
    <x v="45"/>
    <x v="0"/>
    <n v="33.64"/>
    <n v="15.258847326800002"/>
    <n v="0.34"/>
    <n v="5.1880080911120006"/>
  </r>
  <r>
    <d v="2019-01-21T00:00:00"/>
    <s v="Canned and dry goods"/>
    <n v="3"/>
    <n v="6"/>
    <n v="2"/>
    <s v="GRAIN SPECIALTY BULGUR WHEAT"/>
    <x v="15"/>
    <x v="0"/>
    <n v="36"/>
    <n v="16.329325319999999"/>
    <n v="0.34699999999999998"/>
    <n v="5.6662758860399993"/>
  </r>
  <r>
    <d v="2019-01-21T00:00:00"/>
    <s v="Canned and dry goods"/>
    <n v="1"/>
    <n v="4"/>
    <n v="8.41"/>
    <s v="WINE COOKING SAUTERNE"/>
    <x v="46"/>
    <x v="0"/>
    <n v="33.64"/>
    <n v="15.258847326800002"/>
    <n v="0.78"/>
    <n v="11.901900914904001"/>
  </r>
  <r>
    <d v="2019-01-18T00:00:00"/>
    <s v="Dairy Products"/>
    <n v="1"/>
    <n v="36"/>
    <n v="1"/>
    <s v="BUTTER SOLID UNSLTD USDA AA"/>
    <x v="47"/>
    <x v="1"/>
    <n v="36"/>
    <n v="16.329325319999999"/>
    <n v="11.52"/>
    <n v="188.11382768639999"/>
  </r>
  <r>
    <d v="2019-01-18T00:00:00"/>
    <s v="Dairy Products"/>
    <n v="2"/>
    <n v="12"/>
    <n v="0.28125"/>
    <s v="CHEESE BRIE IMPORTED"/>
    <x v="48"/>
    <x v="1"/>
    <n v="6.75"/>
    <n v="3.0617484975000004"/>
    <n v="9.9740000000000002"/>
    <n v="30.537879514065004"/>
  </r>
  <r>
    <d v="2019-01-18T00:00:00"/>
    <s v="Dairy Products"/>
    <n v="1"/>
    <n v="6"/>
    <n v="3"/>
    <s v="CHEESE CREAM ORIG LOAF"/>
    <x v="48"/>
    <x v="1"/>
    <n v="18"/>
    <n v="8.1646626599999994"/>
    <n v="9.9740000000000002"/>
    <n v="81.434345370839992"/>
  </r>
  <r>
    <d v="2019-01-18T00:00:00"/>
    <s v="Dairy Products"/>
    <n v="2"/>
    <n v="2"/>
    <n v="5"/>
    <s v="CHEESE COTTAGE SMALL CURD 4%"/>
    <x v="48"/>
    <x v="1"/>
    <n v="20"/>
    <n v="9.0718474000000011"/>
    <n v="9.9740000000000002"/>
    <n v="90.482605967600009"/>
  </r>
  <r>
    <d v="2019-01-18T00:00:00"/>
    <s v="Dairy Products"/>
    <n v="2"/>
    <n v="4"/>
    <n v="5"/>
    <s v="CHEESE AMER YEL 160 SLI"/>
    <x v="48"/>
    <x v="1"/>
    <n v="40"/>
    <n v="18.143694800000002"/>
    <n v="9.9740000000000002"/>
    <n v="180.96521193520002"/>
  </r>
  <r>
    <d v="2019-01-18T00:00:00"/>
    <s v="Dairy Products"/>
    <n v="5"/>
    <n v="4"/>
    <n v="5"/>
    <s v="CHEESE CHDR MILD FTHR SHRD"/>
    <x v="48"/>
    <x v="1"/>
    <n v="100"/>
    <n v="45.359237"/>
    <n v="9.9740000000000002"/>
    <n v="452.413029838"/>
  </r>
  <r>
    <d v="2019-01-18T00:00:00"/>
    <s v="Dairy Products"/>
    <n v="10"/>
    <n v="4"/>
    <n v="5"/>
    <s v="CHEESE MOZZ FTHR SHRD PART SKM"/>
    <x v="48"/>
    <x v="1"/>
    <n v="200"/>
    <n v="90.718474000000001"/>
    <n v="9.9740000000000002"/>
    <n v="904.826059676"/>
  </r>
  <r>
    <d v="2019-01-18T00:00:00"/>
    <s v="Dairy Products"/>
    <n v="1"/>
    <n v="4"/>
    <n v="2.5"/>
    <s v="CHEESE PEPPER JACK SLI .70.3125"/>
    <x v="48"/>
    <x v="1"/>
    <n v="10"/>
    <n v="4.5359237000000006"/>
    <n v="9.9740000000000002"/>
    <n v="45.241302983800004"/>
  </r>
  <r>
    <d v="2019-01-18T00:00:00"/>
    <s v="Dairy Products"/>
    <n v="1"/>
    <n v="8"/>
    <n v="1.25"/>
    <s v="CHEESE CHDR MILD SLI .0.3125"/>
    <x v="48"/>
    <x v="1"/>
    <n v="10"/>
    <n v="4.5359237000000006"/>
    <n v="9.9740000000000002"/>
    <n v="45.241302983800004"/>
  </r>
  <r>
    <d v="2019-01-18T00:00:00"/>
    <s v="Dairy Products"/>
    <n v="1"/>
    <n v="4"/>
    <n v="2.5"/>
    <s v="CHEESE PROVOLONE SLI .0.3125"/>
    <x v="48"/>
    <x v="1"/>
    <n v="10"/>
    <n v="4.5359237000000006"/>
    <n v="9.9740000000000002"/>
    <n v="45.241302983800004"/>
  </r>
  <r>
    <d v="2019-01-18T00:00:00"/>
    <s v="Dairy Products"/>
    <n v="2"/>
    <n v="2"/>
    <n v="5"/>
    <s v="CHEESE PARM GRATED PURE"/>
    <x v="48"/>
    <x v="1"/>
    <n v="20"/>
    <n v="9.0718474000000011"/>
    <n v="9.9740000000000002"/>
    <n v="90.482605967600009"/>
  </r>
  <r>
    <d v="2019-01-18T00:00:00"/>
    <s v="Dairy Products"/>
    <n v="1"/>
    <n v="6"/>
    <n v="3"/>
    <s v="CHEESE RICOTTA WHL MLK CLS"/>
    <x v="48"/>
    <x v="1"/>
    <n v="18"/>
    <n v="8.1646626599999994"/>
    <n v="9.9740000000000002"/>
    <n v="81.434345370839992"/>
  </r>
  <r>
    <d v="2019-01-21T00:00:00"/>
    <s v="Dairy Products"/>
    <n v="1"/>
    <n v="10"/>
    <n v="3"/>
    <s v="CHEESE CREAM LOAF"/>
    <x v="48"/>
    <x v="1"/>
    <n v="30"/>
    <n v="13.607771100000001"/>
    <n v="9.9740000000000002"/>
    <n v="135.72390895140001"/>
  </r>
  <r>
    <d v="2019-01-21T00:00:00"/>
    <s v="Dairy Products"/>
    <n v="1"/>
    <n v="2"/>
    <n v="5"/>
    <s v="CHEESE COTTAGE SMALL CURD 4%"/>
    <x v="48"/>
    <x v="1"/>
    <n v="10"/>
    <n v="4.5359237000000006"/>
    <n v="9.9740000000000002"/>
    <n v="45.241302983800004"/>
  </r>
  <r>
    <d v="2019-01-21T00:00:00"/>
    <s v="Dairy Products"/>
    <n v="1"/>
    <n v="1"/>
    <n v="23.85"/>
    <s v="CHEESE GOUDA SMK"/>
    <x v="48"/>
    <x v="1"/>
    <n v="23.85"/>
    <n v="10.818178024500002"/>
    <n v="9.9740000000000002"/>
    <n v="107.90050761636302"/>
  </r>
  <r>
    <d v="2019-01-21T00:00:00"/>
    <s v="Dairy Products"/>
    <n v="2"/>
    <n v="4"/>
    <n v="5"/>
    <s v="CHEESE CHDR MILD FTHR SHRD"/>
    <x v="48"/>
    <x v="1"/>
    <n v="40"/>
    <n v="18.143694800000002"/>
    <n v="9.9740000000000002"/>
    <n v="180.96521193520002"/>
  </r>
  <r>
    <d v="2019-01-21T00:00:00"/>
    <s v="Dairy Products"/>
    <n v="5"/>
    <n v="4"/>
    <n v="5"/>
    <s v="CHEESE MOZZ FTHR SHRD PART SKM"/>
    <x v="48"/>
    <x v="1"/>
    <n v="100"/>
    <n v="45.359237"/>
    <n v="9.9740000000000002"/>
    <n v="452.413029838"/>
  </r>
  <r>
    <d v="2019-01-21T00:00:00"/>
    <s v="Dairy Products"/>
    <n v="1"/>
    <n v="8"/>
    <n v="1.25"/>
    <s v="CHEESE CHDR MILD SLI .0.3125"/>
    <x v="48"/>
    <x v="1"/>
    <n v="10"/>
    <n v="4.5359237000000006"/>
    <n v="9.9740000000000002"/>
    <n v="45.241302983800004"/>
  </r>
  <r>
    <d v="2019-01-21T00:00:00"/>
    <s v="Dairy Products"/>
    <n v="2"/>
    <n v="2"/>
    <n v="5"/>
    <s v="CHEESE PARM GRATED PURE"/>
    <x v="48"/>
    <x v="1"/>
    <n v="20"/>
    <n v="9.0718474000000011"/>
    <n v="9.9740000000000002"/>
    <n v="90.482605967600009"/>
  </r>
  <r>
    <d v="2019-01-23T00:00:00"/>
    <s v="Dairy Products"/>
    <n v="2"/>
    <n v="4"/>
    <n v="5"/>
    <s v="CHEESE AMER YEL 160 SLI"/>
    <x v="48"/>
    <x v="1"/>
    <n v="40"/>
    <n v="18.143694800000002"/>
    <n v="9.9740000000000002"/>
    <n v="180.96521193520002"/>
  </r>
  <r>
    <d v="2019-01-23T00:00:00"/>
    <s v="Dairy Products"/>
    <n v="1"/>
    <n v="4"/>
    <n v="5"/>
    <s v="CHEESE CHDR MILD FTHR SHRD"/>
    <x v="48"/>
    <x v="1"/>
    <n v="20"/>
    <n v="9.0718474000000011"/>
    <n v="9.9740000000000002"/>
    <n v="90.482605967600009"/>
  </r>
  <r>
    <d v="2019-01-23T00:00:00"/>
    <s v="Dairy Products"/>
    <n v="4"/>
    <n v="4"/>
    <n v="5"/>
    <s v="CHEESE MOZZ FTHR SHRD PART SKM"/>
    <x v="48"/>
    <x v="1"/>
    <n v="80"/>
    <n v="36.287389600000004"/>
    <n v="9.9740000000000002"/>
    <n v="361.93042387040003"/>
  </r>
  <r>
    <d v="2019-01-23T00:00:00"/>
    <s v="Dairy Products"/>
    <n v="1"/>
    <n v="8"/>
    <n v="1.25"/>
    <s v="CHEESE CHDR MILD SLI .0.3125"/>
    <x v="48"/>
    <x v="1"/>
    <n v="10"/>
    <n v="4.5359237000000006"/>
    <n v="9.9740000000000002"/>
    <n v="45.241302983800004"/>
  </r>
  <r>
    <d v="2019-01-23T00:00:00"/>
    <s v="Dairy Products"/>
    <n v="1"/>
    <n v="2"/>
    <n v="5"/>
    <s v="CHEESE PARM GRATED PURE"/>
    <x v="48"/>
    <x v="1"/>
    <n v="10"/>
    <n v="4.5359237000000006"/>
    <n v="9.9740000000000002"/>
    <n v="45.241302983800004"/>
  </r>
  <r>
    <d v="2019-01-18T00:00:00"/>
    <s v="Dairy Products"/>
    <n v="1"/>
    <n v="1"/>
    <n v="2"/>
    <s v="CREAM SOUR SEL 13%"/>
    <x v="49"/>
    <x v="1"/>
    <n v="2"/>
    <n v="0.90718474000000004"/>
    <n v="5.32"/>
    <n v="4.8262228168000005"/>
  </r>
  <r>
    <d v="2019-01-18T00:00:00"/>
    <s v="Dairy Products"/>
    <n v="2"/>
    <n v="12"/>
    <n v="0.125"/>
    <s v="CREAM HEAVY WHIPPING 36% ESL"/>
    <x v="49"/>
    <x v="1"/>
    <n v="3"/>
    <n v="1.3607771100000001"/>
    <n v="5.32"/>
    <n v="7.2393342252000012"/>
  </r>
  <r>
    <d v="2019-01-18T00:00:00"/>
    <s v="Dairy Products"/>
    <n v="22"/>
    <n v="2"/>
    <n v="20"/>
    <s v="EGG LIQ WHL CAGE FREE W/CITRIC"/>
    <x v="50"/>
    <x v="1"/>
    <n v="880"/>
    <n v="399.16128559999999"/>
    <n v="3.754"/>
    <n v="1498.4514661424"/>
  </r>
  <r>
    <d v="2019-01-18T00:00:00"/>
    <s v="Dairy Products"/>
    <n v="1"/>
    <n v="15"/>
    <n v="2"/>
    <s v="EGG WHITE CAGE FREE LIQ"/>
    <x v="50"/>
    <x v="1"/>
    <n v="30"/>
    <n v="13.607771100000001"/>
    <n v="3.754"/>
    <n v="51.083572709400002"/>
  </r>
  <r>
    <d v="2019-01-18T00:00:00"/>
    <s v="Dairy Products"/>
    <n v="2"/>
    <n v="15"/>
    <n v="1.5"/>
    <s v="EGG SHELL CG FR LG HFAC GR A"/>
    <x v="50"/>
    <x v="1"/>
    <n v="45"/>
    <n v="20.411656650000001"/>
    <n v="3.754"/>
    <n v="76.62535906410001"/>
  </r>
  <r>
    <d v="2019-01-21T00:00:00"/>
    <s v="Dairy Products"/>
    <n v="5"/>
    <n v="2"/>
    <n v="20"/>
    <s v="EGG LIQ WHL CAGE FREE W/CITRIC"/>
    <x v="50"/>
    <x v="1"/>
    <n v="200"/>
    <n v="90.718474000000001"/>
    <n v="3.754"/>
    <n v="340.55715139599999"/>
  </r>
  <r>
    <d v="2019-01-21T00:00:00"/>
    <s v="Dairy Products"/>
    <n v="2"/>
    <n v="15"/>
    <n v="2"/>
    <s v="EGG WHITE CAGE FREE LIQ"/>
    <x v="50"/>
    <x v="1"/>
    <n v="60"/>
    <n v="27.215542200000002"/>
    <n v="3.754"/>
    <n v="102.1671454188"/>
  </r>
  <r>
    <d v="2019-01-21T00:00:00"/>
    <s v="Dairy Products"/>
    <n v="3"/>
    <n v="15"/>
    <n v="1.5"/>
    <s v="EGG SHELL CG FR LG HFAC GR A"/>
    <x v="50"/>
    <x v="1"/>
    <n v="67.5"/>
    <n v="30.617484975"/>
    <n v="3.754"/>
    <n v="114.93803859614999"/>
  </r>
  <r>
    <d v="2019-01-23T00:00:00"/>
    <s v="Dairy Products"/>
    <n v="5"/>
    <n v="2"/>
    <n v="20"/>
    <s v="EGG LIQ WHL CAGE FREE W/CITRIC"/>
    <x v="50"/>
    <x v="1"/>
    <n v="200"/>
    <n v="90.718474000000001"/>
    <n v="3.754"/>
    <n v="340.55715139599999"/>
  </r>
  <r>
    <d v="2019-01-23T00:00:00"/>
    <s v="Dairy Products"/>
    <n v="1"/>
    <n v="15"/>
    <n v="2"/>
    <s v="EGG WHITE CAGE FREE LIQ"/>
    <x v="50"/>
    <x v="1"/>
    <n v="30"/>
    <n v="13.607771100000001"/>
    <n v="3.754"/>
    <n v="51.083572709400002"/>
  </r>
  <r>
    <d v="2019-01-21T00:00:00"/>
    <s v="Dairy Products"/>
    <n v="1"/>
    <n v="1"/>
    <n v="18.21"/>
    <s v="ICE CREAM JUST PEACHY"/>
    <x v="51"/>
    <x v="1"/>
    <n v="18.21"/>
    <n v="8.259917057700001"/>
    <n v="3.84"/>
    <n v="31.718081501568001"/>
  </r>
  <r>
    <d v="2019-01-21T00:00:00"/>
    <s v="Dairy Products"/>
    <n v="2"/>
    <n v="1"/>
    <n v="18.21"/>
    <s v="ICE CREAM STWBRY"/>
    <x v="51"/>
    <x v="1"/>
    <n v="36.42"/>
    <n v="16.519834115400002"/>
    <n v="3.84"/>
    <n v="63.436163003136002"/>
  </r>
  <r>
    <d v="2019-01-21T00:00:00"/>
    <s v="Dairy Products"/>
    <n v="2"/>
    <n v="1"/>
    <n v="18.21"/>
    <s v="ICE CREAM CHOC"/>
    <x v="51"/>
    <x v="1"/>
    <n v="36.42"/>
    <n v="16.519834115400002"/>
    <n v="3.84"/>
    <n v="63.436163003136002"/>
  </r>
  <r>
    <d v="2019-01-21T00:00:00"/>
    <s v="Dairy Products"/>
    <n v="3"/>
    <n v="1"/>
    <n v="18.21"/>
    <s v="ICE CREAM FRCH VAN"/>
    <x v="51"/>
    <x v="1"/>
    <n v="54.63"/>
    <n v="24.779751173100003"/>
    <n v="3.84"/>
    <n v="95.15424450470401"/>
  </r>
  <r>
    <d v="2019-01-21T00:00:00"/>
    <s v="Dairy Products"/>
    <n v="1"/>
    <n v="1"/>
    <n v="18.21"/>
    <s v="ICE CREAM BIRTHDAY CAKE"/>
    <x v="51"/>
    <x v="1"/>
    <n v="18.21"/>
    <n v="8.259917057700001"/>
    <n v="3.84"/>
    <n v="31.718081501568001"/>
  </r>
  <r>
    <d v="2019-01-18T00:00:00"/>
    <s v="Dairy Products"/>
    <n v="1"/>
    <n v="6"/>
    <n v="5"/>
    <s v="MARGARINE SOFT BUTRY SPRD TUB"/>
    <x v="52"/>
    <x v="0"/>
    <n v="30"/>
    <n v="13.607771100000001"/>
    <m/>
    <n v="0"/>
  </r>
  <r>
    <d v="2019-01-18T00:00:00"/>
    <s v="Dairy Products"/>
    <n v="1"/>
    <n v="20"/>
    <n v="0.5"/>
    <s v="MILK NFAT 100% LACT CAL ENRCHD"/>
    <x v="53"/>
    <x v="1"/>
    <n v="10"/>
    <n v="4.5359237000000006"/>
    <n v="1.23"/>
    <n v="5.5791861510000009"/>
  </r>
  <r>
    <d v="2019-01-21T00:00:00"/>
    <s v="Dairy Products"/>
    <n v="2"/>
    <n v="1"/>
    <n v="21.5"/>
    <s v="MILK SOY VAN BAG"/>
    <x v="54"/>
    <x v="0"/>
    <n v="43"/>
    <n v="19.504471909999999"/>
    <n v="0.25800000000000001"/>
    <n v="5.0321537527800002"/>
  </r>
  <r>
    <d v="2019-01-21T00:00:00"/>
    <s v="Dairy Products"/>
    <n v="0"/>
    <n v="1"/>
    <n v="21.5"/>
    <s v="MILK SOY CHOC BAG"/>
    <x v="54"/>
    <x v="0"/>
    <n v="0"/>
    <n v="0"/>
    <n v="0.25800000000000001"/>
    <n v="0"/>
  </r>
  <r>
    <d v="2019-01-21T00:00:00"/>
    <s v="Dairy Products"/>
    <n v="2"/>
    <n v="20"/>
    <n v="0.5"/>
    <s v="MILK NFAT 100% LACT CAL ENRCHD"/>
    <x v="53"/>
    <x v="1"/>
    <n v="20"/>
    <n v="9.0718474000000011"/>
    <n v="1.23"/>
    <n v="11.158372302000002"/>
  </r>
  <r>
    <d v="2019-01-23T00:00:00"/>
    <s v="Dairy Products"/>
    <n v="2"/>
    <n v="20"/>
    <n v="0.5"/>
    <s v="MILK NFAT 100% LACT CAL ENRCHD"/>
    <x v="53"/>
    <x v="1"/>
    <n v="20"/>
    <n v="9.0718474000000011"/>
    <n v="1.23"/>
    <n v="11.158372302000002"/>
  </r>
  <r>
    <d v="2019-01-23T00:00:00"/>
    <s v="Dairy Products"/>
    <n v="3"/>
    <n v="1"/>
    <n v="21.5"/>
    <s v="MILK SOY VAN BAG"/>
    <x v="55"/>
    <x v="0"/>
    <n v="64.5"/>
    <n v="29.256707864999999"/>
    <n v="0.25800000000000001"/>
    <n v="7.5482306291699999"/>
  </r>
  <r>
    <d v="2019-01-23T00:00:00"/>
    <s v="Dairy Products"/>
    <n v="3"/>
    <n v="1"/>
    <n v="21.5"/>
    <s v="MILK SOY CHOC BAG"/>
    <x v="55"/>
    <x v="0"/>
    <n v="64.5"/>
    <n v="29.256707864999999"/>
    <n v="0.25800000000000001"/>
    <n v="7.5482306291699999"/>
  </r>
  <r>
    <d v="2019-01-18T00:00:00"/>
    <s v="Dairy Products"/>
    <n v="1"/>
    <n v="1"/>
    <n v="21.5"/>
    <s v="MILK SOY VAN BAG"/>
    <x v="54"/>
    <x v="0"/>
    <n v="21.5"/>
    <n v="9.7522359549999997"/>
    <n v="0.25800000000000001"/>
    <n v="2.5160768763900001"/>
  </r>
  <r>
    <d v="2019-01-18T00:00:00"/>
    <s v="Dairy Products"/>
    <n v="2"/>
    <n v="1"/>
    <n v="21.5"/>
    <s v="MILK SOY CHOC BAG"/>
    <x v="54"/>
    <x v="0"/>
    <n v="43"/>
    <n v="19.504471909999999"/>
    <n v="0.25800000000000001"/>
    <n v="5.0321537527800002"/>
  </r>
  <r>
    <d v="2019-01-18T00:00:00"/>
    <s v="Dairy Products"/>
    <n v="5"/>
    <n v="2"/>
    <n v="6"/>
    <s v="YOGURT PLAIN GREEK BAG OIKOS"/>
    <x v="56"/>
    <x v="1"/>
    <n v="60"/>
    <n v="27.215542200000002"/>
    <n v="1.33"/>
    <n v="36.196671126000005"/>
  </r>
  <r>
    <d v="2019-01-18T00:00:00"/>
    <s v="Dairy Products"/>
    <n v="5"/>
    <n v="2"/>
    <n v="6"/>
    <s v="YOGURT VANILLA GRK BAG OIKOS"/>
    <x v="56"/>
    <x v="1"/>
    <n v="60"/>
    <n v="27.215542200000002"/>
    <n v="1.33"/>
    <n v="36.196671126000005"/>
  </r>
  <r>
    <d v="2019-01-21T00:00:00"/>
    <s v="Dairy Products"/>
    <n v="5"/>
    <n v="2"/>
    <n v="6"/>
    <s v="YOGURT PLAIN GREEK BAG OIKOS"/>
    <x v="56"/>
    <x v="1"/>
    <n v="60"/>
    <n v="27.215542200000002"/>
    <n v="1.33"/>
    <n v="36.196671126000005"/>
  </r>
  <r>
    <d v="2019-01-21T00:00:00"/>
    <s v="Dairy Products"/>
    <n v="5"/>
    <n v="2"/>
    <n v="6"/>
    <s v="YOGURT VANILLA GRK BAG OIKOS"/>
    <x v="56"/>
    <x v="1"/>
    <n v="60"/>
    <n v="27.215542200000002"/>
    <n v="1.33"/>
    <n v="36.196671126000005"/>
  </r>
  <r>
    <d v="2019-01-23T00:00:00"/>
    <s v="Dairy Products"/>
    <n v="4"/>
    <n v="2"/>
    <n v="6"/>
    <s v="YOGURT PLAIN GREEK BAG OIKOS"/>
    <x v="56"/>
    <x v="1"/>
    <n v="48"/>
    <n v="21.772433760000002"/>
    <n v="1.33"/>
    <n v="28.957336900800005"/>
  </r>
  <r>
    <d v="2019-01-23T00:00:00"/>
    <s v="Dairy Products"/>
    <n v="2"/>
    <n v="2"/>
    <n v="6"/>
    <s v="YOGURT VANILLA GRK BAG OIKOS"/>
    <x v="56"/>
    <x v="1"/>
    <n v="24"/>
    <n v="10.886216880000001"/>
    <n v="1.33"/>
    <n v="14.478668450400002"/>
  </r>
  <r>
    <d v="2019-01-21T00:00:00"/>
    <s v="Frozen"/>
    <n v="4"/>
    <n v="40"/>
    <n v="0.25"/>
    <s v="BURGER VEG BEYOND PATTY"/>
    <x v="57"/>
    <x v="0"/>
    <n v="40"/>
    <n v="18.143694800000002"/>
    <n v="3.5270000000000001"/>
    <n v="63.992811559600007"/>
  </r>
  <r>
    <d v="2019-01-21T00:00:00"/>
    <s v="Frozen"/>
    <n v="3"/>
    <n v="2"/>
    <n v="5"/>
    <s v="STRIP CHICKEN-FREE LTY SEASON"/>
    <x v="58"/>
    <x v="0"/>
    <n v="30"/>
    <n v="13.607771100000001"/>
    <m/>
    <n v="0"/>
  </r>
  <r>
    <d v="2019-01-18T00:00:00"/>
    <s v="Frozen"/>
    <n v="3"/>
    <n v="48"/>
    <n v="0.18124999999999999"/>
    <s v="BURGER BLK BEAN SPCY"/>
    <x v="59"/>
    <x v="0"/>
    <n v="26.099999999999998"/>
    <n v="11.838760856999999"/>
    <n v="6.87"/>
    <n v="81.332287087589989"/>
  </r>
  <r>
    <d v="2019-01-23T00:00:00"/>
    <s v="Frozen"/>
    <n v="4"/>
    <n v="48"/>
    <n v="0.18124999999999999"/>
    <s v="BURGER BLK BEAN SPCY"/>
    <x v="59"/>
    <x v="0"/>
    <n v="34.799999999999997"/>
    <n v="15.785014475999999"/>
    <n v="6.87"/>
    <n v="108.44304945012"/>
  </r>
  <r>
    <d v="2019-01-19T00:00:00"/>
    <s v="Frozen"/>
    <n v="1"/>
    <n v="16"/>
    <s v="675 GR"/>
    <s v="BREAD SANDWICH WHT"/>
    <x v="60"/>
    <x v="0"/>
    <n v="0"/>
    <n v="0"/>
    <n v="1.28"/>
    <n v="0"/>
  </r>
  <r>
    <d v="2019-01-21T00:00:00"/>
    <s v="Frozen"/>
    <n v="1"/>
    <n v="12"/>
    <n v="1.77"/>
    <s v="BREAD PITA FLAT 7"/>
    <x v="60"/>
    <x v="0"/>
    <n v="21.240000000000002"/>
    <n v="9.634301938800002"/>
    <n v="1.28"/>
    <n v="12.331906481664003"/>
  </r>
  <r>
    <d v="2019-01-18T00:00:00"/>
    <s v="Frozen"/>
    <n v="4"/>
    <n v="12"/>
    <n v="1.77"/>
    <s v="BREAD PITA FLAT 7"/>
    <x v="61"/>
    <x v="0"/>
    <n v="84.960000000000008"/>
    <n v="38.537207755200008"/>
    <n v="1.28"/>
    <n v="49.327625926656012"/>
  </r>
  <r>
    <d v="2019-01-19T00:00:00"/>
    <s v="Frozen"/>
    <n v="3"/>
    <n v="8"/>
    <n v="16.799999999999997"/>
    <s v="BUN WHITE HMBRGR SLI 4 IN"/>
    <x v="62"/>
    <x v="0"/>
    <n v="403.19999999999993"/>
    <n v="182.88844358399996"/>
    <n v="1.28"/>
    <n v="234.09720778751995"/>
  </r>
  <r>
    <d v="2019-01-19T00:00:00"/>
    <s v="Frozen"/>
    <n v="2"/>
    <n v="8"/>
    <n v="16.799999999999997"/>
    <s v="BUN HOT DOG"/>
    <x v="62"/>
    <x v="0"/>
    <n v="268.79999999999995"/>
    <n v="121.92562905599999"/>
    <n v="1.28"/>
    <n v="156.06480519167999"/>
  </r>
  <r>
    <d v="2019-01-18T00:00:00"/>
    <s v="Frozen"/>
    <n v="4"/>
    <n v="2"/>
    <n v="4"/>
    <s v="CHEESE STICK PLANK 5CHEESE"/>
    <x v="48"/>
    <x v="1"/>
    <n v="32"/>
    <n v="14.514955840000001"/>
    <n v="9.9740000000000002"/>
    <n v="144.77216954816001"/>
  </r>
  <r>
    <d v="2019-01-18T00:00:00"/>
    <s v="Frozen"/>
    <n v="2"/>
    <n v="1"/>
    <n v="30"/>
    <s v="CORN WHL KERNEL"/>
    <x v="63"/>
    <x v="0"/>
    <n v="60"/>
    <n v="27.215542200000002"/>
    <n v="0.75700000000000001"/>
    <n v="20.602165445400001"/>
  </r>
  <r>
    <d v="2019-01-21T00:00:00"/>
    <s v="Frozen"/>
    <n v="5"/>
    <n v="4"/>
    <n v="13.5"/>
    <s v="CROISSANT BUTTER SLI 0.125"/>
    <x v="64"/>
    <x v="0"/>
    <n v="270"/>
    <n v="122.4699399"/>
    <n v="1.28"/>
    <n v="156.76152307200002"/>
  </r>
  <r>
    <d v="2019-01-18T00:00:00"/>
    <s v="Frozen"/>
    <n v="3"/>
    <n v="168"/>
    <n v="0.198125"/>
    <s v="DOUGH BISCUIT SOTHRN E-Z SPLIT"/>
    <x v="65"/>
    <x v="0"/>
    <n v="99.855000000000004"/>
    <n v="45.293466106350003"/>
    <n v="2.2999999999999998"/>
    <n v="104.174972044605"/>
  </r>
  <r>
    <d v="2019-01-23T00:00:00"/>
    <s v="Frozen"/>
    <n v="1"/>
    <n v="210"/>
    <n v="7.4999999999999997E-2"/>
    <s v="DOUGH BISCUIT SOUTHERN STY MIN"/>
    <x v="65"/>
    <x v="0"/>
    <n v="15.75"/>
    <n v="7.1440798275000006"/>
    <n v="2.2999999999999998"/>
    <n v="16.431383603250001"/>
  </r>
  <r>
    <d v="2019-01-18T00:00:00"/>
    <s v="Frozen"/>
    <n v="1"/>
    <n v="24"/>
    <n v="1"/>
    <s v="DOUGH COBBLER CRUST SHEET"/>
    <x v="66"/>
    <x v="0"/>
    <n v="24"/>
    <n v="10.886216880000001"/>
    <n v="1.28"/>
    <n v="13.934357606400001"/>
  </r>
  <r>
    <d v="2019-01-18T00:00:00"/>
    <s v="Frozen"/>
    <n v="4"/>
    <n v="6"/>
    <n v="1.5"/>
    <s v="MUFFIN ENGLISH ORIG 0.125"/>
    <x v="67"/>
    <x v="0"/>
    <n v="36"/>
    <n v="16.329325319999999"/>
    <n v="1.28"/>
    <n v="20.901536409599998"/>
  </r>
  <r>
    <d v="2019-01-18T00:00:00"/>
    <s v="Frozen"/>
    <n v="4"/>
    <n v="6"/>
    <n v="5"/>
    <s v="POTATO FRY TWISTER ORIG BTTERD"/>
    <x v="68"/>
    <x v="0"/>
    <n v="120"/>
    <n v="54.431084400000003"/>
    <n v="0.217"/>
    <n v="11.8115453148"/>
  </r>
  <r>
    <d v="2019-01-18T00:00:00"/>
    <s v="Frozen"/>
    <n v="7"/>
    <n v="6"/>
    <n v="6"/>
    <s v="POTATO H/BRN DICE SKIN-ON CTRY"/>
    <x v="68"/>
    <x v="0"/>
    <n v="252"/>
    <n v="114.30527724000001"/>
    <n v="0.217"/>
    <n v="24.804245161080001"/>
  </r>
  <r>
    <d v="2019-01-18T00:00:00"/>
    <s v="Frozen"/>
    <n v="4"/>
    <n v="6"/>
    <n v="5"/>
    <s v="POTATO TATER PUFF"/>
    <x v="68"/>
    <x v="0"/>
    <n v="120"/>
    <n v="54.431084400000003"/>
    <n v="0.217"/>
    <n v="11.8115453148"/>
  </r>
  <r>
    <d v="2019-01-18T00:00:00"/>
    <s v="Frozen"/>
    <n v="2"/>
    <n v="6"/>
    <n v="3"/>
    <s v="POTATO H/BRN IQF LOOSE SHRED"/>
    <x v="68"/>
    <x v="0"/>
    <n v="36"/>
    <n v="16.329325319999999"/>
    <n v="0.217"/>
    <n v="3.5434635944399999"/>
  </r>
  <r>
    <d v="2019-01-18T00:00:00"/>
    <s v="Frozen"/>
    <n v="3"/>
    <n v="6"/>
    <n v="5"/>
    <s v="POTATO FRY STEAK HSE"/>
    <x v="68"/>
    <x v="0"/>
    <n v="90"/>
    <n v="40.823313300000002"/>
    <n v="0.217"/>
    <n v="8.8586589861"/>
  </r>
  <r>
    <d v="2019-01-18T00:00:00"/>
    <s v="Frozen"/>
    <n v="8"/>
    <n v="6"/>
    <n v="5"/>
    <s v="POTATO FRY 3/8 COLSSL CRISP"/>
    <x v="68"/>
    <x v="0"/>
    <n v="240"/>
    <n v="108.86216880000001"/>
    <n v="0.217"/>
    <n v="23.6230906296"/>
  </r>
  <r>
    <d v="2019-01-18T00:00:00"/>
    <s v="Frozen"/>
    <n v="3"/>
    <n v="6"/>
    <n v="5"/>
    <s v="POTATO FRY STEAK HSE"/>
    <x v="68"/>
    <x v="0"/>
    <n v="90"/>
    <n v="40.823313300000002"/>
    <n v="0.217"/>
    <n v="8.8586589861"/>
  </r>
  <r>
    <d v="2019-01-18T00:00:00"/>
    <s v="Frozen"/>
    <n v="6"/>
    <n v="6"/>
    <n v="5"/>
    <s v="POTATO FRY 3/8 COLSSL CRISP"/>
    <x v="68"/>
    <x v="0"/>
    <n v="180"/>
    <n v="81.646626600000005"/>
    <n v="0.217"/>
    <n v="17.7173179722"/>
  </r>
  <r>
    <d v="2019-01-19T00:00:00"/>
    <s v="Frozen"/>
    <n v="6"/>
    <n v="6"/>
    <n v="5"/>
    <s v="POTATO TATER PUFF"/>
    <x v="68"/>
    <x v="0"/>
    <n v="180"/>
    <n v="81.646626600000005"/>
    <n v="0.217"/>
    <n v="17.7173179722"/>
  </r>
  <r>
    <d v="2019-01-21T00:00:00"/>
    <s v="Frozen"/>
    <n v="4"/>
    <n v="6"/>
    <n v="3"/>
    <s v="POTATO H/BRN IQF LOOSE SHRED"/>
    <x v="68"/>
    <x v="0"/>
    <n v="72"/>
    <n v="32.658650639999998"/>
    <n v="0.217"/>
    <n v="7.0869271888799998"/>
  </r>
  <r>
    <d v="2019-01-23T00:00:00"/>
    <s v="Frozen"/>
    <n v="3"/>
    <n v="6"/>
    <n v="6"/>
    <s v="POTATO H/BRN DICE SKIN-ON CTRY"/>
    <x v="68"/>
    <x v="0"/>
    <n v="108"/>
    <n v="48.987975960000007"/>
    <n v="0.217"/>
    <n v="10.630390783320001"/>
  </r>
  <r>
    <d v="2019-01-23T00:00:00"/>
    <s v="Frozen"/>
    <n v="10"/>
    <n v="6"/>
    <n v="5"/>
    <s v="POTATO FRY 3/8 COLSSL CRISP"/>
    <x v="68"/>
    <x v="0"/>
    <n v="300"/>
    <n v="136.07771100000002"/>
    <n v="0.217"/>
    <n v="29.528863287000004"/>
  </r>
  <r>
    <d v="2019-01-21T00:00:00"/>
    <s v="Frozen"/>
    <n v="4"/>
    <n v="5"/>
    <n v="3"/>
    <s v="POTATO SWEET THIN REG CUT 5/16"/>
    <x v="69"/>
    <x v="0"/>
    <n v="60"/>
    <n v="27.215542200000002"/>
    <n v="0.30199999999999999"/>
    <n v="8.2190937444000003"/>
  </r>
  <r>
    <d v="2019-01-18T00:00:00"/>
    <s v="Frozen"/>
    <n v="1"/>
    <n v="24"/>
    <n v="7.9366439999999994"/>
    <s v="TORTILLA FLOUR PRESSED 6 IN"/>
    <x v="70"/>
    <x v="0"/>
    <n v="190.47945599999997"/>
    <n v="86.400027883350702"/>
    <n v="1.28"/>
    <n v="110.5920356906889"/>
  </r>
  <r>
    <d v="2019-01-21T00:00:00"/>
    <s v="Frozen"/>
    <n v="1"/>
    <n v="12"/>
    <n v="39.683219999999999"/>
    <s v="TORTILLA CORN WHT 6 IN"/>
    <x v="71"/>
    <x v="0"/>
    <n v="476.19863999999995"/>
    <n v="216.00006970837677"/>
    <n v="1.28"/>
    <n v="276.48008922672227"/>
  </r>
  <r>
    <d v="2019-01-21T00:00:00"/>
    <s v="Frozen"/>
    <n v="1"/>
    <n v="24"/>
    <n v="0.79366439999999994"/>
    <s v="TORTILLA FLOUR PRESSED 6 IN"/>
    <x v="72"/>
    <x v="0"/>
    <n v="19.047945599999998"/>
    <n v="8.6400027883350727"/>
    <n v="1.28"/>
    <n v="11.059203569068893"/>
  </r>
  <r>
    <d v="2019-01-18T00:00:00"/>
    <s v="Meats"/>
    <n v="1"/>
    <n v="2"/>
    <n v="5"/>
    <s v="FRANK ALL-BEEF 8X1 6 IN"/>
    <x v="73"/>
    <x v="2"/>
    <n v="10"/>
    <n v="4.5359237000000006"/>
    <n v="32.845999999999997"/>
    <n v="148.98694985020001"/>
  </r>
  <r>
    <d v="2019-01-18T00:00:00"/>
    <s v="Meats"/>
    <n v="7"/>
    <n v="1"/>
    <n v="10"/>
    <s v="FRANK BEEF 8X1 F/C"/>
    <x v="73"/>
    <x v="2"/>
    <n v="70"/>
    <n v="31.751465900000003"/>
    <n v="32.845999999999997"/>
    <n v="1042.9086489514"/>
  </r>
  <r>
    <d v="2019-01-18T00:00:00"/>
    <s v="Meats"/>
    <n v="1"/>
    <n v="1"/>
    <n v="213.13"/>
    <s v="BEEF EYE OF RND HALAL IAP"/>
    <x v="73"/>
    <x v="2"/>
    <n v="213.13"/>
    <n v="96.674141818100011"/>
    <n v="32.845999999999997"/>
    <n v="3175.3588621573126"/>
  </r>
  <r>
    <d v="2019-01-18T00:00:00"/>
    <s v="Meats"/>
    <n v="1"/>
    <n v="1"/>
    <n v="81.400000000000006"/>
    <s v="BEEF BRISKET DCKL-OFF CH 120"/>
    <x v="73"/>
    <x v="2"/>
    <n v="81.400000000000006"/>
    <n v="36.922418918000005"/>
    <n v="32.845999999999997"/>
    <n v="1212.7537717806281"/>
  </r>
  <r>
    <d v="2019-01-23T00:00:00"/>
    <s v="Meats"/>
    <n v="10"/>
    <n v="1"/>
    <n v="10"/>
    <s v="FRANK BEEF 8X1 F/C"/>
    <x v="73"/>
    <x v="2"/>
    <n v="100"/>
    <n v="45.359237"/>
    <n v="32.845999999999997"/>
    <n v="1489.8694985019999"/>
  </r>
  <r>
    <d v="2019-01-23T00:00:00"/>
    <s v="Meats"/>
    <n v="1"/>
    <n v="1"/>
    <n v="60.11"/>
    <s v="BEEF EYE OF RND HALAL IAP"/>
    <x v="73"/>
    <x v="2"/>
    <n v="60.11"/>
    <n v="27.265437360700002"/>
    <n v="32.845999999999997"/>
    <n v="895.56055554955219"/>
  </r>
  <r>
    <d v="2019-01-21T00:00:00"/>
    <s v="Meats"/>
    <n v="3"/>
    <n v="1"/>
    <n v="10"/>
    <s v="FRANK ALL-BEEF 8X1 6 IN"/>
    <x v="73"/>
    <x v="2"/>
    <n v="30"/>
    <n v="13.607771100000001"/>
    <n v="32.845999999999997"/>
    <n v="446.96084955059996"/>
  </r>
  <r>
    <d v="2019-01-21T00:00:00"/>
    <s v="Meats"/>
    <n v="2"/>
    <n v="2"/>
    <n v="5"/>
    <s v="PEPPERONI SLI CHRPRF 15-17 CT"/>
    <x v="74"/>
    <x v="2"/>
    <n v="20"/>
    <n v="9.0718474000000011"/>
    <n v="19.202999999999999"/>
    <n v="174.20668562220001"/>
  </r>
  <r>
    <d v="2019-01-21T00:00:00"/>
    <s v="Meats"/>
    <n v="1"/>
    <n v="1"/>
    <n v="10.09"/>
    <s v="SALAMI GENOA"/>
    <x v="75"/>
    <x v="2"/>
    <n v="10.09"/>
    <n v="4.5767470132999994"/>
    <n v="5.56"/>
    <n v="25.446713393947995"/>
  </r>
  <r>
    <d v="2019-01-19T00:00:00"/>
    <s v="Meats"/>
    <n v="2"/>
    <n v="1"/>
    <n v="11"/>
    <s v="SAUSAGE SMKD PK/TRKY/BF ROPE"/>
    <x v="76"/>
    <x v="2"/>
    <n v="22"/>
    <n v="9.979032140000001"/>
    <n v="2.5710000000000002"/>
    <n v="25.656091631940004"/>
  </r>
  <r>
    <d v="2019-01-18T00:00:00"/>
    <s v="Poultry"/>
    <n v="6"/>
    <n v="160"/>
    <n v="6.25E-2"/>
    <s v="SAUSAGE CHICKEN BRK LINK"/>
    <x v="77"/>
    <x v="2"/>
    <n v="60"/>
    <n v="27.215542200000002"/>
    <n v="4.1879999999999997"/>
    <n v="113.9786907336"/>
  </r>
  <r>
    <d v="2019-01-21T00:00:00"/>
    <s v="Poultry"/>
    <n v="5"/>
    <n v="160"/>
    <n v="6.25E-2"/>
    <s v="SAUSAGE CHICKEN BRK LINK"/>
    <x v="77"/>
    <x v="2"/>
    <n v="50"/>
    <n v="22.6796185"/>
    <n v="4.1879999999999997"/>
    <n v="94.982242278000001"/>
  </r>
  <r>
    <d v="2019-01-18T00:00:00"/>
    <s v="Poultry"/>
    <n v="7"/>
    <n v="240"/>
    <n v="4.1875000000000002E-2"/>
    <s v="CORN DOG TURKEY MINI"/>
    <x v="78"/>
    <x v="2"/>
    <n v="70.350000000000009"/>
    <n v="31.910223229500009"/>
    <n v="2.5710000000000002"/>
    <n v="82.041183923044528"/>
  </r>
  <r>
    <d v="2019-01-18T00:00:00"/>
    <s v="Poultry"/>
    <n v="6"/>
    <n v="160"/>
    <n v="1"/>
    <s v="TURKEY SAUSAGE LINK RAW"/>
    <x v="76"/>
    <x v="2"/>
    <n v="960"/>
    <n v="435.44867520000003"/>
    <n v="2.5710000000000002"/>
    <n v="1119.5385439392001"/>
  </r>
  <r>
    <d v="2019-01-18T00:00:00"/>
    <s v="Poultry"/>
    <n v="5"/>
    <n v="2"/>
    <n v="6"/>
    <s v="BACON TURKEY LAYFLT"/>
    <x v="76"/>
    <x v="2"/>
    <n v="60"/>
    <n v="27.215542200000002"/>
    <n v="2.5710000000000002"/>
    <n v="69.971158996200003"/>
  </r>
  <r>
    <d v="2019-01-23T00:00:00"/>
    <s v="Poultry"/>
    <n v="3"/>
    <n v="2"/>
    <n v="6"/>
    <s v="BACON TURKEY LAYFLT"/>
    <x v="76"/>
    <x v="2"/>
    <n v="36"/>
    <n v="16.329325319999999"/>
    <n v="2.5710000000000002"/>
    <n v="41.982695397720001"/>
  </r>
  <r>
    <d v="2019-01-18T00:00:00"/>
    <s v="Seafood"/>
    <n v="15"/>
    <n v="1"/>
    <n v="10"/>
    <s v="SALMON LOIN PAC 4 OZ IQF"/>
    <x v="79"/>
    <x v="2"/>
    <n v="150"/>
    <n v="68.038855500000011"/>
    <n v="3.0209999999999999"/>
    <n v="205.54538246550004"/>
  </r>
  <r>
    <d v="2019-01-23T00:00:00"/>
    <s v="Seafood"/>
    <n v="8"/>
    <n v="1"/>
    <n v="10"/>
    <s v="SALMON LOIN PAC 4 OZ IQF"/>
    <x v="79"/>
    <x v="2"/>
    <n v="80"/>
    <n v="36.287389600000004"/>
    <n v="3.0209999999999999"/>
    <n v="109.6242039816"/>
  </r>
  <r>
    <d v="2019-01-18T00:00:00"/>
    <s v="Seafood"/>
    <n v="12"/>
    <n v="1"/>
    <n v="10"/>
    <s v="TILAPIA FIL IQF 3-0.3125 RAW"/>
    <x v="80"/>
    <x v="2"/>
    <n v="120"/>
    <n v="54.431084400000003"/>
    <n v="3.0209999999999999"/>
    <n v="164.43630597239999"/>
  </r>
  <r>
    <d v="2019-01-21T00:00:00"/>
    <s v="Seafood"/>
    <n v="2"/>
    <n v="1"/>
    <n v="10"/>
    <s v="TILAPIA FIL IQF 3-0.3125 RAW"/>
    <x v="80"/>
    <x v="2"/>
    <n v="20"/>
    <n v="9.0718474000000011"/>
    <n v="3.0209999999999999"/>
    <n v="27.406050995400001"/>
  </r>
  <r>
    <d v="2019-01-23T00:00:00"/>
    <s v="Seafood"/>
    <n v="5"/>
    <n v="1"/>
    <n v="10"/>
    <s v="TILAPIA FIL IQF 3-0.3125 RAW"/>
    <x v="80"/>
    <x v="2"/>
    <n v="50"/>
    <n v="22.6796185"/>
    <n v="3.0209999999999999"/>
    <n v="68.51512748849999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059">
  <r>
    <d v="2018-11-30T00:00:00"/>
    <s v="Meats"/>
    <n v="2"/>
    <n v="2"/>
    <n v="5"/>
    <s v="PEPPERONI SLI CHRPRF 15-17 CT"/>
    <x v="0"/>
    <x v="0"/>
    <n v="20"/>
    <n v="9.0718474000000011"/>
    <n v="19.202999999999999"/>
    <n v="174.20668562220001"/>
  </r>
  <r>
    <d v="2018-12-05T00:00:00"/>
    <s v="Meats"/>
    <n v="1"/>
    <n v="2"/>
    <n v="5"/>
    <s v="PEPPERONI SLI CHRPRF 15-17 CT"/>
    <x v="0"/>
    <x v="0"/>
    <n v="10"/>
    <n v="4.5359237000000006"/>
    <n v="19.202999999999999"/>
    <n v="87.103342811100006"/>
  </r>
  <r>
    <d v="2018-09-04T00:00:00"/>
    <s v="Common Market"/>
    <n v="1"/>
    <n v="1"/>
    <n v="160"/>
    <s v="ginger gold apples"/>
    <x v="1"/>
    <x v="1"/>
    <n v="160"/>
    <n v="72.574779200000009"/>
    <n v="0.22800000000000001"/>
    <n v="16.547049657600002"/>
  </r>
  <r>
    <d v="2018-09-04T00:00:00"/>
    <s v="Common Market"/>
    <n v="1"/>
    <n v="1"/>
    <n v="100"/>
    <s v="gala apples"/>
    <x v="1"/>
    <x v="1"/>
    <n v="100"/>
    <n v="45.359237"/>
    <n v="0.22800000000000001"/>
    <n v="10.341906036000001"/>
  </r>
  <r>
    <d v="2018-08-31T00:00:00"/>
    <s v="Common Market"/>
    <n v="1"/>
    <n v="1"/>
    <n v="100"/>
    <s v="gala apples"/>
    <x v="1"/>
    <x v="1"/>
    <n v="100"/>
    <n v="45.359237"/>
    <n v="0.22800000000000001"/>
    <n v="10.341906036000001"/>
  </r>
  <r>
    <d v="2018-09-04T00:00:00"/>
    <s v="Common Market"/>
    <n v="1"/>
    <n v="1"/>
    <n v="160"/>
    <s v="ginger gold apples"/>
    <x v="1"/>
    <x v="1"/>
    <n v="160"/>
    <n v="72.574779200000009"/>
    <n v="0.22800000000000001"/>
    <n v="16.547049657600002"/>
  </r>
  <r>
    <d v="2018-09-04T00:00:00"/>
    <s v="Common Market"/>
    <n v="1"/>
    <n v="1"/>
    <n v="100"/>
    <s v="gala apples"/>
    <x v="1"/>
    <x v="1"/>
    <n v="100"/>
    <n v="45.359237"/>
    <n v="0.22800000000000001"/>
    <n v="10.341906036000001"/>
  </r>
  <r>
    <d v="2018-09-01T00:00:00"/>
    <s v="Royal "/>
    <n v="2"/>
    <n v="1"/>
    <n v="46"/>
    <s v="138 ct red apple"/>
    <x v="1"/>
    <x v="1"/>
    <n v="92"/>
    <n v="41.730498040000001"/>
    <n v="0.22800000000000001"/>
    <n v="9.5145535531200007"/>
  </r>
  <r>
    <d v="2018-09-03T00:00:00"/>
    <s v="Royal "/>
    <n v="3"/>
    <n v="1"/>
    <n v="12.666666666666666"/>
    <s v="1332 granny smith apple"/>
    <x v="1"/>
    <x v="1"/>
    <n v="38"/>
    <n v="17.236510060000001"/>
    <n v="0.22800000000000001"/>
    <n v="3.9299242936800001"/>
  </r>
  <r>
    <d v="2018-09-03T00:00:00"/>
    <s v="Royal "/>
    <n v="3"/>
    <n v="1"/>
    <n v="12.666666666666666"/>
    <s v="1332 red del apple"/>
    <x v="1"/>
    <x v="1"/>
    <n v="38"/>
    <n v="17.236510060000001"/>
    <n v="0.22800000000000001"/>
    <n v="3.9299242936800001"/>
  </r>
  <r>
    <d v="2018-09-03T00:00:00"/>
    <s v="Royal "/>
    <n v="2"/>
    <n v="1"/>
    <n v="10"/>
    <s v="5 apple"/>
    <x v="1"/>
    <x v="1"/>
    <n v="20"/>
    <n v="9.0718474000000011"/>
    <n v="0.22800000000000001"/>
    <n v="2.0683812072000003"/>
  </r>
  <r>
    <d v="2018-08-31T00:00:00"/>
    <s v="Common Market"/>
    <n v="1"/>
    <n v="1"/>
    <n v="160"/>
    <s v="ginger gold apples"/>
    <x v="2"/>
    <x v="1"/>
    <n v="160"/>
    <n v="72.574779200000009"/>
    <n v="0.22800000000000001"/>
    <n v="16.547049657600002"/>
  </r>
  <r>
    <d v="2018-12-03T00:00:00"/>
    <s v="Canned and dry goods"/>
    <n v="1"/>
    <n v="6"/>
    <n v="10"/>
    <s v="PRESERVE APRICOT"/>
    <x v="3"/>
    <x v="1"/>
    <n v="60"/>
    <n v="27.215542200000002"/>
    <n v="3.25"/>
    <n v="88.450512150000009"/>
  </r>
  <r>
    <d v="2018-11-30T00:00:00"/>
    <s v="Canned and dry goods"/>
    <n v="2"/>
    <n v="6"/>
    <n v="6.6138700000000004"/>
    <s v="ARTICHOKE HEART QTR 100-140"/>
    <x v="4"/>
    <x v="1"/>
    <n v="79.366440000000011"/>
    <n v="36.000011618062807"/>
    <n v="0.84599999999999997"/>
    <n v="30.456009828881133"/>
  </r>
  <r>
    <d v="2018-09-03T00:00:00"/>
    <s v="Royal "/>
    <n v="1"/>
    <n v="1"/>
    <n v="3"/>
    <s v="5 baby arugula"/>
    <x v="5"/>
    <x v="1"/>
    <n v="3"/>
    <n v="1.3607771100000001"/>
    <n v="0.3"/>
    <n v="0.40823313300000003"/>
  </r>
  <r>
    <d v="2018-08-31T00:00:00"/>
    <s v="Royal "/>
    <n v="1"/>
    <n v="1"/>
    <n v="66"/>
    <s v="asparagus"/>
    <x v="6"/>
    <x v="1"/>
    <n v="66"/>
    <n v="29.937096420000003"/>
    <n v="2.1709999999999998"/>
    <n v="64.993436327820007"/>
  </r>
  <r>
    <d v="2018-09-01T00:00:00"/>
    <s v="Royal "/>
    <n v="6"/>
    <n v="1"/>
    <n v="11"/>
    <s v="11 asparagus"/>
    <x v="6"/>
    <x v="1"/>
    <n v="66"/>
    <n v="29.937096420000003"/>
    <n v="2.1709999999999998"/>
    <n v="64.993436327820007"/>
  </r>
  <r>
    <d v="2018-11-30T00:00:00"/>
    <s v="Frozen"/>
    <n v="4"/>
    <n v="4"/>
    <n v="6"/>
    <s v="BANANA PLANTAIN FRZN SWEET SLI"/>
    <x v="7"/>
    <x v="1"/>
    <n v="96"/>
    <n v="43.544867520000004"/>
    <n v="0.374"/>
    <n v="16.285780452480001"/>
  </r>
  <r>
    <d v="2018-12-03T00:00:00"/>
    <s v="Frozen"/>
    <n v="5"/>
    <n v="4"/>
    <n v="6"/>
    <s v="BANANA PLANTAIN SLI SWEET"/>
    <x v="7"/>
    <x v="1"/>
    <n v="120"/>
    <n v="54.431084400000003"/>
    <n v="0.374"/>
    <n v="20.3572255656"/>
  </r>
  <r>
    <d v="2018-08-31T00:00:00"/>
    <s v="Royal "/>
    <n v="1"/>
    <n v="1"/>
    <n v="40"/>
    <s v="bananas"/>
    <x v="8"/>
    <x v="1"/>
    <n v="40"/>
    <n v="18.143694800000002"/>
    <n v="0.374"/>
    <n v="6.7857418552000004"/>
  </r>
  <r>
    <d v="2018-09-01T00:00:00"/>
    <s v="Royal "/>
    <n v="10"/>
    <n v="1"/>
    <n v="40"/>
    <s v="40lb bananas"/>
    <x v="8"/>
    <x v="1"/>
    <n v="400"/>
    <n v="181.436948"/>
    <n v="0.374"/>
    <n v="67.857418551999999"/>
  </r>
  <r>
    <d v="2018-09-03T00:00:00"/>
    <s v="Royal "/>
    <n v="10"/>
    <n v="1"/>
    <n v="40"/>
    <s v="40lb bananas"/>
    <x v="8"/>
    <x v="1"/>
    <n v="400"/>
    <n v="181.436948"/>
    <n v="0.374"/>
    <n v="67.857418551999999"/>
  </r>
  <r>
    <d v="2018-09-04T00:00:00"/>
    <s v="Royal "/>
    <n v="4"/>
    <n v="1"/>
    <n v="40"/>
    <s v="40lb bananas"/>
    <x v="8"/>
    <x v="1"/>
    <n v="160"/>
    <n v="72.574779200000009"/>
    <n v="0.374"/>
    <n v="27.142967420800002"/>
  </r>
  <r>
    <d v="2018-09-05T00:00:00"/>
    <s v="Royal "/>
    <n v="8"/>
    <n v="1"/>
    <n v="40"/>
    <s v="bananas"/>
    <x v="8"/>
    <x v="1"/>
    <n v="320"/>
    <n v="145.14955840000002"/>
    <n v="0.374"/>
    <n v="54.285934841600003"/>
  </r>
  <r>
    <d v="2018-09-06T00:00:00"/>
    <s v="Royal "/>
    <n v="6"/>
    <n v="1"/>
    <n v="40"/>
    <s v="bananas"/>
    <x v="8"/>
    <x v="1"/>
    <n v="240"/>
    <n v="108.86216880000001"/>
    <n v="0.374"/>
    <n v="40.714451131200001"/>
  </r>
  <r>
    <d v="2018-08-31T00:00:00"/>
    <s v="Royal "/>
    <n v="1"/>
    <n v="1"/>
    <n v="2"/>
    <s v="basil "/>
    <x v="9"/>
    <x v="1"/>
    <n v="2"/>
    <n v="0.90718474000000004"/>
    <n v="0.221"/>
    <n v="0.20048782754000002"/>
  </r>
  <r>
    <d v="2018-09-01T00:00:00"/>
    <s v="Royal "/>
    <n v="2"/>
    <n v="1"/>
    <n v="1"/>
    <s v="1 basil"/>
    <x v="9"/>
    <x v="1"/>
    <n v="2"/>
    <n v="0.90718474000000004"/>
    <n v="0.221"/>
    <n v="0.20048782754000002"/>
  </r>
  <r>
    <d v="2018-09-03T00:00:00"/>
    <s v="Royal "/>
    <n v="1"/>
    <n v="1"/>
    <n v="1"/>
    <s v="1 basil"/>
    <x v="9"/>
    <x v="1"/>
    <n v="1"/>
    <n v="0.45359237000000002"/>
    <n v="0.221"/>
    <n v="0.10024391377000001"/>
  </r>
  <r>
    <d v="2018-09-05T00:00:00"/>
    <s v="Royal "/>
    <n v="2"/>
    <n v="1"/>
    <n v="1"/>
    <s v="basil "/>
    <x v="9"/>
    <x v="1"/>
    <n v="2"/>
    <n v="0.90718474000000004"/>
    <n v="0.221"/>
    <n v="0.20048782754000002"/>
  </r>
  <r>
    <d v="2018-09-06T00:00:00"/>
    <s v="Royal "/>
    <n v="3"/>
    <n v="1"/>
    <n v="1"/>
    <s v="basil "/>
    <x v="9"/>
    <x v="1"/>
    <n v="3"/>
    <n v="1.3607771100000001"/>
    <n v="0.221"/>
    <n v="0.30073174131000002"/>
  </r>
  <r>
    <d v="2018-11-30T00:00:00"/>
    <s v="Canned and dry goods"/>
    <n v="3"/>
    <n v="6"/>
    <n v="10"/>
    <s v="BEAN BLACK LOW SODIUM"/>
    <x v="10"/>
    <x v="1"/>
    <n v="180"/>
    <n v="81.646626600000005"/>
    <n v="0.308"/>
    <n v="25.1471609928"/>
  </r>
  <r>
    <d v="2018-12-05T00:00:00"/>
    <s v="Canned and dry goods"/>
    <n v="1"/>
    <n v="6"/>
    <n v="10"/>
    <s v="BEAN BLACK LOW SODIUM"/>
    <x v="10"/>
    <x v="1"/>
    <n v="60"/>
    <n v="27.215542200000002"/>
    <n v="0.308"/>
    <n v="8.3823869976000012"/>
  </r>
  <r>
    <d v="2018-08-31T00:00:00"/>
    <s v="Royal "/>
    <n v="1"/>
    <n v="1"/>
    <n v="40"/>
    <s v="green tip beans"/>
    <x v="11"/>
    <x v="1"/>
    <n v="40"/>
    <n v="18.143694800000002"/>
    <n v="0.66200000000000003"/>
    <n v="12.011125957600003"/>
  </r>
  <r>
    <d v="2018-09-01T00:00:00"/>
    <s v="Royal "/>
    <n v="6"/>
    <n v="1"/>
    <n v="10"/>
    <s v="5 green beans"/>
    <x v="12"/>
    <x v="1"/>
    <n v="60"/>
    <n v="27.215542200000002"/>
    <n v="0.66200000000000003"/>
    <n v="18.016688936400001"/>
  </r>
  <r>
    <d v="2018-09-03T00:00:00"/>
    <s v="Royal "/>
    <n v="1"/>
    <n v="1"/>
    <n v="10"/>
    <s v="5 green beans"/>
    <x v="12"/>
    <x v="1"/>
    <n v="10"/>
    <n v="4.5359237000000006"/>
    <n v="0.66200000000000003"/>
    <n v="3.0027814894000007"/>
  </r>
  <r>
    <d v="2018-09-04T00:00:00"/>
    <s v="Royal "/>
    <n v="4"/>
    <n v="1"/>
    <n v="10"/>
    <s v="5 green beans"/>
    <x v="12"/>
    <x v="1"/>
    <n v="40"/>
    <n v="18.143694800000002"/>
    <n v="0.66200000000000003"/>
    <n v="12.011125957600003"/>
  </r>
  <r>
    <d v="2018-11-30T00:00:00"/>
    <s v="Canned and dry goods"/>
    <n v="2"/>
    <n v="6"/>
    <n v="10"/>
    <s v="BEAN GREAT NRTHRN FCY"/>
    <x v="13"/>
    <x v="1"/>
    <n v="120"/>
    <n v="54.431084400000003"/>
    <n v="0.308"/>
    <n v="16.764773995200002"/>
  </r>
  <r>
    <d v="2018-11-30T00:00:00"/>
    <s v="Canned and dry goods"/>
    <n v="3"/>
    <n v="6"/>
    <n v="10"/>
    <s v="BEAN KIDNEY DK RED LOW SODIUM"/>
    <x v="14"/>
    <x v="1"/>
    <n v="180"/>
    <n v="81.646626600000005"/>
    <n v="0.308"/>
    <n v="25.1471609928"/>
  </r>
  <r>
    <d v="2018-12-05T00:00:00"/>
    <s v="Canned and dry goods"/>
    <n v="1"/>
    <n v="6"/>
    <n v="10"/>
    <s v="BEAN KIDNEY LIGHT RED"/>
    <x v="14"/>
    <x v="1"/>
    <n v="60"/>
    <n v="27.215542200000002"/>
    <n v="0.308"/>
    <n v="8.3823869976000012"/>
  </r>
  <r>
    <d v="2018-12-05T00:00:00"/>
    <s v="Canned and dry goods"/>
    <n v="1"/>
    <n v="1"/>
    <n v="20"/>
    <s v="BEAN PINTO DRIED MULTI-CLEAN"/>
    <x v="15"/>
    <x v="1"/>
    <n v="20"/>
    <n v="9.0718474000000011"/>
    <n v="0.308"/>
    <n v="2.7941289992000002"/>
  </r>
  <r>
    <d v="2018-09-01T00:00:00"/>
    <s v="Royal "/>
    <n v="2"/>
    <n v="1"/>
    <n v="10"/>
    <s v="10lb snap pea "/>
    <x v="16"/>
    <x v="1"/>
    <n v="20"/>
    <n v="9.0718474000000011"/>
    <n v="0.754"/>
    <n v="6.8401729396000013"/>
  </r>
  <r>
    <d v="2018-09-07T00:00:00"/>
    <s v="White Oak Pastures"/>
    <n v="1"/>
    <n v="1"/>
    <n v="150"/>
    <s v="beef ground"/>
    <x v="17"/>
    <x v="0"/>
    <n v="150"/>
    <n v="68.038855500000011"/>
    <n v="32.845999999999997"/>
    <n v="2234.8042477530003"/>
  </r>
  <r>
    <d v="2018-09-07T00:00:00"/>
    <s v="White Oak Pastures"/>
    <n v="1"/>
    <n v="1"/>
    <n v="120"/>
    <s v="beef patties"/>
    <x v="17"/>
    <x v="0"/>
    <n v="120"/>
    <n v="54.431084400000003"/>
    <n v="32.845999999999997"/>
    <n v="1787.8433982023998"/>
  </r>
  <r>
    <d v="2018-08-31T00:00:00"/>
    <s v="Georgia Halal Meat (Emory)"/>
    <n v="1"/>
    <n v="1"/>
    <n v="40"/>
    <s v="beef K"/>
    <x v="17"/>
    <x v="0"/>
    <n v="40"/>
    <n v="18.143694800000002"/>
    <n v="32.845999999999997"/>
    <n v="595.94779940080002"/>
  </r>
  <r>
    <d v="2018-08-31T00:00:00"/>
    <s v="Georgia Halal Meat (Emory)"/>
    <n v="1"/>
    <n v="1"/>
    <n v="61.22"/>
    <s v="beef bots."/>
    <x v="17"/>
    <x v="0"/>
    <n v="61.22"/>
    <n v="27.768924891400001"/>
    <n v="32.845999999999997"/>
    <n v="912.09810698292438"/>
  </r>
  <r>
    <d v="2018-09-04T00:00:00"/>
    <s v="Georgia Halal Meat (Emory)"/>
    <n v="1"/>
    <n v="1"/>
    <n v="52"/>
    <s v="beef bots."/>
    <x v="17"/>
    <x v="0"/>
    <n v="52"/>
    <n v="23.586803240000002"/>
    <n v="32.845999999999997"/>
    <n v="774.73213922104003"/>
  </r>
  <r>
    <d v="2018-09-04T00:00:00"/>
    <s v="Georgia Halal Meat (Emory)"/>
    <n v="1"/>
    <n v="1"/>
    <n v="40"/>
    <s v="beef keewia"/>
    <x v="17"/>
    <x v="0"/>
    <n v="40"/>
    <n v="18.143694800000002"/>
    <n v="32.845999999999997"/>
    <n v="595.94779940080002"/>
  </r>
  <r>
    <d v="2018-11-30T00:00:00"/>
    <s v="Meats"/>
    <n v="1"/>
    <n v="1"/>
    <n v="220.62"/>
    <s v="BEEF EYE OF RND HALAL IAP"/>
    <x v="17"/>
    <x v="0"/>
    <n v="220.62"/>
    <n v="100.0715486694"/>
    <n v="32.845999999999997"/>
    <n v="3286.9500875951121"/>
  </r>
  <r>
    <d v="2018-12-05T00:00:00"/>
    <s v="Meats"/>
    <n v="4"/>
    <n v="1"/>
    <n v="10"/>
    <s v="FRANK BEEF 8X1 F/C"/>
    <x v="17"/>
    <x v="0"/>
    <n v="40"/>
    <n v="18.143694800000002"/>
    <n v="32.845999999999997"/>
    <n v="595.94779940080002"/>
  </r>
  <r>
    <d v="2018-12-05T00:00:00"/>
    <s v="Meats"/>
    <n v="1"/>
    <n v="1"/>
    <n v="143.28"/>
    <s v="BEEF EYE OF RND HALAL IAP"/>
    <x v="17"/>
    <x v="0"/>
    <n v="143.28"/>
    <n v="64.990714773600004"/>
    <n v="32.845999999999997"/>
    <n v="2134.6850174536653"/>
  </r>
  <r>
    <d v="2018-11-30T00:00:00"/>
    <s v="Frozen"/>
    <n v="4"/>
    <n v="40"/>
    <n v="0.25"/>
    <s v="BURGER VEG BEYOND PATTY"/>
    <x v="18"/>
    <x v="1"/>
    <n v="40"/>
    <n v="18.143694800000002"/>
    <n v="3.5270000000000001"/>
    <n v="63.992811559600007"/>
  </r>
  <r>
    <d v="2018-11-30T00:00:00"/>
    <s v="Frozen"/>
    <n v="2"/>
    <n v="2"/>
    <n v="5"/>
    <s v="STRIP CHICKEN-FREE LTY SEASON"/>
    <x v="19"/>
    <x v="1"/>
    <n v="20"/>
    <n v="9.0718474000000011"/>
    <n v="0"/>
    <n v="0"/>
  </r>
  <r>
    <d v="2018-11-30T00:00:00"/>
    <s v="Frozen"/>
    <n v="2"/>
    <n v="210"/>
    <s v="1.0.125"/>
    <s v="DOUGH BISCUIT SOUTHERN STY MIN"/>
    <x v="20"/>
    <x v="1"/>
    <n v="0"/>
    <n v="0"/>
    <n v="2.2999999999999998"/>
    <n v="0"/>
  </r>
  <r>
    <d v="2018-11-30T00:00:00"/>
    <s v="Frozen"/>
    <n v="4"/>
    <n v="48"/>
    <n v="0.18124999999999999"/>
    <s v="BURGER BLK BEAN SPCY"/>
    <x v="21"/>
    <x v="1"/>
    <n v="34.799999999999997"/>
    <n v="15.785014475999999"/>
    <n v="6.87"/>
    <n v="108.44304945012"/>
  </r>
  <r>
    <d v="2018-08-31T00:00:00"/>
    <s v="Royal "/>
    <n v="1"/>
    <n v="1"/>
    <n v="6"/>
    <s v="blackberry"/>
    <x v="22"/>
    <x v="1"/>
    <n v="6"/>
    <n v="2.7215542200000002"/>
    <n v="0.59899999999999998"/>
    <n v="1.63021097778"/>
  </r>
  <r>
    <d v="2018-09-01T00:00:00"/>
    <s v="Royal "/>
    <n v="6"/>
    <n v="1"/>
    <n v="6"/>
    <s v="12ct blackberry clamshell"/>
    <x v="22"/>
    <x v="1"/>
    <n v="36"/>
    <n v="16.329325319999999"/>
    <n v="0.59899999999999998"/>
    <n v="9.7812658666799983"/>
  </r>
  <r>
    <d v="2018-09-03T00:00:00"/>
    <s v="Royal "/>
    <n v="5"/>
    <n v="1"/>
    <n v="6"/>
    <s v="12ct blackberry clamshell"/>
    <x v="22"/>
    <x v="1"/>
    <n v="30"/>
    <n v="13.607771100000001"/>
    <n v="0.59899999999999998"/>
    <n v="8.151054888900001"/>
  </r>
  <r>
    <d v="2018-09-04T00:00:00"/>
    <s v="Royal "/>
    <n v="5"/>
    <n v="1"/>
    <n v="6"/>
    <s v="12ct blackberry clamshell"/>
    <x v="22"/>
    <x v="1"/>
    <n v="30"/>
    <n v="13.607771100000001"/>
    <n v="0.59899999999999998"/>
    <n v="8.151054888900001"/>
  </r>
  <r>
    <d v="2018-08-31T00:00:00"/>
    <s v="Royal "/>
    <n v="1"/>
    <n v="1"/>
    <n v="6"/>
    <s v="blueberry"/>
    <x v="23"/>
    <x v="1"/>
    <n v="6"/>
    <n v="2.7215542200000002"/>
    <n v="0.59899999999999998"/>
    <n v="1.63021097778"/>
  </r>
  <r>
    <d v="2018-09-01T00:00:00"/>
    <s v="Royal "/>
    <n v="6"/>
    <n v="1"/>
    <n v="6"/>
    <s v="12ct blueberry clamshell"/>
    <x v="23"/>
    <x v="1"/>
    <n v="36"/>
    <n v="16.329325319999999"/>
    <n v="0.59899999999999998"/>
    <n v="9.7812658666799983"/>
  </r>
  <r>
    <d v="2018-09-03T00:00:00"/>
    <s v="Royal "/>
    <n v="5"/>
    <n v="1"/>
    <n v="6"/>
    <s v="12ct blueberry clamshell"/>
    <x v="23"/>
    <x v="1"/>
    <n v="30"/>
    <n v="13.607771100000001"/>
    <n v="0.59899999999999998"/>
    <n v="8.151054888900001"/>
  </r>
  <r>
    <d v="2018-09-04T00:00:00"/>
    <s v="Royal "/>
    <n v="5"/>
    <n v="1"/>
    <n v="6"/>
    <s v="12ct blueberry clamshell"/>
    <x v="23"/>
    <x v="1"/>
    <n v="30"/>
    <n v="13.607771100000001"/>
    <n v="0.59899999999999998"/>
    <n v="8.151054888900001"/>
  </r>
  <r>
    <d v="2018-11-30T00:00:00"/>
    <s v="Canned and dry goods"/>
    <n v="1"/>
    <n v="1"/>
    <n v="25"/>
    <s v="BREAD CRUMB JAP PANKO TOASTED"/>
    <x v="24"/>
    <x v="1"/>
    <n v="25"/>
    <n v="11.33980925"/>
    <n v="1.28"/>
    <n v="14.514955840000001"/>
  </r>
  <r>
    <d v="2018-12-05T00:00:00"/>
    <s v="Frozen"/>
    <n v="1"/>
    <n v="10"/>
    <n v="1"/>
    <s v="BREAD FOCACCIA QTR SHEET"/>
    <x v="24"/>
    <x v="1"/>
    <n v="10"/>
    <n v="4.5359237000000006"/>
    <n v="1.28"/>
    <n v="5.8059823360000005"/>
  </r>
  <r>
    <d v="2018-09-01T00:00:00"/>
    <s v="Royal "/>
    <n v="8"/>
    <n v="1"/>
    <n v="12"/>
    <s v="4lb broccoli"/>
    <x v="25"/>
    <x v="1"/>
    <n v="96"/>
    <n v="43.544867520000004"/>
    <n v="0.79700000000000004"/>
    <n v="34.705259413440004"/>
  </r>
  <r>
    <d v="2018-09-04T00:00:00"/>
    <s v="Royal "/>
    <n v="6"/>
    <n v="1"/>
    <n v="12"/>
    <s v="4lb broccoli"/>
    <x v="25"/>
    <x v="1"/>
    <n v="72"/>
    <n v="32.658650639999998"/>
    <n v="0.79700000000000004"/>
    <n v="26.028944560079999"/>
  </r>
  <r>
    <d v="2018-09-04T00:00:00"/>
    <s v="Royal "/>
    <n v="8"/>
    <n v="1"/>
    <n v="12"/>
    <s v="4lb broccoli"/>
    <x v="25"/>
    <x v="1"/>
    <n v="96"/>
    <n v="43.544867520000004"/>
    <n v="0.79700000000000004"/>
    <n v="34.705259413440004"/>
  </r>
  <r>
    <d v="2018-08-31T00:00:00"/>
    <s v="Royal "/>
    <n v="1"/>
    <n v="1"/>
    <n v="48"/>
    <s v="brocolli"/>
    <x v="26"/>
    <x v="1"/>
    <n v="48"/>
    <n v="21.772433760000002"/>
    <n v="0.79700000000000004"/>
    <n v="17.352629706720002"/>
  </r>
  <r>
    <d v="2018-09-05T00:00:00"/>
    <s v="Royal "/>
    <n v="2"/>
    <n v="1"/>
    <n v="12"/>
    <s v="brocolli"/>
    <x v="26"/>
    <x v="1"/>
    <n v="24"/>
    <n v="10.886216880000001"/>
    <n v="0.79700000000000004"/>
    <n v="8.676314853360001"/>
  </r>
  <r>
    <d v="2018-09-06T00:00:00"/>
    <s v="Royal "/>
    <n v="8"/>
    <n v="1"/>
    <n v="12"/>
    <s v="brocolli"/>
    <x v="26"/>
    <x v="1"/>
    <n v="96"/>
    <n v="43.544867520000004"/>
    <n v="0.79700000000000004"/>
    <n v="34.705259413440004"/>
  </r>
  <r>
    <d v="2018-08-31T00:00:00"/>
    <s v="Royal "/>
    <n v="1"/>
    <n v="1"/>
    <n v="10"/>
    <s v="brussel sprouts"/>
    <x v="27"/>
    <x v="1"/>
    <n v="10"/>
    <n v="4.5359237000000006"/>
    <n v="0.49"/>
    <n v="2.2226026130000003"/>
  </r>
  <r>
    <d v="2018-09-04T00:00:00"/>
    <s v="Royal "/>
    <n v="2"/>
    <n v="1"/>
    <n v="20"/>
    <s v="5 brussels"/>
    <x v="28"/>
    <x v="1"/>
    <n v="40"/>
    <n v="18.143694800000002"/>
    <n v="0.49"/>
    <n v="8.8904104520000011"/>
  </r>
  <r>
    <d v="2018-09-06T00:00:00"/>
    <s v="Royal "/>
    <n v="2"/>
    <n v="1"/>
    <n v="20"/>
    <s v="brussel sprouts"/>
    <x v="28"/>
    <x v="1"/>
    <n v="40"/>
    <n v="18.143694800000002"/>
    <n v="0.49"/>
    <n v="8.8904104520000011"/>
  </r>
  <r>
    <d v="2018-12-05T00:00:00"/>
    <s v="Frozen"/>
    <n v="2"/>
    <n v="12"/>
    <n v="1.3125"/>
    <s v="BUN HOAGIE WHT 6 HNGD HARTHBK"/>
    <x v="29"/>
    <x v="1"/>
    <n v="31.5"/>
    <n v="14.288159655000001"/>
    <n v="1.28"/>
    <n v="18.288844358400002"/>
  </r>
  <r>
    <d v="2018-11-30T00:00:00"/>
    <s v="Dairy Products"/>
    <n v="2"/>
    <n v="36"/>
    <n v="1"/>
    <s v="BUTTER SOLID UNSLTD USDA AA"/>
    <x v="30"/>
    <x v="2"/>
    <n v="72"/>
    <n v="32.658650639999998"/>
    <n v="11.52"/>
    <n v="376.22765537279997"/>
  </r>
  <r>
    <d v="2018-09-04T00:00:00"/>
    <s v="Common Market"/>
    <n v="1"/>
    <n v="1"/>
    <n v="90"/>
    <s v="green cabbage"/>
    <x v="31"/>
    <x v="1"/>
    <n v="90"/>
    <n v="40.823313300000002"/>
    <n v="0.219"/>
    <n v="8.9403056127000013"/>
  </r>
  <r>
    <d v="2018-08-31T00:00:00"/>
    <s v="Common Market"/>
    <n v="1"/>
    <n v="1"/>
    <n v="90"/>
    <s v="green cabbage"/>
    <x v="31"/>
    <x v="1"/>
    <n v="90"/>
    <n v="40.823313300000002"/>
    <n v="0.219"/>
    <n v="8.9403056127000013"/>
  </r>
  <r>
    <d v="2018-09-04T00:00:00"/>
    <s v="Common Market"/>
    <n v="1"/>
    <n v="1"/>
    <n v="90"/>
    <s v="green cabbage"/>
    <x v="31"/>
    <x v="1"/>
    <n v="90"/>
    <n v="40.823313300000002"/>
    <n v="0.219"/>
    <n v="8.9403056127000013"/>
  </r>
  <r>
    <d v="2018-11-30T00:00:00"/>
    <s v="Canned and dry goods"/>
    <n v="4"/>
    <n v="1"/>
    <n v="35"/>
    <s v="OIL CANOLA PURE ZTF"/>
    <x v="32"/>
    <x v="1"/>
    <n v="140"/>
    <n v="63.502931800000006"/>
    <n v="2.6459999999999999"/>
    <n v="168.02875754280001"/>
  </r>
  <r>
    <d v="2018-08-31T00:00:00"/>
    <s v="Royal "/>
    <n v="1"/>
    <n v="1"/>
    <n v="270"/>
    <s v="cantaloupe"/>
    <x v="33"/>
    <x v="1"/>
    <n v="270"/>
    <n v="122.4699399"/>
    <n v="0.49"/>
    <n v="60.010270550999998"/>
  </r>
  <r>
    <d v="2018-09-04T00:00:00"/>
    <s v="Royal "/>
    <n v="6"/>
    <n v="1"/>
    <n v="27"/>
    <s v="27 cantaloupe"/>
    <x v="33"/>
    <x v="1"/>
    <n v="162"/>
    <n v="73.48196394"/>
    <n v="0.49"/>
    <n v="36.006162330599999"/>
  </r>
  <r>
    <d v="2018-09-04T00:00:00"/>
    <s v="Royal "/>
    <n v="5"/>
    <n v="1"/>
    <n v="27"/>
    <s v="27 cantaloupe"/>
    <x v="33"/>
    <x v="1"/>
    <n v="135"/>
    <n v="61.23496995"/>
    <n v="0.49"/>
    <n v="30.005135275499999"/>
  </r>
  <r>
    <d v="2018-09-05T00:00:00"/>
    <s v="Royal "/>
    <n v="2"/>
    <n v="1"/>
    <n v="27"/>
    <s v="cantaloupe"/>
    <x v="33"/>
    <x v="1"/>
    <n v="54"/>
    <n v="24.493987980000004"/>
    <n v="0.49"/>
    <n v="12.002054110200001"/>
  </r>
  <r>
    <d v="2018-09-06T00:00:00"/>
    <s v="Royal "/>
    <n v="6"/>
    <n v="1"/>
    <n v="27"/>
    <s v="cantaloupe"/>
    <x v="33"/>
    <x v="1"/>
    <n v="162"/>
    <n v="73.48196394"/>
    <n v="0.49"/>
    <n v="36.006162330599999"/>
  </r>
  <r>
    <d v="2018-08-31T00:00:00"/>
    <s v="Royal "/>
    <n v="1"/>
    <n v="1"/>
    <n v="50"/>
    <s v="carrot"/>
    <x v="34"/>
    <x v="1"/>
    <n v="50"/>
    <n v="22.6796185"/>
    <n v="9.1999999999999998E-2"/>
    <n v="2.0865249019999998"/>
  </r>
  <r>
    <d v="2018-09-01T00:00:00"/>
    <s v="Royal "/>
    <n v="2"/>
    <n v="1"/>
    <n v="20"/>
    <s v="5 carrot"/>
    <x v="34"/>
    <x v="1"/>
    <n v="40"/>
    <n v="18.143694800000002"/>
    <n v="9.1999999999999998E-2"/>
    <n v="1.6692199216000001"/>
  </r>
  <r>
    <d v="2018-09-05T00:00:00"/>
    <s v="Royal "/>
    <n v="2"/>
    <n v="1"/>
    <n v="50"/>
    <s v="carrot"/>
    <x v="34"/>
    <x v="1"/>
    <n v="100"/>
    <n v="45.359237"/>
    <n v="9.1999999999999998E-2"/>
    <n v="4.1730498039999997"/>
  </r>
  <r>
    <d v="2018-09-05T00:00:00"/>
    <s v="Royal "/>
    <n v="1"/>
    <n v="1"/>
    <n v="20"/>
    <s v="carrot"/>
    <x v="34"/>
    <x v="1"/>
    <n v="20"/>
    <n v="9.0718474000000011"/>
    <n v="9.1999999999999998E-2"/>
    <n v="0.83460996080000005"/>
  </r>
  <r>
    <d v="2018-09-06T00:00:00"/>
    <s v="Royal "/>
    <n v="2"/>
    <n v="1"/>
    <n v="20"/>
    <s v="carrot"/>
    <x v="34"/>
    <x v="1"/>
    <n v="40"/>
    <n v="18.143694800000002"/>
    <n v="9.1999999999999998E-2"/>
    <n v="1.6692199216000001"/>
  </r>
  <r>
    <d v="2018-09-04T00:00:00"/>
    <s v="Royal "/>
    <n v="2"/>
    <n v="1"/>
    <n v="20"/>
    <s v="5 carrots"/>
    <x v="34"/>
    <x v="1"/>
    <n v="40"/>
    <n v="18.143694800000002"/>
    <n v="9.1999999999999998E-2"/>
    <n v="1.6692199216000001"/>
  </r>
  <r>
    <d v="2018-08-31T00:00:00"/>
    <s v="Royal "/>
    <n v="1"/>
    <n v="1"/>
    <n v="10"/>
    <s v="shredded carrots"/>
    <x v="35"/>
    <x v="1"/>
    <n v="10"/>
    <n v="4.5359237000000006"/>
    <n v="9.1999999999999998E-2"/>
    <n v="0.41730498040000003"/>
  </r>
  <r>
    <d v="2018-08-31T00:00:00"/>
    <s v="Royal "/>
    <n v="1"/>
    <n v="1"/>
    <n v="20"/>
    <s v="cauliflower florets"/>
    <x v="36"/>
    <x v="1"/>
    <n v="20"/>
    <n v="9.0718474000000011"/>
    <n v="0.93400000000000005"/>
    <n v="8.473105471600002"/>
  </r>
  <r>
    <d v="2018-09-01T00:00:00"/>
    <s v="Royal "/>
    <n v="3"/>
    <n v="1"/>
    <n v="15.600000000000001"/>
    <s v="4lb cauliflower"/>
    <x v="36"/>
    <x v="1"/>
    <n v="46.800000000000004"/>
    <n v="21.228122916000004"/>
    <n v="0.93400000000000005"/>
    <n v="19.827066803544003"/>
  </r>
  <r>
    <d v="2018-09-04T00:00:00"/>
    <s v="Royal "/>
    <n v="4"/>
    <n v="1"/>
    <n v="12"/>
    <s v="4lb cauliflower"/>
    <x v="36"/>
    <x v="1"/>
    <n v="48"/>
    <n v="21.772433760000002"/>
    <n v="0.93400000000000005"/>
    <n v="20.335453131840001"/>
  </r>
  <r>
    <d v="2018-09-04T00:00:00"/>
    <s v="Royal "/>
    <n v="2"/>
    <n v="1"/>
    <n v="12"/>
    <s v="4lb cauliflower"/>
    <x v="36"/>
    <x v="1"/>
    <n v="24"/>
    <n v="10.886216880000001"/>
    <n v="0.93400000000000005"/>
    <n v="10.167726565920001"/>
  </r>
  <r>
    <d v="2018-09-05T00:00:00"/>
    <s v="Royal "/>
    <n v="1"/>
    <n v="1"/>
    <n v="36"/>
    <s v="celery"/>
    <x v="37"/>
    <x v="1"/>
    <n v="36"/>
    <n v="16.329325319999999"/>
    <n v="0.33100000000000002"/>
    <n v="5.4050066809199997"/>
  </r>
  <r>
    <d v="2018-11-30T00:00:00"/>
    <s v="Canned and dry goods"/>
    <n v="2"/>
    <n v="4"/>
    <n v="30.3125"/>
    <s v="CEREAL LUCKY CHARMS GLUTN FR"/>
    <x v="38"/>
    <x v="1"/>
    <n v="242.5"/>
    <n v="109.99614972500001"/>
    <n v="1.61"/>
    <n v="177.09380105725003"/>
  </r>
  <r>
    <d v="2018-11-30T00:00:00"/>
    <s v="Canned and dry goods"/>
    <n v="2"/>
    <n v="4"/>
    <n v="40.3125"/>
    <s v="CEREAL CINN TST CRUN BULKPAK"/>
    <x v="38"/>
    <x v="1"/>
    <n v="322.5"/>
    <n v="146.28353932500002"/>
    <n v="1.61"/>
    <n v="235.51649831325005"/>
  </r>
  <r>
    <d v="2018-12-03T00:00:00"/>
    <s v="Canned and dry goods"/>
    <n v="1"/>
    <n v="4"/>
    <n v="1.8125"/>
    <s v="CEREAL CHEERIO GLUTEN FR"/>
    <x v="38"/>
    <x v="1"/>
    <n v="7.25"/>
    <n v="3.2885446825"/>
    <n v="1.61"/>
    <n v="5.294556938825"/>
  </r>
  <r>
    <d v="2018-12-03T00:00:00"/>
    <s v="Canned and dry goods"/>
    <n v="1"/>
    <n v="4"/>
    <n v="2.5"/>
    <s v="CEREAL FROSTED FLAKES"/>
    <x v="38"/>
    <x v="1"/>
    <n v="10"/>
    <n v="4.5359237000000006"/>
    <n v="1.61"/>
    <n v="7.3028371570000017"/>
  </r>
  <r>
    <d v="2018-12-03T00:00:00"/>
    <s v="Canned and dry goods"/>
    <n v="2"/>
    <n v="4"/>
    <n v="30.3125"/>
    <s v="CEREAL LUCKY CHARMS GLUTN FR"/>
    <x v="38"/>
    <x v="1"/>
    <n v="242.5"/>
    <n v="109.99614972500001"/>
    <n v="1.61"/>
    <n v="177.09380105725003"/>
  </r>
  <r>
    <d v="2018-12-03T00:00:00"/>
    <s v="Canned and dry goods"/>
    <n v="2"/>
    <n v="4"/>
    <n v="30.3125"/>
    <s v="CEREAL COCOA PUFFS BULKPAK"/>
    <x v="38"/>
    <x v="1"/>
    <n v="242.5"/>
    <n v="109.99614972500001"/>
    <n v="1.61"/>
    <n v="177.09380105725003"/>
  </r>
  <r>
    <d v="2018-12-03T00:00:00"/>
    <s v="Canned and dry goods"/>
    <n v="1"/>
    <n v="4"/>
    <n v="3.125"/>
    <s v="CEREAL GRANOLA OATSN HNY BLKPK"/>
    <x v="38"/>
    <x v="1"/>
    <n v="12.5"/>
    <n v="5.669904625"/>
    <n v="1.61"/>
    <n v="9.1285464462500006"/>
  </r>
  <r>
    <d v="2018-12-05T00:00:00"/>
    <s v="Canned and dry goods"/>
    <n v="1"/>
    <n v="4"/>
    <n v="1.8125"/>
    <s v="CEREAL CHEERIO GLUTEN FR"/>
    <x v="38"/>
    <x v="1"/>
    <n v="7.25"/>
    <n v="3.2885446825"/>
    <n v="1.61"/>
    <n v="5.294556938825"/>
  </r>
  <r>
    <d v="2018-12-05T00:00:00"/>
    <s v="Canned and dry goods"/>
    <n v="3"/>
    <n v="4"/>
    <n v="2.5"/>
    <s v="CEREAL FROSTED FLAKES"/>
    <x v="38"/>
    <x v="1"/>
    <n v="30"/>
    <n v="13.607771100000001"/>
    <n v="1.61"/>
    <n v="21.908511471000004"/>
  </r>
  <r>
    <d v="2018-12-05T00:00:00"/>
    <s v="Canned and dry goods"/>
    <n v="3"/>
    <n v="4"/>
    <n v="30.3125"/>
    <s v="CEREAL LUCKY CHARMS GLUTN FR"/>
    <x v="38"/>
    <x v="1"/>
    <n v="363.75"/>
    <n v="164.99422458750001"/>
    <n v="1.61"/>
    <n v="265.64070158587504"/>
  </r>
  <r>
    <d v="2018-12-05T00:00:00"/>
    <s v="Canned and dry goods"/>
    <n v="1"/>
    <n v="4"/>
    <n v="30.3125"/>
    <s v="CEREAL COCOA PUFFS BULKPAK"/>
    <x v="38"/>
    <x v="1"/>
    <n v="121.25"/>
    <n v="54.998074862500005"/>
    <n v="1.61"/>
    <n v="88.546900528625017"/>
  </r>
  <r>
    <d v="2018-12-05T00:00:00"/>
    <s v="Canned and dry goods"/>
    <n v="4"/>
    <n v="4"/>
    <n v="40.3125"/>
    <s v="CEREAL CINN TST CRUN BULKPAK"/>
    <x v="38"/>
    <x v="1"/>
    <n v="645"/>
    <n v="292.56707865000004"/>
    <n v="1.61"/>
    <n v="471.03299662650011"/>
  </r>
  <r>
    <d v="2018-12-05T00:00:00"/>
    <s v="Canned and dry goods"/>
    <n v="1"/>
    <n v="4"/>
    <n v="3.125"/>
    <s v="CEREAL GRANOLA OATSN HNY BLKPK"/>
    <x v="38"/>
    <x v="1"/>
    <n v="12.5"/>
    <n v="5.669904625"/>
    <n v="1.61"/>
    <n v="9.1285464462500006"/>
  </r>
  <r>
    <d v="2018-11-30T00:00:00"/>
    <s v="Canned and dry goods"/>
    <n v="2"/>
    <n v="4"/>
    <n v="30.0625"/>
    <s v="CEREAL APPLE JACKS"/>
    <x v="39"/>
    <x v="1"/>
    <n v="240.5"/>
    <n v="109.088964985"/>
    <n v="1.61"/>
    <n v="175.63323362585001"/>
  </r>
  <r>
    <d v="2018-11-30T00:00:00"/>
    <s v="Canned and dry goods"/>
    <n v="2"/>
    <n v="4"/>
    <n v="2.5"/>
    <s v="CEREAL FROSTED FLAKES"/>
    <x v="40"/>
    <x v="1"/>
    <n v="20"/>
    <n v="9.0718474000000011"/>
    <n v="1.61"/>
    <n v="14.605674314000003"/>
  </r>
  <r>
    <d v="2018-11-30T00:00:00"/>
    <s v="Canned and dry goods"/>
    <n v="4"/>
    <n v="4"/>
    <n v="3.125"/>
    <s v="CEREAL GRANOLA OATSN HNY BLKPK"/>
    <x v="41"/>
    <x v="1"/>
    <n v="50"/>
    <n v="22.6796185"/>
    <n v="1.61"/>
    <n v="36.514185785000002"/>
  </r>
  <r>
    <d v="2018-09-05T00:00:00"/>
    <s v="Royal "/>
    <n v="3"/>
    <n v="1"/>
    <n v="30"/>
    <s v="mozzarella cheese"/>
    <x v="42"/>
    <x v="2"/>
    <n v="90"/>
    <n v="40.823313300000002"/>
    <n v="9.9740000000000002"/>
    <n v="407.17172685420002"/>
  </r>
  <r>
    <d v="2018-11-30T00:00:00"/>
    <s v="Dairy Products"/>
    <n v="2"/>
    <n v="6"/>
    <n v="1"/>
    <s v="CHEESE MOZZ FRSH SLI 18 CT"/>
    <x v="42"/>
    <x v="2"/>
    <n v="12"/>
    <n v="5.4431084400000005"/>
    <n v="9.9740000000000002"/>
    <n v="54.289563580560007"/>
  </r>
  <r>
    <d v="2018-11-30T00:00:00"/>
    <s v="Dairy Products"/>
    <n v="2"/>
    <n v="6"/>
    <n v="3"/>
    <s v="CHEESE CREAM ORIG LOAF"/>
    <x v="42"/>
    <x v="2"/>
    <n v="36"/>
    <n v="16.329325319999999"/>
    <n v="9.9740000000000002"/>
    <n v="162.86869074167998"/>
  </r>
  <r>
    <d v="2018-11-30T00:00:00"/>
    <s v="Dairy Products"/>
    <n v="2"/>
    <n v="4"/>
    <n v="5"/>
    <s v="CHEESE COTTAGE SMALL CURD 4%"/>
    <x v="42"/>
    <x v="2"/>
    <n v="40"/>
    <n v="18.143694800000002"/>
    <n v="9.9740000000000002"/>
    <n v="180.96521193520002"/>
  </r>
  <r>
    <d v="2018-11-30T00:00:00"/>
    <s v="Dairy Products"/>
    <n v="15"/>
    <n v="4"/>
    <n v="5"/>
    <s v="CHEESE MOZZ FTHR SHRD WHL MILK"/>
    <x v="42"/>
    <x v="2"/>
    <n v="300"/>
    <n v="136.07771100000002"/>
    <n v="9.9740000000000002"/>
    <n v="1357.2390895140002"/>
  </r>
  <r>
    <d v="2018-11-30T00:00:00"/>
    <s v="Dairy Products"/>
    <n v="1"/>
    <n v="4"/>
    <n v="5"/>
    <s v="CHEESE AMER YEL 160 SLI"/>
    <x v="42"/>
    <x v="2"/>
    <n v="20"/>
    <n v="9.0718474000000011"/>
    <n v="9.9740000000000002"/>
    <n v="90.482605967600009"/>
  </r>
  <r>
    <d v="2018-11-30T00:00:00"/>
    <s v="Dairy Products"/>
    <n v="4"/>
    <n v="4"/>
    <n v="5"/>
    <s v="CHEESE CHDR MILD FTHR SHRD"/>
    <x v="42"/>
    <x v="2"/>
    <n v="80"/>
    <n v="36.287389600000004"/>
    <n v="9.9740000000000002"/>
    <n v="361.93042387040003"/>
  </r>
  <r>
    <d v="2018-11-30T00:00:00"/>
    <s v="Dairy Products"/>
    <n v="3"/>
    <n v="4"/>
    <n v="5"/>
    <s v="CHEESE BLUE CRUMBLE"/>
    <x v="42"/>
    <x v="2"/>
    <n v="60"/>
    <n v="27.215542200000002"/>
    <n v="9.9740000000000002"/>
    <n v="271.44781790280001"/>
  </r>
  <r>
    <d v="2018-11-30T00:00:00"/>
    <s v="Dairy Products"/>
    <n v="2"/>
    <n v="4"/>
    <n v="2.5"/>
    <s v="CHEESE SWISS SLI .0.3125"/>
    <x v="42"/>
    <x v="2"/>
    <n v="20"/>
    <n v="9.0718474000000011"/>
    <n v="9.9740000000000002"/>
    <n v="90.482605967600009"/>
  </r>
  <r>
    <d v="2018-11-30T00:00:00"/>
    <s v="Dairy Products"/>
    <n v="2"/>
    <n v="4"/>
    <n v="2.5"/>
    <s v="CHEESE PEPPER JACK SLI .70.3125"/>
    <x v="42"/>
    <x v="2"/>
    <n v="20"/>
    <n v="9.0718474000000011"/>
    <n v="9.9740000000000002"/>
    <n v="90.482605967600009"/>
  </r>
  <r>
    <d v="2018-11-30T00:00:00"/>
    <s v="Dairy Products"/>
    <n v="2"/>
    <n v="8"/>
    <n v="1.25"/>
    <s v="CHEESE CHDR MILD SLI .0.3125"/>
    <x v="42"/>
    <x v="2"/>
    <n v="20"/>
    <n v="9.0718474000000011"/>
    <n v="9.9740000000000002"/>
    <n v="90.482605967600009"/>
  </r>
  <r>
    <d v="2018-11-30T00:00:00"/>
    <s v="Dairy Products"/>
    <n v="2"/>
    <n v="4"/>
    <n v="2.5"/>
    <s v="CHEESE PROVOLONE SLI .0.3125"/>
    <x v="42"/>
    <x v="2"/>
    <n v="20"/>
    <n v="9.0718474000000011"/>
    <n v="9.9740000000000002"/>
    <n v="90.482605967600009"/>
  </r>
  <r>
    <d v="2018-11-30T00:00:00"/>
    <s v="Dairy Products"/>
    <n v="1"/>
    <n v="2"/>
    <n v="5"/>
    <s v="CHEESE PARM GRATED PURE"/>
    <x v="42"/>
    <x v="2"/>
    <n v="10"/>
    <n v="4.5359237000000006"/>
    <n v="9.9740000000000002"/>
    <n v="45.241302983800004"/>
  </r>
  <r>
    <d v="2018-11-30T00:00:00"/>
    <s v="Dairy Products"/>
    <n v="1"/>
    <n v="6"/>
    <n v="2"/>
    <s v="CHEESE PARM FANCY SHRED"/>
    <x v="42"/>
    <x v="2"/>
    <n v="12"/>
    <n v="5.4431084400000005"/>
    <n v="9.9740000000000002"/>
    <n v="54.289563580560007"/>
  </r>
  <r>
    <d v="2018-11-30T00:00:00"/>
    <s v="Dairy Products"/>
    <n v="1"/>
    <n v="6"/>
    <n v="3"/>
    <s v="CHEESE RICOTTA WHL MLK CLS"/>
    <x v="42"/>
    <x v="2"/>
    <n v="18"/>
    <n v="8.1646626599999994"/>
    <n v="9.9740000000000002"/>
    <n v="81.434345370839992"/>
  </r>
  <r>
    <d v="2018-12-03T00:00:00"/>
    <s v="Dairy Products"/>
    <n v="4"/>
    <n v="4"/>
    <n v="5"/>
    <s v="CHEESE CHDR MILD FTHR SHRD"/>
    <x v="42"/>
    <x v="2"/>
    <n v="80"/>
    <n v="36.287389600000004"/>
    <n v="9.9740000000000002"/>
    <n v="361.93042387040003"/>
  </r>
  <r>
    <d v="2018-12-03T00:00:00"/>
    <s v="Dairy Products"/>
    <n v="6"/>
    <n v="4"/>
    <n v="5"/>
    <s v="CHEESE MOZZ FTHR SHRD PART SKM"/>
    <x v="42"/>
    <x v="2"/>
    <n v="120"/>
    <n v="54.431084400000003"/>
    <n v="9.9740000000000002"/>
    <n v="542.89563580560002"/>
  </r>
  <r>
    <d v="2018-12-03T00:00:00"/>
    <s v="Dairy Products"/>
    <n v="3"/>
    <n v="2"/>
    <n v="5"/>
    <s v="CHEESE PARM GRATED PURE"/>
    <x v="42"/>
    <x v="2"/>
    <n v="30"/>
    <n v="13.607771100000001"/>
    <n v="9.9740000000000002"/>
    <n v="135.72390895140001"/>
  </r>
  <r>
    <d v="2018-12-05T00:00:00"/>
    <s v="Dairy Products"/>
    <n v="1"/>
    <n v="10"/>
    <n v="3"/>
    <s v="CHEESE CREAM LOAF"/>
    <x v="42"/>
    <x v="2"/>
    <n v="30"/>
    <n v="13.607771100000001"/>
    <n v="9.9740000000000002"/>
    <n v="135.72390895140001"/>
  </r>
  <r>
    <d v="2018-12-05T00:00:00"/>
    <s v="Dairy Products"/>
    <n v="2"/>
    <n v="4"/>
    <n v="5"/>
    <s v="CHEESE AMER YEL 160 SLI"/>
    <x v="42"/>
    <x v="2"/>
    <n v="40"/>
    <n v="18.143694800000002"/>
    <n v="9.9740000000000002"/>
    <n v="180.96521193520002"/>
  </r>
  <r>
    <d v="2018-12-05T00:00:00"/>
    <s v="Dairy Products"/>
    <n v="2"/>
    <n v="4"/>
    <n v="5"/>
    <s v="CHEESE CHDR MILD FTHR SHRD"/>
    <x v="42"/>
    <x v="2"/>
    <n v="40"/>
    <n v="18.143694800000002"/>
    <n v="9.9740000000000002"/>
    <n v="180.96521193520002"/>
  </r>
  <r>
    <d v="2018-12-05T00:00:00"/>
    <s v="Dairy Products"/>
    <n v="5"/>
    <n v="4"/>
    <n v="5"/>
    <s v="CHEESE MOZZ FTHR SHRD PART SKM"/>
    <x v="42"/>
    <x v="2"/>
    <n v="100"/>
    <n v="45.359237"/>
    <n v="9.9740000000000002"/>
    <n v="452.413029838"/>
  </r>
  <r>
    <d v="2018-12-05T00:00:00"/>
    <s v="Dairy Products"/>
    <n v="1"/>
    <n v="4"/>
    <n v="2.5"/>
    <s v="CHEESE SWISS SLI .0.3125"/>
    <x v="42"/>
    <x v="2"/>
    <n v="10"/>
    <n v="4.5359237000000006"/>
    <n v="9.9740000000000002"/>
    <n v="45.241302983800004"/>
  </r>
  <r>
    <d v="2018-12-05T00:00:00"/>
    <s v="Dairy Products"/>
    <n v="1"/>
    <n v="8"/>
    <n v="1.25"/>
    <s v="CHEESE CHDR MILD SLI .0.3125"/>
    <x v="42"/>
    <x v="2"/>
    <n v="10"/>
    <n v="4.5359237000000006"/>
    <n v="9.9740000000000002"/>
    <n v="45.241302983800004"/>
  </r>
  <r>
    <d v="2018-12-05T00:00:00"/>
    <s v="Dairy Products"/>
    <n v="2"/>
    <n v="4"/>
    <n v="2.5"/>
    <s v="CHEESE PROVOLONE SLI .0.3125"/>
    <x v="42"/>
    <x v="2"/>
    <n v="20"/>
    <n v="9.0718474000000011"/>
    <n v="9.9740000000000002"/>
    <n v="90.482605967600009"/>
  </r>
  <r>
    <d v="2018-08-31T00:00:00"/>
    <s v="Georgia Halal Meat (Emory)"/>
    <n v="1"/>
    <n v="1"/>
    <n v="80"/>
    <s v="chicken breast"/>
    <x v="43"/>
    <x v="0"/>
    <n v="80"/>
    <n v="36.287389600000004"/>
    <n v="4.1879999999999997"/>
    <n v="151.9715876448"/>
  </r>
  <r>
    <d v="2018-09-04T00:00:00"/>
    <s v="Georgia Halal Meat (Emory)"/>
    <n v="1"/>
    <n v="1"/>
    <n v="40"/>
    <s v="chicken breast (says 1 box and 1 box = 40lbs)"/>
    <x v="43"/>
    <x v="0"/>
    <n v="40"/>
    <n v="18.143694800000002"/>
    <n v="4.1879999999999997"/>
    <n v="75.985793822399998"/>
  </r>
  <r>
    <d v="2018-08-31T00:00:00"/>
    <s v="Inland Seafood--Springer Mountain"/>
    <n v="1"/>
    <n v="1"/>
    <n v="340"/>
    <s v="chicken breast filet"/>
    <x v="43"/>
    <x v="0"/>
    <n v="340"/>
    <n v="154.22140580000001"/>
    <n v="4.1879999999999997"/>
    <n v="645.87924749039996"/>
  </r>
  <r>
    <d v="2018-08-31T00:00:00"/>
    <s v="Inland Seafood--Springer Mountain"/>
    <n v="1"/>
    <n v="1"/>
    <n v="120"/>
    <s v="chicken breast chunk"/>
    <x v="43"/>
    <x v="0"/>
    <n v="120"/>
    <n v="54.431084400000003"/>
    <n v="4.1879999999999997"/>
    <n v="227.95738146720001"/>
  </r>
  <r>
    <d v="2018-08-31T00:00:00"/>
    <s v="Inland Seafood--Springer Mountain"/>
    <n v="1"/>
    <n v="1"/>
    <n v="680"/>
    <s v="chicken breast filet"/>
    <x v="43"/>
    <x v="0"/>
    <n v="680"/>
    <n v="308.44281160000003"/>
    <n v="4.1879999999999997"/>
    <n v="1291.7584949807999"/>
  </r>
  <r>
    <d v="2018-08-31T00:00:00"/>
    <s v="Inland Seafood--Springer Mountain"/>
    <n v="1"/>
    <n v="1"/>
    <n v="300"/>
    <s v="chicken boneless thigh"/>
    <x v="43"/>
    <x v="0"/>
    <n v="300"/>
    <n v="136.07771100000002"/>
    <n v="4.1879999999999997"/>
    <n v="569.89345366800001"/>
  </r>
  <r>
    <d v="2018-08-31T00:00:00"/>
    <s v="Inland Seafood--Springer Mountain"/>
    <n v="1"/>
    <n v="1"/>
    <n v="20"/>
    <s v="chicken bone-in thigh"/>
    <x v="43"/>
    <x v="0"/>
    <n v="20"/>
    <n v="9.0718474000000011"/>
    <n v="4.1879999999999997"/>
    <n v="37.992896911199999"/>
  </r>
  <r>
    <d v="2018-08-31T00:00:00"/>
    <s v="Inland Seafood--Springer Mountain"/>
    <n v="1"/>
    <n v="1"/>
    <n v="160"/>
    <s v="chicken breast chunk"/>
    <x v="43"/>
    <x v="0"/>
    <n v="160"/>
    <n v="72.574779200000009"/>
    <n v="4.1879999999999997"/>
    <n v="303.94317528959999"/>
  </r>
  <r>
    <d v="2018-11-30T00:00:00"/>
    <s v="Canned and dry goods"/>
    <n v="8"/>
    <n v="6"/>
    <n v="10"/>
    <s v="BEAN GARBANZO LOW SODIUM"/>
    <x v="44"/>
    <x v="1"/>
    <n v="480"/>
    <n v="217.72433760000001"/>
    <n v="0.49099999999999999"/>
    <n v="106.9026497616"/>
  </r>
  <r>
    <d v="2018-12-05T00:00:00"/>
    <s v="Canned and dry goods"/>
    <n v="3"/>
    <n v="6"/>
    <n v="10"/>
    <s v="BEAN GARBANZO LOW SODIUM"/>
    <x v="44"/>
    <x v="1"/>
    <n v="180"/>
    <n v="81.646626600000005"/>
    <n v="0.49099999999999999"/>
    <n v="40.088493660600001"/>
  </r>
  <r>
    <d v="2018-08-31T00:00:00"/>
    <s v="Royal "/>
    <n v="1"/>
    <n v="1"/>
    <n v="1"/>
    <s v="chives"/>
    <x v="45"/>
    <x v="1"/>
    <n v="1"/>
    <n v="0.45359237000000002"/>
    <n v="0.221"/>
    <n v="0.10024391377000001"/>
  </r>
  <r>
    <d v="2018-11-30T00:00:00"/>
    <s v="Frozen"/>
    <n v="11"/>
    <n v="100"/>
    <n v="0.16250000000000001"/>
    <s v="CHURRO PRFRD MEXICAN PASTRY"/>
    <x v="46"/>
    <x v="1"/>
    <n v="178.75"/>
    <n v="81.079636137500003"/>
    <n v="1.2"/>
    <n v="97.295563365000007"/>
  </r>
  <r>
    <d v="2018-08-31T00:00:00"/>
    <s v="Royal "/>
    <n v="1"/>
    <n v="1"/>
    <n v="5.25"/>
    <s v="cilantro"/>
    <x v="47"/>
    <x v="1"/>
    <n v="5.25"/>
    <n v="2.3813599425"/>
    <n v="0.26100000000000001"/>
    <n v="0.62153494499250006"/>
  </r>
  <r>
    <d v="2018-09-01T00:00:00"/>
    <s v="Royal "/>
    <n v="1"/>
    <n v="1"/>
    <n v="5.25"/>
    <s v="30ct cilantro"/>
    <x v="47"/>
    <x v="1"/>
    <n v="5.25"/>
    <n v="2.3813599425"/>
    <n v="0.26100000000000001"/>
    <n v="0.62153494499250006"/>
  </r>
  <r>
    <d v="2018-12-05T00:00:00"/>
    <s v="Canned and dry goods"/>
    <n v="1"/>
    <n v="6"/>
    <s v="50 CT"/>
    <s v="COCOA MIX INDIV"/>
    <x v="48"/>
    <x v="1"/>
    <n v="0"/>
    <n v="0"/>
    <n v="33.646999999999998"/>
    <n v="0"/>
  </r>
  <r>
    <d v="2018-09-04T00:00:00"/>
    <s v="Royal "/>
    <n v="2"/>
    <n v="1"/>
    <n v="10"/>
    <s v="5 collard greens"/>
    <x v="49"/>
    <x v="1"/>
    <n v="20"/>
    <n v="9.0718474000000011"/>
    <n v="0.20599999999999999"/>
    <n v="1.8688005644000001"/>
  </r>
  <r>
    <d v="2018-11-30T00:00:00"/>
    <s v="Canned and dry goods"/>
    <n v="4"/>
    <n v="2"/>
    <n v="14.385"/>
    <s v="KETCHUP FANCY POUCH DISPENSER"/>
    <x v="50"/>
    <x v="1"/>
    <n v="115.08"/>
    <n v="52.199409939600002"/>
    <n v="3.33"/>
    <n v="173.82403509886802"/>
  </r>
  <r>
    <d v="2018-12-03T00:00:00"/>
    <s v="Canned and dry goods"/>
    <n v="1"/>
    <n v="6"/>
    <n v="7.125"/>
    <s v="KETCHUP POUCH-PK FCY (= 6/10)"/>
    <x v="50"/>
    <x v="1"/>
    <n v="42.75"/>
    <n v="19.391073817500001"/>
    <n v="3.33"/>
    <n v="64.572275812275009"/>
  </r>
  <r>
    <d v="2018-12-05T00:00:00"/>
    <s v="Canned and dry goods"/>
    <n v="2"/>
    <n v="6"/>
    <n v="7.125"/>
    <s v="KETCHUP POUCH-PK FCY (= 6/10)"/>
    <x v="50"/>
    <x v="1"/>
    <n v="85.5"/>
    <n v="38.782147635000001"/>
    <n v="3.33"/>
    <n v="129.14455162455002"/>
  </r>
  <r>
    <d v="2018-11-30T00:00:00"/>
    <s v="Canned and dry goods"/>
    <n v="2"/>
    <n v="2"/>
    <n v="6.5625"/>
    <s v="MUSTARD DIJON PLS JUG"/>
    <x v="50"/>
    <x v="1"/>
    <n v="26.25"/>
    <n v="11.9067997125"/>
    <n v="3.33"/>
    <n v="39.649643042625001"/>
  </r>
  <r>
    <d v="2018-12-05T00:00:00"/>
    <s v="Canned and dry goods"/>
    <n v="1"/>
    <n v="4"/>
    <n v="6.5625"/>
    <s v="MUSTARD YELLOW PLS JUG"/>
    <x v="50"/>
    <x v="1"/>
    <n v="26.25"/>
    <n v="11.9067997125"/>
    <n v="3.33"/>
    <n v="39.649643042625001"/>
  </r>
  <r>
    <d v="2018-11-30T00:00:00"/>
    <s v="Canned and dry goods"/>
    <n v="1"/>
    <n v="6"/>
    <n v="5"/>
    <s v="SAUCE HOISIN"/>
    <x v="50"/>
    <x v="1"/>
    <n v="30"/>
    <n v="13.607771100000001"/>
    <n v="3.33"/>
    <n v="45.313877763000001"/>
  </r>
  <r>
    <d v="2018-12-03T00:00:00"/>
    <s v="Canned and dry goods"/>
    <n v="1"/>
    <n v="4"/>
    <n v="11.480799999999999"/>
    <s v="SAUCE SOY SWEET"/>
    <x v="50"/>
    <x v="1"/>
    <n v="45.923199999999994"/>
    <n v="20.830413125983998"/>
    <n v="3.33"/>
    <n v="69.365275709526713"/>
  </r>
  <r>
    <d v="2018-12-03T00:00:00"/>
    <s v="Canned and dry goods"/>
    <n v="1"/>
    <n v="12"/>
    <n v="1.5625"/>
    <s v="SAUCE CHILI SWEET THAI"/>
    <x v="50"/>
    <x v="1"/>
    <n v="18.75"/>
    <n v="8.5048569375000014"/>
    <n v="3.33"/>
    <n v="28.321173601875007"/>
  </r>
  <r>
    <d v="2018-12-03T00:00:00"/>
    <s v="Canned and dry goods"/>
    <n v="1"/>
    <n v="4"/>
    <n v="11.480799999999999"/>
    <s v="SAUCE SOY LESS SODIUM"/>
    <x v="50"/>
    <x v="1"/>
    <n v="45.923199999999994"/>
    <n v="20.830413125983998"/>
    <n v="3.33"/>
    <n v="69.365275709526713"/>
  </r>
  <r>
    <d v="2018-12-03T00:00:00"/>
    <s v="Canned and dry goods"/>
    <n v="2"/>
    <n v="4"/>
    <n v="13.198399999999998"/>
    <s v="SAUCE PEPPER CAYENNE RED HOT"/>
    <x v="50"/>
    <x v="1"/>
    <n v="105.58719999999998"/>
    <n v="47.893548289663997"/>
    <n v="3.33"/>
    <n v="159.48551580458113"/>
  </r>
  <r>
    <d v="2018-12-05T00:00:00"/>
    <s v="Canned and dry goods"/>
    <n v="1"/>
    <n v="24"/>
    <n v="0.3125"/>
    <s v="SAUCE PEPPER CAYENNE RED HOT"/>
    <x v="50"/>
    <x v="1"/>
    <n v="7.5"/>
    <n v="3.4019427750000002"/>
    <n v="3.33"/>
    <n v="11.32846944075"/>
  </r>
  <r>
    <d v="2018-12-05T00:00:00"/>
    <s v="Canned and dry goods"/>
    <n v="1"/>
    <n v="24"/>
    <n v="0.375"/>
    <s v="SAUCE HOT"/>
    <x v="50"/>
    <x v="1"/>
    <n v="9"/>
    <n v="4.0823313299999997"/>
    <n v="3.33"/>
    <n v="13.594163328899999"/>
  </r>
  <r>
    <d v="2018-12-05T00:00:00"/>
    <s v="Canned and dry goods"/>
    <n v="1"/>
    <n v="12"/>
    <n v="1.5625"/>
    <s v="SAUCE CHILI SWEET THAI"/>
    <x v="50"/>
    <x v="1"/>
    <n v="18.75"/>
    <n v="8.5048569375000014"/>
    <n v="3.33"/>
    <n v="28.321173601875007"/>
  </r>
  <r>
    <d v="2018-12-05T00:00:00"/>
    <s v="Canned and dry goods"/>
    <n v="1"/>
    <n v="12"/>
    <n v="10.4375"/>
    <s v="SAUCE CHILI SRIRACHA"/>
    <x v="50"/>
    <x v="1"/>
    <n v="125.25"/>
    <n v="56.812444342500001"/>
    <n v="3.33"/>
    <n v="189.18543966052502"/>
  </r>
  <r>
    <d v="2018-11-30T00:00:00"/>
    <s v="Canned and dry goods"/>
    <n v="4"/>
    <n v="4"/>
    <n v="7.79"/>
    <s v="MAYONNAISE REAL"/>
    <x v="51"/>
    <x v="2"/>
    <n v="124.64"/>
    <n v="56.535752996799999"/>
    <n v="3.33"/>
    <n v="188.26405747934399"/>
  </r>
  <r>
    <d v="2018-12-05T00:00:00"/>
    <s v="Canned and dry goods"/>
    <n v="3"/>
    <n v="4"/>
    <n v="7.79"/>
    <s v="MAYONNAISE REAL"/>
    <x v="51"/>
    <x v="2"/>
    <n v="93.48"/>
    <n v="42.4018147476"/>
    <n v="3.33"/>
    <n v="141.19804310950801"/>
  </r>
  <r>
    <d v="2018-12-03T00:00:00"/>
    <s v="Frozen"/>
    <n v="3"/>
    <n v="1"/>
    <n v="30"/>
    <s v="CORN WHL KERNEL"/>
    <x v="52"/>
    <x v="1"/>
    <n v="90"/>
    <n v="40.823313300000002"/>
    <n v="0.75700000000000001"/>
    <n v="30.903248168100003"/>
  </r>
  <r>
    <d v="2018-12-05T00:00:00"/>
    <s v="Frozen"/>
    <n v="1"/>
    <n v="1"/>
    <n v="30"/>
    <s v="CORN WHL KERNEL"/>
    <x v="52"/>
    <x v="1"/>
    <n v="30"/>
    <n v="13.607771100000001"/>
    <n v="0.75700000000000001"/>
    <n v="10.3010827227"/>
  </r>
  <r>
    <d v="2018-11-30T00:00:00"/>
    <s v="Meats"/>
    <n v="12"/>
    <n v="1"/>
    <n v="10"/>
    <s v="CORN DOG ALL MEAT MINI 240/.67"/>
    <x v="53"/>
    <x v="0"/>
    <n v="120"/>
    <n v="54.431084400000003"/>
    <n v="32.845999999999997"/>
    <n v="1787.8433982023998"/>
  </r>
  <r>
    <d v="2018-12-05T00:00:00"/>
    <s v="Canned and dry goods"/>
    <n v="1"/>
    <n v="12"/>
    <s v="12 CT"/>
    <s v="CEREAL HOT GRITS QUICK"/>
    <x v="54"/>
    <x v="1"/>
    <n v="0"/>
    <n v="0"/>
    <n v="0.55000000000000004"/>
    <n v="0"/>
  </r>
  <r>
    <d v="2018-12-03T00:00:00"/>
    <s v="Canned and dry goods"/>
    <n v="1"/>
    <n v="1"/>
    <n v="25"/>
    <s v="CORN MEAL WHITE"/>
    <x v="54"/>
    <x v="1"/>
    <n v="25"/>
    <n v="11.33980925"/>
    <n v="0.55000000000000004"/>
    <n v="6.2368950875000007"/>
  </r>
  <r>
    <d v="2018-12-03T00:00:00"/>
    <s v="Canned and dry goods"/>
    <n v="1"/>
    <n v="6"/>
    <n v="5"/>
    <s v="MIX CORNBREAD SOTHRN STY CMPLT"/>
    <x v="54"/>
    <x v="1"/>
    <n v="30"/>
    <n v="13.607771100000001"/>
    <n v="0.55000000000000004"/>
    <n v="7.4842741050000008"/>
  </r>
  <r>
    <d v="2018-12-05T00:00:00"/>
    <s v="Canned and dry goods"/>
    <n v="1"/>
    <n v="24"/>
    <n v="1"/>
    <s v="CORN STARCH"/>
    <x v="55"/>
    <x v="1"/>
    <n v="24"/>
    <n v="10.886216880000001"/>
    <n v="0.76"/>
    <n v="8.2735248288000012"/>
  </r>
  <r>
    <d v="2018-11-30T00:00:00"/>
    <s v="Canned and dry goods"/>
    <n v="2"/>
    <n v="24"/>
    <n v="1"/>
    <s v="CORN STARCH"/>
    <x v="55"/>
    <x v="1"/>
    <n v="48"/>
    <n v="21.772433760000002"/>
    <n v="0.76"/>
    <n v="16.547049657600002"/>
  </r>
  <r>
    <d v="2018-09-05T00:00:00"/>
    <s v="River view Farms"/>
    <n v="1"/>
    <n v="1"/>
    <n v="50"/>
    <s v="cornmeal"/>
    <x v="56"/>
    <x v="1"/>
    <n v="50"/>
    <n v="22.6796185"/>
    <n v="0.55000000000000004"/>
    <n v="12.473790175000001"/>
  </r>
  <r>
    <d v="2018-12-05T00:00:00"/>
    <s v="Canned and dry goods"/>
    <n v="1"/>
    <n v="500"/>
    <s v="2pk"/>
    <s v="CRACKER SALTINE ZESTA"/>
    <x v="57"/>
    <x v="1"/>
    <n v="0"/>
    <n v="0"/>
    <n v="2.5299999999999998"/>
    <n v="0"/>
  </r>
  <r>
    <d v="2018-12-05T00:00:00"/>
    <s v="Canned and dry goods"/>
    <n v="1"/>
    <n v="150"/>
    <n v="3.125E-2"/>
    <s v="CRACKER OYSTER DOTS"/>
    <x v="57"/>
    <x v="1"/>
    <n v="4.6875"/>
    <n v="2.1262142343750003"/>
    <n v="2.5299999999999998"/>
    <n v="5.3793220129687507"/>
  </r>
  <r>
    <d v="2018-12-03T00:00:00"/>
    <s v="Canned and dry goods"/>
    <n v="1"/>
    <n v="1"/>
    <n v="10"/>
    <s v="CRANBERRY DRIED CRAISINS"/>
    <x v="58"/>
    <x v="1"/>
    <n v="10"/>
    <n v="4.5359237000000006"/>
    <n v="1.4179999999999999"/>
    <n v="6.4319398066000009"/>
  </r>
  <r>
    <d v="2018-11-30T00:00:00"/>
    <s v="Dairy Products"/>
    <n v="1"/>
    <n v="1"/>
    <n v="2"/>
    <s v="CREAM SOUR SEL 13%"/>
    <x v="59"/>
    <x v="2"/>
    <n v="2"/>
    <n v="0.90718474000000004"/>
    <n v="5.32"/>
    <n v="4.8262228168000005"/>
  </r>
  <r>
    <d v="2018-12-05T00:00:00"/>
    <s v="Dairy Products"/>
    <n v="1"/>
    <n v="1"/>
    <n v="2"/>
    <s v="CREAM SOUR SEL 13%"/>
    <x v="59"/>
    <x v="2"/>
    <n v="2"/>
    <n v="0.90718474000000004"/>
    <n v="5.32"/>
    <n v="4.8262228168000005"/>
  </r>
  <r>
    <d v="2018-08-31T00:00:00"/>
    <s v="Royal "/>
    <n v="1"/>
    <n v="1"/>
    <n v="111.11111111111111"/>
    <s v="cucumber"/>
    <x v="60"/>
    <x v="1"/>
    <n v="111.11111111111111"/>
    <n v="50.399152222222227"/>
    <n v="0.40899999999999997"/>
    <n v="20.613253258888889"/>
  </r>
  <r>
    <d v="2018-09-03T00:00:00"/>
    <s v="Royal "/>
    <n v="1"/>
    <n v="1"/>
    <n v="55.555555555555557"/>
    <s v="10/9 bushel cucumber"/>
    <x v="60"/>
    <x v="1"/>
    <n v="55.555555555555557"/>
    <n v="25.199576111111114"/>
    <n v="0.40899999999999997"/>
    <n v="10.306626629444445"/>
  </r>
  <r>
    <d v="2018-09-04T00:00:00"/>
    <s v="Royal "/>
    <n v="1"/>
    <n v="1"/>
    <n v="55.555555555555557"/>
    <s v="10/9 bushel cucumber"/>
    <x v="60"/>
    <x v="1"/>
    <n v="55.555555555555557"/>
    <n v="25.199576111111114"/>
    <n v="0.40899999999999997"/>
    <n v="10.306626629444445"/>
  </r>
  <r>
    <d v="2018-09-05T00:00:00"/>
    <s v="Royal "/>
    <n v="1"/>
    <n v="1"/>
    <n v="55.555555555555557"/>
    <s v="cucumber"/>
    <x v="60"/>
    <x v="1"/>
    <n v="55.555555555555557"/>
    <n v="25.199576111111114"/>
    <n v="0.40899999999999997"/>
    <n v="10.306626629444445"/>
  </r>
  <r>
    <d v="2018-09-06T00:00:00"/>
    <s v="Royal "/>
    <n v="1"/>
    <n v="1"/>
    <n v="55.555555555555557"/>
    <s v="cucumber"/>
    <x v="60"/>
    <x v="1"/>
    <n v="55.555555555555557"/>
    <n v="25.199576111111114"/>
    <n v="0.40899999999999997"/>
    <n v="10.306626629444445"/>
  </r>
  <r>
    <d v="2018-12-05T00:00:00"/>
    <s v="Canned and dry goods"/>
    <n v="2"/>
    <n v="4"/>
    <n v="8.35"/>
    <s v="PICKLE SLI DILL HAM SC 1/8 PLS"/>
    <x v="60"/>
    <x v="1"/>
    <n v="66.8"/>
    <n v="30.299970316"/>
    <n v="0.40899999999999997"/>
    <n v="12.392687859243999"/>
  </r>
  <r>
    <d v="2018-08-31T00:00:00"/>
    <s v="Royal "/>
    <n v="1"/>
    <n v="1"/>
    <n v="1"/>
    <s v="dill"/>
    <x v="61"/>
    <x v="1"/>
    <n v="1"/>
    <n v="0.45359237000000002"/>
    <n v="0.87"/>
    <n v="0.39462536190000003"/>
  </r>
  <r>
    <d v="2018-11-30T00:00:00"/>
    <s v="Dairy Products"/>
    <n v="12"/>
    <n v="2"/>
    <n v="20"/>
    <s v="EGG LIQ WHL CAGE FREE W/CITRIC"/>
    <x v="62"/>
    <x v="2"/>
    <n v="480"/>
    <n v="217.72433760000001"/>
    <n v="3.754"/>
    <n v="817.33716335040003"/>
  </r>
  <r>
    <d v="2018-11-30T00:00:00"/>
    <s v="Dairy Products"/>
    <n v="1"/>
    <n v="15"/>
    <n v="2"/>
    <s v="EGG WHITE CAGE FREE LIQ"/>
    <x v="62"/>
    <x v="2"/>
    <n v="30"/>
    <n v="13.607771100000001"/>
    <n v="3.754"/>
    <n v="51.083572709400002"/>
  </r>
  <r>
    <d v="2018-11-30T00:00:00"/>
    <s v="Dairy Products"/>
    <n v="2"/>
    <n v="15"/>
    <n v="1.5"/>
    <s v="EGG SHELL CG FR LG HFAC GR A"/>
    <x v="62"/>
    <x v="2"/>
    <n v="45"/>
    <n v="20.411656650000001"/>
    <n v="3.754"/>
    <n v="76.62535906410001"/>
  </r>
  <r>
    <d v="2018-12-03T00:00:00"/>
    <s v="Dairy Products"/>
    <n v="13"/>
    <n v="2"/>
    <n v="20"/>
    <s v="EGG LIQ WHL CAGE FREE W/CITRIC"/>
    <x v="62"/>
    <x v="2"/>
    <n v="520"/>
    <n v="235.8680324"/>
    <n v="3.754"/>
    <n v="885.44859362960005"/>
  </r>
  <r>
    <d v="2018-12-03T00:00:00"/>
    <s v="Dairy Products"/>
    <n v="2"/>
    <n v="15"/>
    <n v="2"/>
    <s v="EGG WHITE CAGE FREE LIQ"/>
    <x v="62"/>
    <x v="2"/>
    <n v="60"/>
    <n v="27.215542200000002"/>
    <n v="3.754"/>
    <n v="102.1671454188"/>
  </r>
  <r>
    <d v="2018-12-05T00:00:00"/>
    <s v="Dairy Products"/>
    <n v="8"/>
    <n v="2"/>
    <n v="20"/>
    <s v="EGG LIQ WHL CAGE FREE W/CITRIC"/>
    <x v="62"/>
    <x v="2"/>
    <n v="320"/>
    <n v="145.14955840000002"/>
    <n v="3.754"/>
    <n v="544.89144223360006"/>
  </r>
  <r>
    <d v="2018-12-05T00:00:00"/>
    <s v="Dairy Products"/>
    <n v="2"/>
    <n v="15"/>
    <n v="2"/>
    <s v="EGG WHITE CAGE FREE LIQ"/>
    <x v="62"/>
    <x v="2"/>
    <n v="60"/>
    <n v="27.215542200000002"/>
    <n v="3.754"/>
    <n v="102.1671454188"/>
  </r>
  <r>
    <d v="2018-12-05T00:00:00"/>
    <s v="Dairy Products"/>
    <n v="4"/>
    <n v="15"/>
    <n v="1.5"/>
    <s v="EGG SHELL CG FR LG HFAC GR A"/>
    <x v="62"/>
    <x v="2"/>
    <n v="90"/>
    <n v="40.823313300000002"/>
    <n v="3.754"/>
    <n v="153.25071812820002"/>
  </r>
  <r>
    <d v="2018-08-31T00:00:00"/>
    <s v="Royal "/>
    <n v="1"/>
    <n v="1"/>
    <n v="77.777777777777786"/>
    <s v="eggplant"/>
    <x v="63"/>
    <x v="1"/>
    <n v="77.777777777777786"/>
    <n v="35.27940655555556"/>
    <n v="0.52600000000000002"/>
    <n v="18.556967848222225"/>
  </r>
  <r>
    <d v="2018-09-03T00:00:00"/>
    <s v="Royal "/>
    <n v="2"/>
    <n v="1"/>
    <n v="38.888888888888893"/>
    <s v="10/9 bushel eggplant"/>
    <x v="63"/>
    <x v="1"/>
    <n v="77.777777777777786"/>
    <n v="35.27940655555556"/>
    <n v="0.52600000000000002"/>
    <n v="18.556967848222225"/>
  </r>
  <r>
    <d v="2018-09-05T00:00:00"/>
    <s v="Royal "/>
    <n v="2"/>
    <n v="1"/>
    <n v="38.888888888888893"/>
    <s v="eggplant"/>
    <x v="63"/>
    <x v="1"/>
    <n v="77.777777777777786"/>
    <n v="35.27940655555556"/>
    <n v="0.52600000000000002"/>
    <n v="18.556967848222225"/>
  </r>
  <r>
    <d v="2018-09-06T00:00:00"/>
    <s v="Royal "/>
    <n v="2"/>
    <n v="1"/>
    <n v="38.888888888888893"/>
    <s v="eggplant"/>
    <x v="63"/>
    <x v="1"/>
    <n v="77.777777777777786"/>
    <n v="35.27940655555556"/>
    <n v="0.52600000000000002"/>
    <n v="18.556967848222225"/>
  </r>
  <r>
    <d v="2018-11-30T00:00:00"/>
    <s v="Seafood"/>
    <n v="6"/>
    <n v="1"/>
    <n v="10"/>
    <s v="POLLOCK FLT IQF 4-6OZ CHN"/>
    <x v="64"/>
    <x v="0"/>
    <n v="60"/>
    <n v="27.215542200000002"/>
    <n v="3.0209999999999999"/>
    <n v="82.218152986199996"/>
  </r>
  <r>
    <d v="2018-11-30T00:00:00"/>
    <s v="Seafood"/>
    <n v="8"/>
    <n v="1"/>
    <n v="10"/>
    <s v="COD LOIN 4OZ IQF MSC"/>
    <x v="64"/>
    <x v="0"/>
    <n v="80"/>
    <n v="36.287389600000004"/>
    <n v="3.0209999999999999"/>
    <n v="109.6242039816"/>
  </r>
  <r>
    <d v="2018-12-03T00:00:00"/>
    <s v="Seafood"/>
    <n v="10"/>
    <n v="1"/>
    <n v="10"/>
    <s v="POLLOCK FLT IQF 4-6OZ CHN"/>
    <x v="64"/>
    <x v="0"/>
    <n v="100"/>
    <n v="45.359237"/>
    <n v="3.0209999999999999"/>
    <n v="137.030254977"/>
  </r>
  <r>
    <d v="2018-12-03T00:00:00"/>
    <s v="Seafood"/>
    <n v="5"/>
    <n v="1"/>
    <n v="10"/>
    <s v="COD LOIN 4OZ IQF MSC"/>
    <x v="64"/>
    <x v="0"/>
    <n v="50"/>
    <n v="22.6796185"/>
    <n v="3.0209999999999999"/>
    <n v="68.515127488499999"/>
  </r>
  <r>
    <d v="2018-12-03T00:00:00"/>
    <s v="Seafood"/>
    <n v="4"/>
    <n v="1"/>
    <n v="15"/>
    <s v="PANGASIUS FILLET IQF 3-0.3125"/>
    <x v="64"/>
    <x v="0"/>
    <n v="60"/>
    <n v="27.215542200000002"/>
    <n v="3.0209999999999999"/>
    <n v="82.218152986199996"/>
  </r>
  <r>
    <d v="2018-12-05T00:00:00"/>
    <s v="Seafood"/>
    <n v="1"/>
    <n v="1"/>
    <n v="10"/>
    <s v="POLLOCK FLT IQF 4-6OZ CHN"/>
    <x v="64"/>
    <x v="0"/>
    <n v="10"/>
    <n v="4.5359237000000006"/>
    <n v="3.0209999999999999"/>
    <n v="13.703025497700001"/>
  </r>
  <r>
    <d v="2018-12-05T00:00:00"/>
    <s v="Seafood"/>
    <n v="8"/>
    <n v="1"/>
    <n v="15"/>
    <s v="PANGASIUS FILLET IQF 3-0.3125"/>
    <x v="64"/>
    <x v="0"/>
    <n v="120"/>
    <n v="54.431084400000003"/>
    <n v="3.0209999999999999"/>
    <n v="164.43630597239999"/>
  </r>
  <r>
    <d v="2018-11-30T00:00:00"/>
    <s v="Canned and dry goods"/>
    <n v="6"/>
    <n v="1"/>
    <n v="50"/>
    <s v="FLOUR HI-GLUTEN ALL TRUMP"/>
    <x v="65"/>
    <x v="1"/>
    <n v="300"/>
    <n v="136.07771100000002"/>
    <n v="0.35799999999999998"/>
    <n v="48.715820538000003"/>
  </r>
  <r>
    <d v="2018-11-30T00:00:00"/>
    <s v="Canned and dry goods"/>
    <n v="4"/>
    <n v="1"/>
    <n v="25"/>
    <s v="FLOUR H&amp; R ALL PURP ENRICH BLCH"/>
    <x v="65"/>
    <x v="1"/>
    <n v="100"/>
    <n v="45.359237"/>
    <n v="0.35799999999999998"/>
    <n v="16.238606846"/>
  </r>
  <r>
    <d v="2018-12-03T00:00:00"/>
    <s v="Canned and dry goods"/>
    <n v="1"/>
    <n v="1"/>
    <n v="50"/>
    <s v="FLOUR HI-GLUTEN ALL TRUMP"/>
    <x v="65"/>
    <x v="1"/>
    <n v="50"/>
    <n v="22.6796185"/>
    <n v="0.35799999999999998"/>
    <n v="8.1193034229999999"/>
  </r>
  <r>
    <d v="2018-12-05T00:00:00"/>
    <s v="Canned and dry goods"/>
    <n v="5"/>
    <n v="1"/>
    <n v="50"/>
    <s v="FLOUR HI-GLUTEN ALL TRUMP"/>
    <x v="65"/>
    <x v="1"/>
    <n v="250"/>
    <n v="113.3980925"/>
    <n v="0.35799999999999998"/>
    <n v="40.596517114999997"/>
  </r>
  <r>
    <d v="2018-08-31T00:00:00"/>
    <s v="Royal "/>
    <n v="1"/>
    <n v="1"/>
    <n v="33.4"/>
    <s v="chinese garlic"/>
    <x v="66"/>
    <x v="1"/>
    <n v="33.4"/>
    <n v="15.149985158"/>
    <n v="0.74299999999999999"/>
    <n v="11.256438972393999"/>
  </r>
  <r>
    <d v="2018-09-01T00:00:00"/>
    <s v="Royal "/>
    <n v="1"/>
    <n v="1"/>
    <n v="18.16"/>
    <s v="4gl garlic"/>
    <x v="66"/>
    <x v="1"/>
    <n v="18.16"/>
    <n v="8.2372374392000012"/>
    <n v="0.74299999999999999"/>
    <n v="6.1202674173256009"/>
  </r>
  <r>
    <d v="2018-09-04T00:00:00"/>
    <s v="Royal "/>
    <n v="1"/>
    <n v="1"/>
    <n v="18.16"/>
    <s v="4gl garlic"/>
    <x v="66"/>
    <x v="1"/>
    <n v="18.16"/>
    <n v="8.2372374392000012"/>
    <n v="0.74299999999999999"/>
    <n v="6.1202674173256009"/>
  </r>
  <r>
    <d v="2018-09-04T00:00:00"/>
    <s v="Royal "/>
    <n v="1"/>
    <n v="1"/>
    <n v="18.16"/>
    <s v="4gl garlic"/>
    <x v="66"/>
    <x v="1"/>
    <n v="18.16"/>
    <n v="8.2372374392000012"/>
    <n v="0.74299999999999999"/>
    <n v="6.1202674173256009"/>
  </r>
  <r>
    <d v="2018-08-31T00:00:00"/>
    <s v="Royal "/>
    <n v="1"/>
    <n v="1"/>
    <n v="75"/>
    <s v="root ginger"/>
    <x v="67"/>
    <x v="1"/>
    <n v="75"/>
    <n v="34.019427750000006"/>
    <n v="0.95"/>
    <n v="32.318456362500001"/>
  </r>
  <r>
    <d v="2018-08-31T00:00:00"/>
    <s v="Royal "/>
    <n v="1"/>
    <n v="1"/>
    <n v="144"/>
    <s v="red grape"/>
    <x v="68"/>
    <x v="1"/>
    <n v="144"/>
    <n v="65.317301279999995"/>
    <n v="0.47799999999999998"/>
    <n v="31.221670011839997"/>
  </r>
  <r>
    <d v="2018-09-04T00:00:00"/>
    <s v="Royal "/>
    <n v="4"/>
    <n v="1"/>
    <n v="18"/>
    <s v="18lb red grape"/>
    <x v="68"/>
    <x v="1"/>
    <n v="72"/>
    <n v="32.658650639999998"/>
    <n v="0.47799999999999998"/>
    <n v="15.610835005919999"/>
  </r>
  <r>
    <d v="2018-09-05T00:00:00"/>
    <s v="Royal "/>
    <n v="2"/>
    <n v="1"/>
    <n v="18"/>
    <s v="red grape"/>
    <x v="68"/>
    <x v="1"/>
    <n v="36"/>
    <n v="16.329325319999999"/>
    <n v="0.47799999999999998"/>
    <n v="7.8054175029599993"/>
  </r>
  <r>
    <d v="2018-09-06T00:00:00"/>
    <s v="Royal "/>
    <n v="4"/>
    <n v="1"/>
    <n v="18"/>
    <s v="red grape"/>
    <x v="68"/>
    <x v="1"/>
    <n v="72"/>
    <n v="32.658650639999998"/>
    <n v="0.47799999999999998"/>
    <n v="15.610835005919999"/>
  </r>
  <r>
    <d v="2018-09-05T00:00:00"/>
    <s v="River view Farms"/>
    <n v="1"/>
    <n v="1"/>
    <n v="100"/>
    <s v="grits"/>
    <x v="69"/>
    <x v="1"/>
    <n v="100"/>
    <n v="45.359237"/>
    <n v="0.55000000000000004"/>
    <n v="24.947580350000003"/>
  </r>
  <r>
    <d v="2018-11-30T00:00:00"/>
    <s v="Canned and dry goods"/>
    <n v="2"/>
    <n v="8"/>
    <n v="5"/>
    <s v="CEREAL HOT GRITS QUICK"/>
    <x v="70"/>
    <x v="1"/>
    <n v="80"/>
    <n v="36.287389600000004"/>
    <n v="0.55000000000000004"/>
    <n v="19.958064280000006"/>
  </r>
  <r>
    <d v="2018-09-03T00:00:00"/>
    <s v="Mayfield Dairy"/>
    <n v="36"/>
    <n v="1"/>
    <n v="2.0499999999999998"/>
    <s v="1qt dp h and h"/>
    <x v="71"/>
    <x v="2"/>
    <n v="73.8"/>
    <n v="33.475116906000004"/>
    <n v="3.2614999999999998"/>
    <n v="109.179093788919"/>
  </r>
  <r>
    <d v="2018-08-31T00:00:00"/>
    <s v="Mayfield Dairy"/>
    <n v="24"/>
    <n v="1"/>
    <n v="2.0499999999999998"/>
    <s v="1qt dp h and h"/>
    <x v="72"/>
    <x v="2"/>
    <n v="49.199999999999996"/>
    <n v="22.316744604"/>
    <n v="3.2614999999999998"/>
    <n v="72.786062525945994"/>
  </r>
  <r>
    <d v="2018-08-31T00:00:00"/>
    <s v="Royal "/>
    <n v="1"/>
    <n v="1"/>
    <n v="2"/>
    <s v="oregano"/>
    <x v="73"/>
    <x v="1"/>
    <n v="2"/>
    <n v="0.90718474000000004"/>
    <n v="0.221"/>
    <n v="0.20048782754000002"/>
  </r>
  <r>
    <d v="2018-08-31T00:00:00"/>
    <s v="Royal "/>
    <n v="1"/>
    <n v="1"/>
    <n v="1"/>
    <s v="rosemary"/>
    <x v="73"/>
    <x v="1"/>
    <n v="1"/>
    <n v="0.45359237000000002"/>
    <n v="0.221"/>
    <n v="0.10024391377000001"/>
  </r>
  <r>
    <d v="2018-08-31T00:00:00"/>
    <s v="Royal "/>
    <n v="1"/>
    <n v="1"/>
    <n v="1"/>
    <s v="thyme"/>
    <x v="73"/>
    <x v="1"/>
    <n v="1"/>
    <n v="0.45359237000000002"/>
    <n v="0.221"/>
    <n v="0.10024391377000001"/>
  </r>
  <r>
    <d v="2018-09-03T00:00:00"/>
    <s v="Royal "/>
    <n v="1"/>
    <n v="1"/>
    <n v="1"/>
    <s v="1 thyme"/>
    <x v="73"/>
    <x v="1"/>
    <n v="1"/>
    <n v="0.45359237000000002"/>
    <n v="0.221"/>
    <n v="0.10024391377000001"/>
  </r>
  <r>
    <d v="2018-08-31T00:00:00"/>
    <s v="Royal "/>
    <n v="1"/>
    <n v="1"/>
    <n v="60"/>
    <s v="lemon grass"/>
    <x v="74"/>
    <x v="1"/>
    <n v="60"/>
    <n v="27.215542200000002"/>
    <n v="0.221"/>
    <n v="6.0146348262"/>
  </r>
  <r>
    <d v="2018-12-03T00:00:00"/>
    <s v="Canned and dry goods"/>
    <n v="1"/>
    <n v="6"/>
    <n v="5"/>
    <s v="HONEY LIGHT AMBER"/>
    <x v="75"/>
    <x v="1"/>
    <n v="30"/>
    <n v="13.607771100000001"/>
    <n v="2.44"/>
    <n v="33.202961483999999"/>
  </r>
  <r>
    <d v="2018-12-05T00:00:00"/>
    <s v="Canned and dry goods"/>
    <n v="1"/>
    <n v="6"/>
    <n v="5"/>
    <s v="HONEY LIGHT AMBER"/>
    <x v="75"/>
    <x v="1"/>
    <n v="30"/>
    <n v="13.607771100000001"/>
    <n v="2.44"/>
    <n v="33.202961483999999"/>
  </r>
  <r>
    <d v="2018-08-31T00:00:00"/>
    <s v="Royal "/>
    <n v="1"/>
    <n v="1"/>
    <n v="360"/>
    <s v="honeydew"/>
    <x v="76"/>
    <x v="1"/>
    <n v="360"/>
    <n v="163.29325320000001"/>
    <n v="0.28399999999999997"/>
    <n v="46.3752839088"/>
  </r>
  <r>
    <d v="2018-09-04T00:00:00"/>
    <s v="Royal "/>
    <n v="6"/>
    <n v="1"/>
    <n v="32"/>
    <s v="27 honeydew"/>
    <x v="76"/>
    <x v="1"/>
    <n v="192"/>
    <n v="87.089735040000008"/>
    <n v="0.28399999999999997"/>
    <n v="24.733484751359999"/>
  </r>
  <r>
    <d v="2018-09-05T00:00:00"/>
    <s v="Royal "/>
    <n v="6"/>
    <n v="1"/>
    <n v="32"/>
    <s v="honeydew"/>
    <x v="76"/>
    <x v="1"/>
    <n v="192"/>
    <n v="87.089735040000008"/>
    <n v="0.28399999999999997"/>
    <n v="24.733484751359999"/>
  </r>
  <r>
    <d v="2018-09-06T00:00:00"/>
    <s v="Royal "/>
    <n v="6"/>
    <n v="1"/>
    <n v="32"/>
    <s v="honeydew"/>
    <x v="76"/>
    <x v="1"/>
    <n v="192"/>
    <n v="87.089735040000008"/>
    <n v="0.28399999999999997"/>
    <n v="24.733484751359999"/>
  </r>
  <r>
    <d v="2018-09-05T00:00:00"/>
    <s v="Honeysuckle Gelato"/>
    <n v="1"/>
    <n v="1"/>
    <n v="50"/>
    <s v="vanilla"/>
    <x v="77"/>
    <x v="2"/>
    <n v="50"/>
    <n v="22.6796185"/>
    <n v="3.84"/>
    <n v="87.089735039999994"/>
  </r>
  <r>
    <d v="2018-09-06T00:00:00"/>
    <s v="Honeysuckle Gelato"/>
    <n v="1"/>
    <n v="1"/>
    <n v="50"/>
    <s v="dark chocolate "/>
    <x v="77"/>
    <x v="2"/>
    <n v="50"/>
    <n v="22.6796185"/>
    <n v="3.84"/>
    <n v="87.089735039999994"/>
  </r>
  <r>
    <d v="2018-09-07T00:00:00"/>
    <s v="Honeysuckle Gelato"/>
    <n v="1"/>
    <n v="1"/>
    <n v="50"/>
    <s v="coffee caramel crunch"/>
    <x v="77"/>
    <x v="2"/>
    <n v="50"/>
    <n v="22.6796185"/>
    <n v="3.84"/>
    <n v="87.089735039999994"/>
  </r>
  <r>
    <d v="2018-11-30T00:00:00"/>
    <s v="Dairy Products"/>
    <n v="4"/>
    <n v="1"/>
    <n v="25.799999999999997"/>
    <s v="ICE CREAM VAN BEAN"/>
    <x v="77"/>
    <x v="2"/>
    <n v="103.19999999999999"/>
    <n v="46.810732584"/>
    <n v="3.84"/>
    <n v="179.75321312256"/>
  </r>
  <r>
    <d v="2018-11-30T00:00:00"/>
    <s v="Dairy Products"/>
    <n v="4"/>
    <n v="1"/>
    <n v="25.799999999999997"/>
    <s v="ICE CREAM CHOC"/>
    <x v="77"/>
    <x v="2"/>
    <n v="103.19999999999999"/>
    <n v="46.810732584"/>
    <n v="3.84"/>
    <n v="179.75321312256"/>
  </r>
  <r>
    <d v="2018-11-30T00:00:00"/>
    <s v="Dairy Products"/>
    <n v="4"/>
    <n v="1"/>
    <n v="25.799999999999997"/>
    <s v="ICE CREAM BIRTHDAY CAKE"/>
    <x v="77"/>
    <x v="2"/>
    <n v="103.19999999999999"/>
    <n v="46.810732584"/>
    <n v="3.84"/>
    <n v="179.75321312256"/>
  </r>
  <r>
    <d v="2018-12-05T00:00:00"/>
    <s v="Dairy Products"/>
    <n v="2"/>
    <n v="1"/>
    <n v="25.799999999999997"/>
    <s v="ICE CREAM COOKIES &amp;  CRM"/>
    <x v="77"/>
    <x v="2"/>
    <n v="51.599999999999994"/>
    <n v="23.405366292"/>
    <n v="3.84"/>
    <n v="89.876606561279999"/>
  </r>
  <r>
    <d v="2018-12-05T00:00:00"/>
    <s v="Dairy Products"/>
    <n v="2"/>
    <n v="1"/>
    <n v="25.799999999999997"/>
    <s v="ICE CREAM JUST PEACHY"/>
    <x v="77"/>
    <x v="2"/>
    <n v="51.599999999999994"/>
    <n v="23.405366292"/>
    <n v="3.84"/>
    <n v="89.876606561279999"/>
  </r>
  <r>
    <d v="2018-12-05T00:00:00"/>
    <s v="Dairy Products"/>
    <n v="3"/>
    <n v="1"/>
    <n v="25.799999999999997"/>
    <s v="ICE CREAM STWBRY"/>
    <x v="77"/>
    <x v="2"/>
    <n v="77.399999999999991"/>
    <n v="35.108049437999995"/>
    <n v="3.84"/>
    <n v="134.81490984191998"/>
  </r>
  <r>
    <d v="2018-12-05T00:00:00"/>
    <s v="Dairy Products"/>
    <n v="3"/>
    <n v="1"/>
    <n v="25.799999999999997"/>
    <s v="ICE CREAM CHOC"/>
    <x v="77"/>
    <x v="2"/>
    <n v="77.399999999999991"/>
    <n v="35.108049437999995"/>
    <n v="3.84"/>
    <n v="134.81490984191998"/>
  </r>
  <r>
    <d v="2018-12-05T00:00:00"/>
    <s v="Dairy Products"/>
    <n v="3"/>
    <n v="1"/>
    <n v="25.799999999999997"/>
    <s v="ICE CREAM FRCH VAN"/>
    <x v="77"/>
    <x v="2"/>
    <n v="77.399999999999991"/>
    <n v="35.108049437999995"/>
    <n v="3.84"/>
    <n v="134.81490984191998"/>
  </r>
  <r>
    <d v="2018-11-30T00:00:00"/>
    <s v="Canned and dry goods"/>
    <n v="1"/>
    <n v="6"/>
    <n v="4"/>
    <s v="JELLY GRAPE"/>
    <x v="78"/>
    <x v="1"/>
    <n v="24"/>
    <n v="10.886216880000001"/>
    <n v="3.25"/>
    <n v="35.380204860000006"/>
  </r>
  <r>
    <d v="2018-12-05T00:00:00"/>
    <s v="Canned and dry goods"/>
    <n v="1"/>
    <n v="6"/>
    <n v="4"/>
    <s v="JELLY GRAPE"/>
    <x v="78"/>
    <x v="1"/>
    <n v="24"/>
    <n v="10.886216880000001"/>
    <n v="3.25"/>
    <n v="35.380204860000006"/>
  </r>
  <r>
    <d v="2018-08-31T00:00:00"/>
    <s v="Royal "/>
    <n v="1"/>
    <n v="1"/>
    <n v="15"/>
    <s v="chopped kale"/>
    <x v="79"/>
    <x v="1"/>
    <n v="15"/>
    <n v="6.8038855500000004"/>
    <n v="0.193"/>
    <n v="1.31314991115"/>
  </r>
  <r>
    <d v="2018-09-01T00:00:00"/>
    <s v="Royal "/>
    <n v="2"/>
    <n v="1"/>
    <n v="10"/>
    <s v="5 kale"/>
    <x v="79"/>
    <x v="1"/>
    <n v="20"/>
    <n v="9.0718474000000011"/>
    <n v="0.193"/>
    <n v="1.7508665482000003"/>
  </r>
  <r>
    <d v="2018-08-31T00:00:00"/>
    <s v="Georgia Halal Meat (Emory)"/>
    <n v="1"/>
    <n v="1"/>
    <n v="40"/>
    <s v="lamb K"/>
    <x v="80"/>
    <x v="0"/>
    <n v="40"/>
    <n v="18.143694800000002"/>
    <n v="34.744999999999997"/>
    <n v="630.40267582600006"/>
  </r>
  <r>
    <d v="2018-09-04T00:00:00"/>
    <s v="Georgia Halal Meat (Emory)"/>
    <n v="1"/>
    <n v="1"/>
    <n v="100"/>
    <s v="lamb bots."/>
    <x v="80"/>
    <x v="0"/>
    <n v="100"/>
    <n v="45.359237"/>
    <n v="34.744999999999997"/>
    <n v="1576.006689565"/>
  </r>
  <r>
    <d v="2018-09-04T00:00:00"/>
    <s v="Royal "/>
    <n v="1"/>
    <n v="1"/>
    <n v="6.75"/>
    <s v="12ct leeks"/>
    <x v="81"/>
    <x v="1"/>
    <n v="6.75"/>
    <n v="3.0617484975000004"/>
    <n v="6.9000000000000006E-2"/>
    <n v="0.21126064632750005"/>
  </r>
  <r>
    <d v="2018-09-01T00:00:00"/>
    <s v="Royal "/>
    <n v="1"/>
    <n v="1"/>
    <n v="25.44"/>
    <s v="12qt lemon juice"/>
    <x v="82"/>
    <x v="1"/>
    <n v="25.44"/>
    <n v="11.539389892800003"/>
    <n v="0.33200000000000002"/>
    <n v="3.8310774444096012"/>
  </r>
  <r>
    <d v="2018-09-03T00:00:00"/>
    <s v="Royal "/>
    <n v="1"/>
    <n v="1"/>
    <n v="10"/>
    <s v="5 green lettuce"/>
    <x v="83"/>
    <x v="1"/>
    <n v="10"/>
    <n v="4.5359237000000006"/>
    <n v="0.22"/>
    <n v="0.99790321400000015"/>
  </r>
  <r>
    <d v="2018-09-04T00:00:00"/>
    <s v="Royal "/>
    <n v="2"/>
    <n v="1"/>
    <n v="10"/>
    <s v="5 green lettuce"/>
    <x v="83"/>
    <x v="1"/>
    <n v="20"/>
    <n v="9.0718474000000011"/>
    <n v="0.22"/>
    <n v="1.9958064280000003"/>
  </r>
  <r>
    <d v="2018-08-31T00:00:00"/>
    <s v="Royal "/>
    <n v="1"/>
    <n v="1"/>
    <n v="240"/>
    <s v="romaine hearts"/>
    <x v="83"/>
    <x v="1"/>
    <n v="240"/>
    <n v="108.86216880000001"/>
    <n v="0.158"/>
    <n v="17.200222670400002"/>
  </r>
  <r>
    <d v="2018-09-01T00:00:00"/>
    <s v="Royal "/>
    <n v="2"/>
    <n v="1"/>
    <n v="48"/>
    <s v="48 heads romaine hearts"/>
    <x v="83"/>
    <x v="1"/>
    <n v="96"/>
    <n v="43.544867520000004"/>
    <n v="0.158"/>
    <n v="6.8800890681600011"/>
  </r>
  <r>
    <d v="2018-09-04T00:00:00"/>
    <s v="Royal "/>
    <n v="2"/>
    <n v="1"/>
    <n v="48"/>
    <s v="48 heads romaine hearts"/>
    <x v="83"/>
    <x v="1"/>
    <n v="96"/>
    <n v="43.544867520000004"/>
    <n v="0.158"/>
    <n v="6.8800890681600011"/>
  </r>
  <r>
    <d v="2018-09-04T00:00:00"/>
    <s v="Royal "/>
    <n v="4"/>
    <n v="1"/>
    <n v="48"/>
    <s v="48 heads romaine hearts"/>
    <x v="83"/>
    <x v="1"/>
    <n v="192"/>
    <n v="87.089735040000008"/>
    <n v="0.158"/>
    <n v="13.760178136320002"/>
  </r>
  <r>
    <d v="2018-09-05T00:00:00"/>
    <s v="Royal "/>
    <n v="2"/>
    <n v="1"/>
    <n v="48"/>
    <s v="romaine hearts"/>
    <x v="83"/>
    <x v="1"/>
    <n v="96"/>
    <n v="43.544867520000004"/>
    <n v="0.158"/>
    <n v="6.8800890681600011"/>
  </r>
  <r>
    <d v="2018-09-06T00:00:00"/>
    <s v="Royal "/>
    <n v="2"/>
    <n v="1"/>
    <n v="48"/>
    <s v="romaine hearts"/>
    <x v="83"/>
    <x v="1"/>
    <n v="96"/>
    <n v="43.544867520000004"/>
    <n v="0.158"/>
    <n v="6.8800890681600011"/>
  </r>
  <r>
    <d v="2018-08-31T00:00:00"/>
    <s v="Royal "/>
    <n v="1"/>
    <n v="1"/>
    <n v="25.05"/>
    <s v="lime juice"/>
    <x v="84"/>
    <x v="1"/>
    <n v="25.05"/>
    <n v="11.362488868500002"/>
    <n v="1.9430000000000001"/>
    <n v="22.077315871495504"/>
  </r>
  <r>
    <d v="2018-09-04T00:00:00"/>
    <s v="Royal "/>
    <n v="1"/>
    <n v="1"/>
    <n v="38"/>
    <s v="38lb limes"/>
    <x v="85"/>
    <x v="1"/>
    <n v="38"/>
    <n v="17.236510060000001"/>
    <n v="0.61199999999999999"/>
    <n v="10.54874415672"/>
  </r>
  <r>
    <d v="2018-08-31T00:00:00"/>
    <s v="Mayfield Dairy"/>
    <n v="12"/>
    <n v="1"/>
    <n v="43"/>
    <s v="5gl homo disp"/>
    <x v="86"/>
    <x v="2"/>
    <n v="516"/>
    <n v="234.05366291999999"/>
    <n v="1.23"/>
    <n v="287.88600539160001"/>
  </r>
  <r>
    <d v="2018-08-31T00:00:00"/>
    <s v="Mayfield Dairy"/>
    <n v="12"/>
    <n v="1"/>
    <n v="43"/>
    <s v="5gl 2%"/>
    <x v="86"/>
    <x v="2"/>
    <n v="516"/>
    <n v="234.05366291999999"/>
    <n v="1.23"/>
    <n v="287.88600539160001"/>
  </r>
  <r>
    <d v="2018-08-31T00:00:00"/>
    <s v="Mayfield Dairy"/>
    <n v="3"/>
    <n v="1"/>
    <n v="43"/>
    <s v="5 glskim"/>
    <x v="86"/>
    <x v="2"/>
    <n v="129"/>
    <n v="58.513415729999998"/>
    <n v="1.23"/>
    <n v="71.971501347900002"/>
  </r>
  <r>
    <d v="2018-08-31T00:00:00"/>
    <s v="Mayfield Dairy"/>
    <n v="6"/>
    <n v="1"/>
    <n v="43"/>
    <s v="5 gl true moo"/>
    <x v="86"/>
    <x v="2"/>
    <n v="258"/>
    <n v="117.02683146"/>
    <n v="1.23"/>
    <n v="143.9430026958"/>
  </r>
  <r>
    <d v="2018-08-31T00:00:00"/>
    <s v="Mayfield Dairy"/>
    <n v="24"/>
    <n v="1"/>
    <n v="2.0499999999999998"/>
    <s v="1qt dp mg oldsty"/>
    <x v="86"/>
    <x v="2"/>
    <n v="49.199999999999996"/>
    <n v="22.316744604"/>
    <n v="1.23"/>
    <n v="27.449595862919999"/>
  </r>
  <r>
    <d v="2018-09-03T00:00:00"/>
    <s v="Mayfield Dairy"/>
    <n v="6"/>
    <n v="1"/>
    <n v="43"/>
    <s v="5gl homo disp"/>
    <x v="86"/>
    <x v="2"/>
    <n v="258"/>
    <n v="117.02683146"/>
    <n v="1.23"/>
    <n v="143.9430026958"/>
  </r>
  <r>
    <d v="2018-09-03T00:00:00"/>
    <s v="Mayfield Dairy"/>
    <n v="6"/>
    <n v="1"/>
    <n v="43"/>
    <s v="5gl 2%"/>
    <x v="86"/>
    <x v="2"/>
    <n v="258"/>
    <n v="117.02683146"/>
    <n v="1.23"/>
    <n v="143.9430026958"/>
  </r>
  <r>
    <d v="2018-09-03T00:00:00"/>
    <s v="Mayfield Dairy"/>
    <n v="4"/>
    <n v="1"/>
    <n v="43"/>
    <s v="5gl skim"/>
    <x v="86"/>
    <x v="2"/>
    <n v="172"/>
    <n v="78.017887639999998"/>
    <n v="1.23"/>
    <n v="95.962001797200003"/>
  </r>
  <r>
    <d v="2018-09-03T00:00:00"/>
    <s v="Mayfield Dairy"/>
    <n v="4"/>
    <n v="1"/>
    <n v="43"/>
    <s v="5gl true moo choc"/>
    <x v="86"/>
    <x v="2"/>
    <n v="172"/>
    <n v="78.017887639999998"/>
    <n v="1.23"/>
    <n v="95.962001797200003"/>
  </r>
  <r>
    <d v="2018-09-03T00:00:00"/>
    <s v="Mayfield Dairy"/>
    <n v="36"/>
    <n v="1"/>
    <n v="2.0499999999999998"/>
    <s v="1qt dp mg oldsty"/>
    <x v="86"/>
    <x v="2"/>
    <n v="73.8"/>
    <n v="33.475116906000004"/>
    <n v="1.23"/>
    <n v="41.174393794380002"/>
  </r>
  <r>
    <d v="2018-09-05T00:00:00"/>
    <s v="Mayfield Dairy"/>
    <n v="6"/>
    <n v="1"/>
    <n v="43"/>
    <s v="5gl homo disp"/>
    <x v="86"/>
    <x v="2"/>
    <n v="258"/>
    <n v="117.02683146"/>
    <n v="1.23"/>
    <n v="143.9430026958"/>
  </r>
  <r>
    <d v="2018-09-05T00:00:00"/>
    <s v="Mayfield Dairy"/>
    <n v="6"/>
    <n v="1"/>
    <n v="43"/>
    <s v="5gl 2%"/>
    <x v="86"/>
    <x v="2"/>
    <n v="258"/>
    <n v="117.02683146"/>
    <n v="1.23"/>
    <n v="143.9430026958"/>
  </r>
  <r>
    <d v="2018-09-05T00:00:00"/>
    <s v="Mayfield Dairy"/>
    <n v="6"/>
    <n v="1"/>
    <n v="43"/>
    <s v="5gl skim"/>
    <x v="86"/>
    <x v="2"/>
    <n v="258"/>
    <n v="117.02683146"/>
    <n v="1.23"/>
    <n v="143.9430026958"/>
  </r>
  <r>
    <d v="2018-09-05T00:00:00"/>
    <s v="Mayfield Dairy"/>
    <n v="6"/>
    <n v="1"/>
    <n v="43"/>
    <s v="5gl true moo choc"/>
    <x v="86"/>
    <x v="2"/>
    <n v="258"/>
    <n v="117.02683146"/>
    <n v="1.23"/>
    <n v="143.9430026958"/>
  </r>
  <r>
    <d v="2018-09-05T00:00:00"/>
    <s v="Mayfield Dairy"/>
    <n v="24"/>
    <n v="1"/>
    <n v="2.0499999999999998"/>
    <s v="1qt dp mg oldsty"/>
    <x v="86"/>
    <x v="2"/>
    <n v="49.199999999999996"/>
    <n v="22.316744604"/>
    <n v="1.23"/>
    <n v="27.449595862919999"/>
  </r>
  <r>
    <d v="2018-12-03T00:00:00"/>
    <s v="Dairy Products"/>
    <n v="1"/>
    <n v="20"/>
    <n v="0.5"/>
    <s v="MILK NFAT 100% LACT CAL ENRCHD"/>
    <x v="86"/>
    <x v="2"/>
    <n v="10"/>
    <n v="4.5359237000000006"/>
    <n v="1.23"/>
    <n v="5.5791861510000009"/>
  </r>
  <r>
    <d v="2018-11-30T00:00:00"/>
    <s v="Canned and dry goods"/>
    <n v="1"/>
    <n v="4"/>
    <n v="11.89"/>
    <s v="MOLASSES UNSULFURED"/>
    <x v="87"/>
    <x v="1"/>
    <n v="47.56"/>
    <n v="21.572853117200001"/>
    <n v="0.48799999999999999"/>
    <n v="10.5275523211936"/>
  </r>
  <r>
    <d v="2018-08-31T00:00:00"/>
    <s v="Royal "/>
    <n v="1"/>
    <n v="1"/>
    <n v="40"/>
    <s v="button mushroom"/>
    <x v="88"/>
    <x v="1"/>
    <n v="40"/>
    <n v="18.143694800000002"/>
    <n v="3.093"/>
    <n v="56.118448016400009"/>
  </r>
  <r>
    <d v="2018-08-31T00:00:00"/>
    <s v="Royal "/>
    <n v="1"/>
    <n v="1"/>
    <n v="25"/>
    <s v="portobello mushroom"/>
    <x v="88"/>
    <x v="1"/>
    <n v="25"/>
    <n v="11.33980925"/>
    <n v="3.093"/>
    <n v="35.074030010249999"/>
  </r>
  <r>
    <d v="2018-08-31T00:00:00"/>
    <s v="Royal "/>
    <n v="1"/>
    <n v="1"/>
    <n v="25"/>
    <s v="sliced thick mushroom"/>
    <x v="88"/>
    <x v="1"/>
    <n v="25"/>
    <n v="11.33980925"/>
    <n v="3.093"/>
    <n v="35.074030010249999"/>
  </r>
  <r>
    <d v="2018-09-01T00:00:00"/>
    <s v="Royal "/>
    <n v="2"/>
    <n v="1"/>
    <n v="10"/>
    <s v="10lb mushroom"/>
    <x v="88"/>
    <x v="1"/>
    <n v="20"/>
    <n v="9.0718474000000011"/>
    <n v="3.093"/>
    <n v="28.059224008200005"/>
  </r>
  <r>
    <d v="2018-09-01T00:00:00"/>
    <s v="Royal "/>
    <n v="6"/>
    <n v="1"/>
    <n v="5"/>
    <s v="5 mushroom"/>
    <x v="88"/>
    <x v="1"/>
    <n v="30"/>
    <n v="13.607771100000001"/>
    <n v="3.093"/>
    <n v="42.0888360123"/>
  </r>
  <r>
    <d v="2018-09-01T00:00:00"/>
    <s v="Royal "/>
    <n v="12"/>
    <n v="1"/>
    <n v="5"/>
    <s v="5 mushroom thick"/>
    <x v="88"/>
    <x v="1"/>
    <n v="60"/>
    <n v="27.215542200000002"/>
    <n v="3.093"/>
    <n v="84.1776720246"/>
  </r>
  <r>
    <d v="2018-09-03T00:00:00"/>
    <s v="Royal "/>
    <n v="10"/>
    <n v="1"/>
    <n v="5"/>
    <s v="5 mushroom"/>
    <x v="88"/>
    <x v="1"/>
    <n v="50"/>
    <n v="22.6796185"/>
    <n v="3.093"/>
    <n v="70.148060020499997"/>
  </r>
  <r>
    <d v="2018-09-04T00:00:00"/>
    <s v="Royal "/>
    <n v="2"/>
    <n v="1"/>
    <n v="5"/>
    <s v="5 mushroom thick"/>
    <x v="88"/>
    <x v="1"/>
    <n v="10"/>
    <n v="4.5359237000000006"/>
    <n v="3.093"/>
    <n v="14.029612004100002"/>
  </r>
  <r>
    <d v="2018-09-04T00:00:00"/>
    <s v="Royal "/>
    <n v="5"/>
    <n v="1"/>
    <n v="5"/>
    <s v="5 mushroom thick"/>
    <x v="88"/>
    <x v="1"/>
    <n v="25"/>
    <n v="11.33980925"/>
    <n v="3.093"/>
    <n v="35.074030010249999"/>
  </r>
  <r>
    <d v="2018-09-05T00:00:00"/>
    <s v="Royal "/>
    <n v="2"/>
    <n v="1"/>
    <n v="5"/>
    <s v="mushroom portabella"/>
    <x v="88"/>
    <x v="1"/>
    <n v="10"/>
    <n v="4.5359237000000006"/>
    <n v="3.093"/>
    <n v="14.029612004100002"/>
  </r>
  <r>
    <d v="2018-09-06T00:00:00"/>
    <s v="Royal "/>
    <n v="6"/>
    <n v="1"/>
    <n v="5"/>
    <s v="mushroom thick"/>
    <x v="88"/>
    <x v="1"/>
    <n v="30"/>
    <n v="13.607771100000001"/>
    <n v="3.093"/>
    <n v="42.0888360123"/>
  </r>
  <r>
    <d v="2018-09-06T00:00:00"/>
    <s v="Royal "/>
    <n v="4"/>
    <n v="1"/>
    <n v="10"/>
    <s v="mushroom button"/>
    <x v="88"/>
    <x v="1"/>
    <n v="40"/>
    <n v="18.143694800000002"/>
    <n v="3.093"/>
    <n v="56.118448016400009"/>
  </r>
  <r>
    <d v="2018-12-03T00:00:00"/>
    <s v="Canned and dry goods"/>
    <n v="3"/>
    <n v="4"/>
    <n v="5"/>
    <s v="NOODLE YAKI SOBA"/>
    <x v="89"/>
    <x v="1"/>
    <n v="60"/>
    <n v="27.215542200000002"/>
    <n v="5.99"/>
    <n v="163.02109777800001"/>
  </r>
  <r>
    <d v="2018-12-05T00:00:00"/>
    <s v="Canned and dry goods"/>
    <n v="3"/>
    <n v="4"/>
    <n v="5"/>
    <s v="NOODLE YAKI SOBA"/>
    <x v="89"/>
    <x v="1"/>
    <n v="60"/>
    <n v="27.215542200000002"/>
    <n v="5.99"/>
    <n v="163.02109777800001"/>
  </r>
  <r>
    <d v="2018-12-03T00:00:00"/>
    <s v="Frozen"/>
    <n v="3"/>
    <n v="4"/>
    <n v="5"/>
    <s v="NOODLE LO MEIN"/>
    <x v="89"/>
    <x v="1"/>
    <n v="60"/>
    <n v="27.215542200000002"/>
    <n v="5.99"/>
    <n v="163.02109777800001"/>
  </r>
  <r>
    <d v="2018-12-03T00:00:00"/>
    <s v="Canned and dry goods"/>
    <n v="6"/>
    <n v="4"/>
    <n v="7.9"/>
    <s v="OIL CANOLA"/>
    <x v="90"/>
    <x v="1"/>
    <n v="189.60000000000002"/>
    <n v="86.001113352000019"/>
    <n v="2.6459999999999999"/>
    <n v="227.55894592939205"/>
  </r>
  <r>
    <d v="2018-12-05T00:00:00"/>
    <s v="Canned and dry goods"/>
    <n v="3"/>
    <n v="1"/>
    <n v="35"/>
    <s v="OIL CANOLA PURE ZTF"/>
    <x v="90"/>
    <x v="1"/>
    <n v="105"/>
    <n v="47.627198849999999"/>
    <n v="2.6459999999999999"/>
    <n v="126.02156815709999"/>
  </r>
  <r>
    <d v="2018-12-05T00:00:00"/>
    <s v="Canned and dry goods"/>
    <n v="6"/>
    <n v="4"/>
    <n v="7.9"/>
    <s v="OIL CANOLA"/>
    <x v="90"/>
    <x v="1"/>
    <n v="189.60000000000002"/>
    <n v="86.001113352000019"/>
    <n v="2.6459999999999999"/>
    <n v="227.55894592939205"/>
  </r>
  <r>
    <d v="2018-11-30T00:00:00"/>
    <s v="Canned and dry goods"/>
    <n v="6"/>
    <n v="4"/>
    <n v="7.9"/>
    <s v="OIL CANOLA"/>
    <x v="90"/>
    <x v="1"/>
    <n v="189.60000000000002"/>
    <n v="86.001113352000019"/>
    <n v="2.6459999999999999"/>
    <n v="227.55894592939205"/>
  </r>
  <r>
    <d v="2018-12-05T00:00:00"/>
    <s v="Canned and dry goods"/>
    <n v="1"/>
    <n v="6"/>
    <n v="10"/>
    <s v="OLIVE RIPE SLICED"/>
    <x v="91"/>
    <x v="1"/>
    <n v="60"/>
    <n v="27.215542200000002"/>
    <n v="3.206"/>
    <n v="87.253028293200003"/>
  </r>
  <r>
    <d v="2018-08-31T00:00:00"/>
    <s v="Royal "/>
    <n v="1"/>
    <n v="1"/>
    <n v="20"/>
    <s v="onion diced"/>
    <x v="92"/>
    <x v="1"/>
    <n v="20"/>
    <n v="9.0718474000000011"/>
    <n v="0.26900000000000002"/>
    <n v="2.4403269506000003"/>
  </r>
  <r>
    <d v="2018-08-31T00:00:00"/>
    <s v="Royal "/>
    <n v="1"/>
    <n v="1"/>
    <n v="50"/>
    <s v="red jumbo onion"/>
    <x v="92"/>
    <x v="1"/>
    <n v="50"/>
    <n v="22.6796185"/>
    <n v="0.26900000000000002"/>
    <n v="6.1008173765000002"/>
  </r>
  <r>
    <d v="2018-08-31T00:00:00"/>
    <s v="Royal "/>
    <n v="1"/>
    <n v="1"/>
    <n v="100"/>
    <s v="yello jumbo onion"/>
    <x v="92"/>
    <x v="1"/>
    <n v="100"/>
    <n v="45.359237"/>
    <n v="0.26900000000000002"/>
    <n v="12.201634753"/>
  </r>
  <r>
    <d v="2018-09-01T00:00:00"/>
    <s v="Royal "/>
    <n v="2"/>
    <n v="1"/>
    <n v="25"/>
    <s v="25 red onion"/>
    <x v="92"/>
    <x v="1"/>
    <n v="50"/>
    <n v="22.6796185"/>
    <n v="0.26900000000000002"/>
    <n v="6.1008173765000002"/>
  </r>
  <r>
    <d v="2018-09-01T00:00:00"/>
    <s v="Royal "/>
    <n v="2"/>
    <n v="1"/>
    <n v="50"/>
    <s v="50lb yellow onion"/>
    <x v="92"/>
    <x v="1"/>
    <n v="100"/>
    <n v="45.359237"/>
    <n v="0.26900000000000002"/>
    <n v="12.201634753"/>
  </r>
  <r>
    <d v="2018-09-01T00:00:00"/>
    <s v="Royal "/>
    <n v="4"/>
    <n v="1"/>
    <n v="20"/>
    <s v="5 onion diced"/>
    <x v="92"/>
    <x v="1"/>
    <n v="80"/>
    <n v="36.287389600000004"/>
    <n v="0.26900000000000002"/>
    <n v="9.7613078024000011"/>
  </r>
  <r>
    <d v="2018-09-04T00:00:00"/>
    <s v="Royal "/>
    <n v="1"/>
    <n v="1"/>
    <n v="1.5"/>
    <s v="4dz bags onion"/>
    <x v="92"/>
    <x v="1"/>
    <n v="1.5"/>
    <n v="0.68038855500000006"/>
    <n v="0.26900000000000002"/>
    <n v="0.18302452129500002"/>
  </r>
  <r>
    <d v="2018-09-04T00:00:00"/>
    <s v="Royal "/>
    <n v="1"/>
    <n v="1"/>
    <n v="25"/>
    <s v="25 red onion"/>
    <x v="92"/>
    <x v="1"/>
    <n v="25"/>
    <n v="11.33980925"/>
    <n v="0.26900000000000002"/>
    <n v="3.0504086882500001"/>
  </r>
  <r>
    <d v="2018-09-04T00:00:00"/>
    <s v="Royal "/>
    <n v="1"/>
    <n v="1"/>
    <n v="50"/>
    <s v="50lb yellow onion"/>
    <x v="92"/>
    <x v="1"/>
    <n v="50"/>
    <n v="22.6796185"/>
    <n v="0.26900000000000002"/>
    <n v="6.1008173765000002"/>
  </r>
  <r>
    <d v="2018-09-04T00:00:00"/>
    <s v="Royal "/>
    <n v="1"/>
    <n v="1"/>
    <n v="50"/>
    <s v="50lb yellow onion"/>
    <x v="92"/>
    <x v="1"/>
    <n v="50"/>
    <n v="22.6796185"/>
    <n v="0.26900000000000002"/>
    <n v="6.1008173765000002"/>
  </r>
  <r>
    <d v="2018-09-04T00:00:00"/>
    <s v="Royal "/>
    <n v="2"/>
    <n v="1"/>
    <n v="20"/>
    <s v="5 onion diced"/>
    <x v="92"/>
    <x v="1"/>
    <n v="40"/>
    <n v="18.143694800000002"/>
    <n v="0.26900000000000002"/>
    <n v="4.8806539012000005"/>
  </r>
  <r>
    <d v="2018-08-31T00:00:00"/>
    <s v="Royal "/>
    <n v="2"/>
    <n v="1"/>
    <n v="1.5"/>
    <s v="green onion"/>
    <x v="93"/>
    <x v="1"/>
    <n v="3"/>
    <n v="1.3607771100000001"/>
    <n v="8.5000000000000006E-2"/>
    <n v="0.11566605435000002"/>
  </r>
  <r>
    <d v="2018-09-03T00:00:00"/>
    <s v="Royal "/>
    <n v="1"/>
    <n v="1"/>
    <n v="1.5"/>
    <s v="green onion"/>
    <x v="93"/>
    <x v="1"/>
    <n v="1.5"/>
    <n v="0.68038855500000006"/>
    <n v="8.5000000000000006E-2"/>
    <n v="5.783302717500001E-2"/>
  </r>
  <r>
    <d v="2018-09-05T00:00:00"/>
    <s v="Royal "/>
    <n v="2"/>
    <n v="1"/>
    <n v="50"/>
    <s v="yello jumbo onion"/>
    <x v="94"/>
    <x v="1"/>
    <n v="100"/>
    <n v="45.359237"/>
    <n v="0.26900000000000002"/>
    <n v="12.201634753"/>
  </r>
  <r>
    <d v="2018-09-06T00:00:00"/>
    <s v="Royal "/>
    <n v="2"/>
    <n v="1"/>
    <n v="50"/>
    <s v="yello jumbo onion"/>
    <x v="94"/>
    <x v="1"/>
    <n v="100"/>
    <n v="45.359237"/>
    <n v="0.26900000000000002"/>
    <n v="12.201634753"/>
  </r>
  <r>
    <d v="2018-09-03T00:00:00"/>
    <s v="Royal "/>
    <n v="25"/>
    <n v="1"/>
    <n v="32.635078"/>
    <s v="113 ct oranges"/>
    <x v="95"/>
    <x v="1"/>
    <n v="815.87694999999997"/>
    <n v="370.0755593788715"/>
    <n v="0.29399999999999998"/>
    <n v="108.80221445738822"/>
  </r>
  <r>
    <d v="2018-09-03T00:00:00"/>
    <s v="Royal"/>
    <n v="25"/>
    <n v="1"/>
    <n v="32.635078"/>
    <s v="Oranges"/>
    <x v="96"/>
    <x v="1"/>
    <n v="815.87694999999997"/>
    <n v="370.0755593788715"/>
    <n v="0.29399999999999998"/>
    <n v="108.80221445738822"/>
  </r>
  <r>
    <d v="2018-08-31T00:00:00"/>
    <s v="Royal"/>
    <n v="25"/>
    <n v="1"/>
    <n v="32.635078"/>
    <s v="oranges"/>
    <x v="96"/>
    <x v="1"/>
    <n v="815.87694999999997"/>
    <n v="370.0755593788715"/>
    <n v="0.29399999999999998"/>
    <n v="108.80221445738822"/>
  </r>
  <r>
    <d v="2018-09-01T00:00:00"/>
    <s v="Royal "/>
    <n v="40"/>
    <n v="1"/>
    <n v="32.635078"/>
    <s v="113 ct oranges"/>
    <x v="96"/>
    <x v="1"/>
    <n v="1305.4031199999999"/>
    <n v="592.12089500619436"/>
    <n v="0.29399999999999998"/>
    <n v="174.08354313182113"/>
  </r>
  <r>
    <d v="2018-09-05T00:00:00"/>
    <s v="Royal "/>
    <n v="25"/>
    <n v="1"/>
    <n v="32.635078"/>
    <s v="oranges"/>
    <x v="96"/>
    <x v="1"/>
    <n v="815.87694999999997"/>
    <n v="370.0755593788715"/>
    <n v="0.29399999999999998"/>
    <n v="108.80221445738822"/>
  </r>
  <r>
    <d v="2018-09-06T00:00:00"/>
    <s v="Royal "/>
    <n v="25"/>
    <n v="1"/>
    <n v="32.635078"/>
    <s v="oranges"/>
    <x v="96"/>
    <x v="1"/>
    <n v="815.87694999999997"/>
    <n v="370.0755593788715"/>
    <n v="0.29399999999999998"/>
    <n v="108.80221445738822"/>
  </r>
  <r>
    <d v="2018-11-30T00:00:00"/>
    <s v="Canned and dry goods"/>
    <n v="1"/>
    <n v="6"/>
    <n v="5"/>
    <s v="MIX PANCAKE BTRMLK COMPLT"/>
    <x v="97"/>
    <x v="1"/>
    <n v="30"/>
    <n v="13.607771100000001"/>
    <m/>
    <n v="0"/>
  </r>
  <r>
    <d v="2018-12-03T00:00:00"/>
    <s v="Canned and dry goods"/>
    <n v="1"/>
    <n v="6"/>
    <n v="5"/>
    <s v="MIX PANCAKE BTRMLK COMPLT"/>
    <x v="97"/>
    <x v="1"/>
    <n v="30"/>
    <n v="13.607771100000001"/>
    <m/>
    <n v="0"/>
  </r>
  <r>
    <d v="2018-08-31T00:00:00"/>
    <s v="Royal "/>
    <n v="1"/>
    <n v="1"/>
    <n v="3.75"/>
    <s v="parsley italian"/>
    <x v="98"/>
    <x v="1"/>
    <n v="3.75"/>
    <n v="1.7009713875000001"/>
    <n v="0.23200000000000001"/>
    <n v="0.39462536190000003"/>
  </r>
  <r>
    <d v="2018-09-01T00:00:00"/>
    <s v="Royal "/>
    <n v="1"/>
    <n v="1"/>
    <n v="3.75"/>
    <s v="30ct parsley"/>
    <x v="98"/>
    <x v="1"/>
    <n v="3.75"/>
    <n v="1.7009713875000001"/>
    <n v="0.23200000000000001"/>
    <n v="0.39462536190000003"/>
  </r>
  <r>
    <d v="2018-09-05T00:00:00"/>
    <s v="Royal "/>
    <n v="1"/>
    <n v="1"/>
    <n v="3.75"/>
    <s v="parsley italian"/>
    <x v="98"/>
    <x v="1"/>
    <n v="3.75"/>
    <n v="1.7009713875000001"/>
    <n v="0.23200000000000001"/>
    <n v="0.39462536190000003"/>
  </r>
  <r>
    <d v="2018-11-30T00:00:00"/>
    <s v="Canned and dry goods"/>
    <n v="4"/>
    <n v="2"/>
    <n v="10"/>
    <s v="PASTA PENNE RIGATE"/>
    <x v="99"/>
    <x v="1"/>
    <n v="80"/>
    <n v="36.287389600000004"/>
    <n v="5.99"/>
    <n v="217.36146370400004"/>
  </r>
  <r>
    <d v="2018-11-30T00:00:00"/>
    <s v="Canned and dry goods"/>
    <n v="4"/>
    <n v="2"/>
    <n v="10"/>
    <s v="PASTA GEMELLI"/>
    <x v="99"/>
    <x v="1"/>
    <n v="80"/>
    <n v="36.287389600000004"/>
    <n v="5.99"/>
    <n v="217.36146370400004"/>
  </r>
  <r>
    <d v="2018-11-30T00:00:00"/>
    <s v="Canned and dry goods"/>
    <n v="4"/>
    <n v="2"/>
    <n v="10"/>
    <s v="PASTA FARFALLE"/>
    <x v="99"/>
    <x v="1"/>
    <n v="80"/>
    <n v="36.287389600000004"/>
    <n v="5.99"/>
    <n v="217.36146370400004"/>
  </r>
  <r>
    <d v="2018-11-30T00:00:00"/>
    <s v="Canned and dry goods"/>
    <n v="4"/>
    <n v="2"/>
    <n v="10"/>
    <s v="PASTA MACARONI ELBOW"/>
    <x v="99"/>
    <x v="1"/>
    <n v="80"/>
    <n v="36.287389600000004"/>
    <n v="5.99"/>
    <n v="217.36146370400004"/>
  </r>
  <r>
    <d v="2018-12-05T00:00:00"/>
    <s v="Canned and dry goods"/>
    <n v="3"/>
    <n v="2"/>
    <n v="10"/>
    <s v="PASTA PENNE RIGATE"/>
    <x v="99"/>
    <x v="1"/>
    <n v="60"/>
    <n v="27.215542200000002"/>
    <n v="5.99"/>
    <n v="163.02109777800001"/>
  </r>
  <r>
    <d v="2018-11-30T00:00:00"/>
    <s v="Canned and dry goods"/>
    <n v="1"/>
    <n v="12"/>
    <n v="1"/>
    <s v="PASTE TAHINI"/>
    <x v="100"/>
    <x v="1"/>
    <n v="12"/>
    <n v="5.4431084400000005"/>
    <n v="0.11799999999999999"/>
    <n v="0.64228679592000004"/>
  </r>
  <r>
    <d v="2018-12-05T00:00:00"/>
    <s v="Canned and dry goods"/>
    <n v="1"/>
    <n v="1"/>
    <n v="20"/>
    <s v="PEA BLACKEYE DRIED"/>
    <x v="101"/>
    <x v="1"/>
    <n v="20"/>
    <n v="9.0718474000000011"/>
    <n v="0.61699999999999999"/>
    <n v="5.5973298458000009"/>
  </r>
  <r>
    <d v="2018-08-31T00:00:00"/>
    <s v="Royal "/>
    <n v="1"/>
    <n v="1"/>
    <n v="20"/>
    <s v="snow peas"/>
    <x v="102"/>
    <x v="1"/>
    <n v="20"/>
    <n v="9.0718474000000011"/>
    <n v="0.70099999999999996"/>
    <n v="6.3593650274"/>
  </r>
  <r>
    <d v="2018-09-03T00:00:00"/>
    <s v="Royal "/>
    <n v="1"/>
    <n v="1"/>
    <n v="10"/>
    <s v="10lb snow peas"/>
    <x v="102"/>
    <x v="1"/>
    <n v="10"/>
    <n v="4.5359237000000006"/>
    <n v="0.70099999999999996"/>
    <n v="3.1796825137"/>
  </r>
  <r>
    <d v="2018-11-30T00:00:00"/>
    <s v="Frozen"/>
    <n v="2"/>
    <n v="12"/>
    <n v="2.5"/>
    <s v="PEA GREEN GR A P"/>
    <x v="103"/>
    <x v="1"/>
    <n v="60"/>
    <n v="27.215542200000002"/>
    <n v="0.61699999999999999"/>
    <n v="16.791989537399999"/>
  </r>
  <r>
    <d v="2018-12-03T00:00:00"/>
    <s v="Frozen"/>
    <n v="1"/>
    <n v="12"/>
    <n v="2.5"/>
    <s v="PEA GREEN GR A P"/>
    <x v="103"/>
    <x v="1"/>
    <n v="30"/>
    <n v="13.607771100000001"/>
    <n v="0.61699999999999999"/>
    <n v="8.3959947686999996"/>
  </r>
  <r>
    <d v="2018-09-01T00:00:00"/>
    <s v="Royal "/>
    <n v="3"/>
    <n v="1"/>
    <n v="20"/>
    <s v="5 green pepper diced"/>
    <x v="104"/>
    <x v="1"/>
    <n v="60"/>
    <n v="27.215542200000002"/>
    <n v="0.52500000000000002"/>
    <n v="14.288159655000001"/>
  </r>
  <r>
    <d v="2018-09-04T00:00:00"/>
    <s v="Royal "/>
    <n v="6"/>
    <n v="1"/>
    <n v="10"/>
    <s v="5 green beans"/>
    <x v="104"/>
    <x v="1"/>
    <n v="60"/>
    <n v="27.215542200000002"/>
    <n v="0.52500000000000002"/>
    <n v="14.288159655000001"/>
  </r>
  <r>
    <d v="2018-09-04T00:00:00"/>
    <s v="Royal "/>
    <n v="1"/>
    <n v="1"/>
    <n v="20"/>
    <s v="5 green pepper diced"/>
    <x v="104"/>
    <x v="1"/>
    <n v="20"/>
    <n v="9.0718474000000011"/>
    <n v="0.52500000000000002"/>
    <n v="4.762719885000001"/>
  </r>
  <r>
    <d v="2018-08-31T00:00:00"/>
    <s v="Royal "/>
    <n v="1"/>
    <n v="1"/>
    <n v="66.666666666666671"/>
    <s v="green large pepper"/>
    <x v="104"/>
    <x v="1"/>
    <n v="66.666666666666671"/>
    <n v="30.239491333333337"/>
    <n v="0.52500000000000002"/>
    <n v="15.875732950000003"/>
  </r>
  <r>
    <d v="2018-08-31T00:00:00"/>
    <s v="Royal "/>
    <n v="1"/>
    <n v="1"/>
    <n v="66.666666666666671"/>
    <s v="red pepper"/>
    <x v="104"/>
    <x v="1"/>
    <n v="66.666666666666671"/>
    <n v="30.239491333333337"/>
    <n v="0.52500000000000002"/>
    <n v="15.875732950000003"/>
  </r>
  <r>
    <d v="2018-08-31T00:00:00"/>
    <s v="Royal "/>
    <n v="1"/>
    <n v="1"/>
    <n v="20"/>
    <s v="green diced pepper"/>
    <x v="104"/>
    <x v="1"/>
    <n v="20"/>
    <n v="9.0718474000000011"/>
    <n v="0.52500000000000002"/>
    <n v="4.762719885000001"/>
  </r>
  <r>
    <d v="2018-09-01T00:00:00"/>
    <s v="Royal "/>
    <n v="1"/>
    <n v="1"/>
    <n v="33.333333333333336"/>
    <s v="10/9 green pepper"/>
    <x v="104"/>
    <x v="1"/>
    <n v="33.333333333333336"/>
    <n v="15.119745666666669"/>
    <n v="0.52500000000000002"/>
    <n v="7.9378664750000016"/>
  </r>
  <r>
    <d v="2018-09-01T00:00:00"/>
    <s v="Royal "/>
    <n v="1"/>
    <n v="1"/>
    <n v="33.333333333333336"/>
    <s v="10/9 red pepper"/>
    <x v="104"/>
    <x v="1"/>
    <n v="33.333333333333336"/>
    <n v="15.119745666666669"/>
    <n v="0.52500000000000002"/>
    <n v="7.9378664750000016"/>
  </r>
  <r>
    <d v="2018-09-03T00:00:00"/>
    <s v="Royal "/>
    <n v="1"/>
    <n v="1"/>
    <n v="33.333333333333336"/>
    <s v="10/9 bushel green pepper"/>
    <x v="104"/>
    <x v="1"/>
    <n v="33.333333333333336"/>
    <n v="15.119745666666669"/>
    <n v="0.52500000000000002"/>
    <n v="7.9378664750000016"/>
  </r>
  <r>
    <d v="2018-09-03T00:00:00"/>
    <s v="Royal "/>
    <n v="1"/>
    <n v="1"/>
    <n v="33.333333333333336"/>
    <s v="10/9 bushel red pepper"/>
    <x v="104"/>
    <x v="1"/>
    <n v="33.333333333333336"/>
    <n v="15.119745666666669"/>
    <n v="0.52500000000000002"/>
    <n v="7.9378664750000016"/>
  </r>
  <r>
    <d v="2018-09-04T00:00:00"/>
    <s v="Royal "/>
    <n v="1"/>
    <n v="1"/>
    <n v="33.333333333333336"/>
    <s v="10/9 bushel green pepper"/>
    <x v="104"/>
    <x v="1"/>
    <n v="33.333333333333336"/>
    <n v="15.119745666666669"/>
    <n v="0.52500000000000002"/>
    <n v="7.9378664750000016"/>
  </r>
  <r>
    <d v="2018-09-04T00:00:00"/>
    <s v="Royal "/>
    <n v="1"/>
    <n v="1"/>
    <n v="33.333333333333336"/>
    <s v="10/9 bushel red pepper"/>
    <x v="104"/>
    <x v="1"/>
    <n v="33.333333333333336"/>
    <n v="15.119745666666669"/>
    <n v="0.52500000000000002"/>
    <n v="7.9378664750000016"/>
  </r>
  <r>
    <d v="2018-09-04T00:00:00"/>
    <s v="Royal "/>
    <n v="2"/>
    <n v="1"/>
    <n v="33.333333333333336"/>
    <s v="10/9 bushel red pepper"/>
    <x v="104"/>
    <x v="1"/>
    <n v="66.666666666666671"/>
    <n v="30.239491333333337"/>
    <n v="0.52500000000000002"/>
    <n v="15.875732950000003"/>
  </r>
  <r>
    <d v="2018-09-06T00:00:00"/>
    <s v="Royal "/>
    <n v="2"/>
    <n v="1"/>
    <n v="33.333333333333336"/>
    <s v="green pepper"/>
    <x v="104"/>
    <x v="1"/>
    <n v="66.666666666666671"/>
    <n v="30.239491333333337"/>
    <n v="0.52500000000000002"/>
    <n v="15.875732950000003"/>
  </r>
  <r>
    <d v="2018-09-06T00:00:00"/>
    <s v="Royal "/>
    <n v="2"/>
    <n v="1"/>
    <n v="33.333333333333336"/>
    <s v="red pepper"/>
    <x v="104"/>
    <x v="1"/>
    <n v="66.666666666666671"/>
    <n v="30.239491333333337"/>
    <n v="0.52500000000000002"/>
    <n v="15.875732950000003"/>
  </r>
  <r>
    <d v="2018-11-30T00:00:00"/>
    <s v="Canned and dry goods"/>
    <n v="1"/>
    <n v="12"/>
    <n v="1.75"/>
    <s v="PEPPER RED ROASTED WHOLE"/>
    <x v="104"/>
    <x v="1"/>
    <n v="21"/>
    <n v="9.5254397700000002"/>
    <n v="0.52500000000000002"/>
    <n v="5.0008558792500004"/>
  </r>
  <r>
    <d v="2018-11-30T00:00:00"/>
    <s v="Canned and dry goods"/>
    <n v="1"/>
    <n v="3"/>
    <n v="5"/>
    <s v="SPICE PEPPER BLK SHAKER GRND"/>
    <x v="105"/>
    <x v="1"/>
    <n v="15"/>
    <n v="6.8038855500000004"/>
    <n v="0.87"/>
    <n v="5.9193804285000002"/>
  </r>
  <r>
    <d v="2018-12-05T00:00:00"/>
    <s v="Canned and dry goods"/>
    <n v="1"/>
    <n v="3"/>
    <n v="5"/>
    <s v="SPICE PEPPER BLK SHAKER GRND"/>
    <x v="105"/>
    <x v="1"/>
    <n v="15"/>
    <n v="6.8038855500000004"/>
    <n v="0.87"/>
    <n v="5.9193804285000002"/>
  </r>
  <r>
    <d v="2018-11-30T00:00:00"/>
    <s v="Canned and dry goods"/>
    <n v="2"/>
    <n v="12"/>
    <n v="1.6875"/>
    <s v="PEPPER CHILI GREEN DICED"/>
    <x v="106"/>
    <x v="1"/>
    <n v="40.5"/>
    <n v="18.370490985"/>
    <n v="0.79900000000000004"/>
    <n v="14.678022297015001"/>
  </r>
  <r>
    <d v="2018-11-30T00:00:00"/>
    <s v="Canned and dry goods"/>
    <n v="2"/>
    <n v="12"/>
    <n v="0.4375"/>
    <s v="PEPPER CHIPOTLE IN ADOBO SAUCE"/>
    <x v="106"/>
    <x v="1"/>
    <n v="10.5"/>
    <n v="4.7627198850000001"/>
    <n v="0.79900000000000004"/>
    <n v="3.8054131881150002"/>
  </r>
  <r>
    <d v="2018-12-05T00:00:00"/>
    <s v="Canned and dry goods"/>
    <n v="1"/>
    <n v="4"/>
    <n v="8.35"/>
    <s v="PEPPER JALAPENO NACHO SLI"/>
    <x v="106"/>
    <x v="1"/>
    <n v="33.4"/>
    <n v="15.149985158"/>
    <n v="0.79900000000000004"/>
    <n v="12.104838141242"/>
  </r>
  <r>
    <d v="2018-11-30T00:00:00"/>
    <s v="Canned and dry goods"/>
    <n v="1"/>
    <n v="4"/>
    <n v="8.35"/>
    <s v="PEPPER JALAPENO NACHO SLI"/>
    <x v="107"/>
    <x v="1"/>
    <n v="33.4"/>
    <n v="15.149985158"/>
    <n v="0.79900000000000004"/>
    <n v="12.104838141242"/>
  </r>
  <r>
    <d v="2018-08-31T00:00:00"/>
    <s v="Royal "/>
    <n v="1"/>
    <n v="1"/>
    <n v="120"/>
    <s v="pineapple crownless"/>
    <x v="108"/>
    <x v="1"/>
    <n v="120"/>
    <n v="54.431084400000003"/>
    <n v="0.91400000000000003"/>
    <n v="49.750011141600005"/>
  </r>
  <r>
    <d v="2018-09-01T00:00:00"/>
    <s v="Royal "/>
    <n v="5"/>
    <n v="1"/>
    <n v="20"/>
    <s v="10ct crownless pineapple"/>
    <x v="108"/>
    <x v="1"/>
    <n v="100"/>
    <n v="45.359237"/>
    <n v="0.91400000000000003"/>
    <n v="41.458342618000003"/>
  </r>
  <r>
    <d v="2018-09-04T00:00:00"/>
    <s v="Royal "/>
    <n v="6"/>
    <n v="1"/>
    <n v="20"/>
    <s v="10ct crownless pineapple"/>
    <x v="108"/>
    <x v="1"/>
    <n v="120"/>
    <n v="54.431084400000003"/>
    <n v="0.91400000000000003"/>
    <n v="49.750011141600005"/>
  </r>
  <r>
    <d v="2018-09-05T00:00:00"/>
    <s v="Royal "/>
    <n v="5"/>
    <n v="1"/>
    <n v="20"/>
    <s v="crownless pineapple"/>
    <x v="108"/>
    <x v="1"/>
    <n v="100"/>
    <n v="45.359237"/>
    <n v="0.91400000000000003"/>
    <n v="41.458342618000003"/>
  </r>
  <r>
    <d v="2018-09-06T00:00:00"/>
    <s v="Royal "/>
    <n v="3"/>
    <n v="1"/>
    <n v="12"/>
    <s v="pineapple "/>
    <x v="108"/>
    <x v="1"/>
    <n v="36"/>
    <n v="16.329325319999999"/>
    <n v="0.91400000000000003"/>
    <n v="14.92500334248"/>
  </r>
  <r>
    <d v="2018-08-31T00:00:00"/>
    <s v="Savannah River Farms"/>
    <n v="1"/>
    <n v="1"/>
    <n v="30"/>
    <s v="cured pork ends and pieces"/>
    <x v="109"/>
    <x v="0"/>
    <n v="30"/>
    <n v="13.607771100000001"/>
    <n v="5.56"/>
    <n v="75.659207315999993"/>
  </r>
  <r>
    <d v="2018-08-31T00:00:00"/>
    <s v="Savannah River Farms"/>
    <n v="1"/>
    <n v="1"/>
    <n v="230.17"/>
    <s v="pork"/>
    <x v="109"/>
    <x v="0"/>
    <n v="230.17"/>
    <n v="104.40335580289999"/>
    <n v="5.56"/>
    <n v="580.48265826412398"/>
  </r>
  <r>
    <d v="2018-08-31T00:00:00"/>
    <s v="Savannah River Farms"/>
    <n v="1"/>
    <n v="1"/>
    <n v="62.34"/>
    <s v="pork belly"/>
    <x v="109"/>
    <x v="0"/>
    <n v="62.34"/>
    <n v="28.276948345800005"/>
    <n v="5.56"/>
    <n v="157.21983280264803"/>
  </r>
  <r>
    <d v="2018-08-31T00:00:00"/>
    <s v="Savannah River Farms"/>
    <n v="1"/>
    <n v="1"/>
    <n v="10"/>
    <s v="italian bulk"/>
    <x v="109"/>
    <x v="0"/>
    <n v="10"/>
    <n v="4.5359237000000006"/>
    <n v="5.56"/>
    <n v="25.219735772"/>
  </r>
  <r>
    <d v="2018-08-31T00:00:00"/>
    <s v="Savannah River Farms"/>
    <n v="1"/>
    <n v="1"/>
    <n v="20"/>
    <s v="chorizo bulk"/>
    <x v="109"/>
    <x v="0"/>
    <n v="20"/>
    <n v="9.0718474000000011"/>
    <n v="5.56"/>
    <n v="50.439471544"/>
  </r>
  <r>
    <d v="2018-08-31T00:00:00"/>
    <s v="Savannah River Farms"/>
    <n v="1"/>
    <n v="1"/>
    <n v="100"/>
    <s v="pork"/>
    <x v="109"/>
    <x v="0"/>
    <n v="100"/>
    <n v="45.359237"/>
    <n v="5.56"/>
    <n v="252.19735771999999"/>
  </r>
  <r>
    <d v="2018-08-31T00:00:00"/>
    <s v="Savannah River Farms"/>
    <n v="1"/>
    <n v="1"/>
    <n v="80"/>
    <s v="sausage patties"/>
    <x v="109"/>
    <x v="0"/>
    <n v="80"/>
    <n v="36.287389600000004"/>
    <n v="5.56"/>
    <n v="201.757886176"/>
  </r>
  <r>
    <d v="2018-08-31T00:00:00"/>
    <s v="Savannah River Farms"/>
    <n v="1"/>
    <n v="1"/>
    <n v="140.58000000000001"/>
    <s v="pork chops"/>
    <x v="109"/>
    <x v="0"/>
    <n v="140.58000000000001"/>
    <n v="63.766015374600009"/>
    <n v="5.56"/>
    <n v="354.53904548277603"/>
  </r>
  <r>
    <d v="2018-11-30T00:00:00"/>
    <s v="Meats"/>
    <n v="1"/>
    <n v="1"/>
    <n v="89.1"/>
    <s v="HAM PIT BNLS CKD"/>
    <x v="109"/>
    <x v="0"/>
    <n v="89.1"/>
    <n v="40.415080166999999"/>
    <n v="5.56"/>
    <n v="224.70784572851997"/>
  </r>
  <r>
    <d v="2018-12-05T00:00:00"/>
    <s v="Meats"/>
    <n v="1"/>
    <n v="1"/>
    <n v="29.8"/>
    <s v="HAM PIT BNLS CKD"/>
    <x v="109"/>
    <x v="0"/>
    <n v="29.8"/>
    <n v="13.517052626000002"/>
    <n v="5.56"/>
    <n v="75.154812600560007"/>
  </r>
  <r>
    <d v="2018-08-31T00:00:00"/>
    <s v="Royal "/>
    <n v="1"/>
    <n v="1"/>
    <n v="100"/>
    <s v="russet potato"/>
    <x v="110"/>
    <x v="1"/>
    <n v="100"/>
    <n v="45.359237"/>
    <n v="0.217"/>
    <n v="9.8429544290000006"/>
  </r>
  <r>
    <d v="2018-08-31T00:00:00"/>
    <s v="Royal "/>
    <n v="1"/>
    <n v="1"/>
    <n v="200"/>
    <s v="red potato"/>
    <x v="110"/>
    <x v="1"/>
    <n v="200"/>
    <n v="90.718474000000001"/>
    <n v="0.217"/>
    <n v="19.685908858000001"/>
  </r>
  <r>
    <d v="2018-08-31T00:00:00"/>
    <s v="Royal "/>
    <n v="1"/>
    <n v="1"/>
    <n v="200"/>
    <s v="yukon gold potato"/>
    <x v="110"/>
    <x v="1"/>
    <n v="200"/>
    <n v="90.718474000000001"/>
    <n v="0.217"/>
    <n v="19.685908858000001"/>
  </r>
  <r>
    <d v="2018-09-01T00:00:00"/>
    <s v="Royal "/>
    <n v="3"/>
    <n v="1"/>
    <n v="50"/>
    <s v="50lb potato"/>
    <x v="110"/>
    <x v="1"/>
    <n v="150"/>
    <n v="68.038855500000011"/>
    <n v="0.217"/>
    <n v="14.764431643500002"/>
  </r>
  <r>
    <d v="2018-09-01T00:00:00"/>
    <s v="Royal "/>
    <n v="3"/>
    <n v="1"/>
    <n v="50"/>
    <s v="50lb potato yukon"/>
    <x v="110"/>
    <x v="1"/>
    <n v="150"/>
    <n v="68.038855500000011"/>
    <n v="0.217"/>
    <n v="14.764431643500002"/>
  </r>
  <r>
    <d v="2018-09-03T00:00:00"/>
    <s v="Royal "/>
    <n v="3"/>
    <n v="1"/>
    <n v="50"/>
    <s v="50lb red potato"/>
    <x v="110"/>
    <x v="1"/>
    <n v="150"/>
    <n v="68.038855500000011"/>
    <n v="0.217"/>
    <n v="14.764431643500002"/>
  </r>
  <r>
    <d v="2018-09-03T00:00:00"/>
    <s v="Royal "/>
    <n v="1"/>
    <n v="1"/>
    <n v="50"/>
    <s v="50lb potato yukon"/>
    <x v="110"/>
    <x v="1"/>
    <n v="50"/>
    <n v="22.6796185"/>
    <n v="0.217"/>
    <n v="4.9214772145000003"/>
  </r>
  <r>
    <d v="2018-09-04T00:00:00"/>
    <s v="Royal "/>
    <n v="2"/>
    <n v="1"/>
    <n v="50"/>
    <s v="50lb potato yukon"/>
    <x v="110"/>
    <x v="1"/>
    <n v="100"/>
    <n v="45.359237"/>
    <n v="0.217"/>
    <n v="9.8429544290000006"/>
  </r>
  <r>
    <d v="2018-09-04T00:00:00"/>
    <s v="Royal "/>
    <n v="2"/>
    <n v="1"/>
    <n v="50"/>
    <s v="50lb red potato"/>
    <x v="110"/>
    <x v="1"/>
    <n v="100"/>
    <n v="45.359237"/>
    <n v="0.217"/>
    <n v="9.8429544290000006"/>
  </r>
  <r>
    <d v="2018-09-05T00:00:00"/>
    <s v="Royal "/>
    <n v="2"/>
    <n v="1"/>
    <n v="50"/>
    <s v="red potato"/>
    <x v="110"/>
    <x v="1"/>
    <n v="100"/>
    <n v="45.359237"/>
    <n v="0.217"/>
    <n v="9.8429544290000006"/>
  </r>
  <r>
    <d v="2018-11-30T00:00:00"/>
    <s v="Frozen"/>
    <n v="4"/>
    <n v="6"/>
    <n v="6"/>
    <s v="POTATO H/BRN DICE SKIN-ON CTRY"/>
    <x v="110"/>
    <x v="1"/>
    <n v="144"/>
    <n v="65.317301279999995"/>
    <n v="0.217"/>
    <n v="14.17385437776"/>
  </r>
  <r>
    <d v="2018-11-30T00:00:00"/>
    <s v="Frozen"/>
    <n v="4"/>
    <n v="6"/>
    <n v="3"/>
    <s v="POTATO H/BRN IQF LOOSE SHRED"/>
    <x v="110"/>
    <x v="1"/>
    <n v="72"/>
    <n v="32.658650639999998"/>
    <n v="0.217"/>
    <n v="7.0869271888799998"/>
  </r>
  <r>
    <d v="2018-11-30T00:00:00"/>
    <s v="Frozen"/>
    <n v="6"/>
    <n v="6"/>
    <n v="5"/>
    <s v="POTATO FRY 3/8 COLSSL CRISP"/>
    <x v="110"/>
    <x v="1"/>
    <n v="180"/>
    <n v="81.646626600000005"/>
    <n v="0.217"/>
    <n v="17.7173179722"/>
  </r>
  <r>
    <d v="2018-12-03T00:00:00"/>
    <s v="Frozen"/>
    <n v="4"/>
    <n v="6"/>
    <n v="6"/>
    <s v="POTATO H/BRN DICE SKIN-ON CTRY"/>
    <x v="110"/>
    <x v="1"/>
    <n v="144"/>
    <n v="65.317301279999995"/>
    <n v="0.217"/>
    <n v="14.17385437776"/>
  </r>
  <r>
    <d v="2018-12-03T00:00:00"/>
    <s v="Frozen"/>
    <n v="4"/>
    <n v="6"/>
    <n v="3"/>
    <s v="POTATO H/BRN IQF LOOSE SHRED"/>
    <x v="110"/>
    <x v="1"/>
    <n v="72"/>
    <n v="32.658650639999998"/>
    <n v="0.217"/>
    <n v="7.0869271888799998"/>
  </r>
  <r>
    <d v="2018-12-03T00:00:00"/>
    <s v="Frozen"/>
    <n v="4"/>
    <n v="6"/>
    <n v="5"/>
    <s v="POTATO FRY STEAK HSE"/>
    <x v="110"/>
    <x v="1"/>
    <n v="120"/>
    <n v="54.431084400000003"/>
    <n v="0.217"/>
    <n v="11.8115453148"/>
  </r>
  <r>
    <d v="2018-12-05T00:00:00"/>
    <s v="Frozen"/>
    <n v="4"/>
    <n v="6"/>
    <n v="5"/>
    <s v="POTATO TATER PUFF"/>
    <x v="110"/>
    <x v="1"/>
    <n v="120"/>
    <n v="54.431084400000003"/>
    <n v="0.217"/>
    <n v="11.8115453148"/>
  </r>
  <r>
    <d v="2018-12-05T00:00:00"/>
    <s v="Frozen"/>
    <n v="4"/>
    <n v="6"/>
    <n v="5"/>
    <s v="POTATO FRY STEAK HSE"/>
    <x v="110"/>
    <x v="1"/>
    <n v="120"/>
    <n v="54.431084400000003"/>
    <n v="0.217"/>
    <n v="11.8115453148"/>
  </r>
  <r>
    <d v="2018-12-05T00:00:00"/>
    <s v="Frozen"/>
    <n v="8"/>
    <n v="6"/>
    <n v="5"/>
    <s v="POTATO FRY 3/8 COLSSL CRISP"/>
    <x v="110"/>
    <x v="1"/>
    <n v="240"/>
    <n v="108.86216880000001"/>
    <n v="0.217"/>
    <n v="23.6230906296"/>
  </r>
  <r>
    <d v="2018-12-03T00:00:00"/>
    <s v="Frozen"/>
    <n v="4"/>
    <n v="6"/>
    <n v="5"/>
    <s v="POTATO CHIP NAT FRY 1/8"/>
    <x v="111"/>
    <x v="1"/>
    <n v="120"/>
    <n v="54.431084400000003"/>
    <n v="1.5449999999999999"/>
    <n v="84.096025397999995"/>
  </r>
  <r>
    <d v="2018-12-05T00:00:00"/>
    <s v="Canned and dry goods"/>
    <n v="1"/>
    <n v="24"/>
    <n v="0.9375"/>
    <s v="RAISIN SEEDLESS"/>
    <x v="112"/>
    <x v="1"/>
    <n v="22.5"/>
    <n v="10.205828325000001"/>
    <n v="0.68400000000000005"/>
    <n v="6.9807865743000006"/>
  </r>
  <r>
    <d v="2018-12-05T00:00:00"/>
    <s v="Canned and dry goods"/>
    <n v="1"/>
    <n v="1"/>
    <n v="30"/>
    <s v="RAISIN SEEDLESS GOLDEN"/>
    <x v="112"/>
    <x v="1"/>
    <n v="30"/>
    <n v="13.607771100000001"/>
    <n v="0.68400000000000005"/>
    <n v="9.307715432400002"/>
  </r>
  <r>
    <d v="2018-11-30T00:00:00"/>
    <s v="Canned and dry goods"/>
    <n v="8"/>
    <n v="1"/>
    <n v="25"/>
    <s v="RICE PARBOILED"/>
    <x v="113"/>
    <x v="1"/>
    <n v="200"/>
    <n v="90.718474000000001"/>
    <n v="1.5409999999999999"/>
    <n v="139.79716843399999"/>
  </r>
  <r>
    <d v="2018-11-30T00:00:00"/>
    <s v="Canned and dry goods"/>
    <n v="4"/>
    <n v="2"/>
    <n v="5"/>
    <s v="RICE JASMINE"/>
    <x v="113"/>
    <x v="1"/>
    <n v="40"/>
    <n v="18.143694800000002"/>
    <n v="1.5409999999999999"/>
    <n v="27.959433686800001"/>
  </r>
  <r>
    <d v="2018-11-30T00:00:00"/>
    <s v="Canned and dry goods"/>
    <n v="4"/>
    <n v="1"/>
    <n v="25"/>
    <s v="RICE PARBOILED BRN WHLGN LNGRN"/>
    <x v="113"/>
    <x v="1"/>
    <n v="100"/>
    <n v="45.359237"/>
    <n v="1.5409999999999999"/>
    <n v="69.898584216999993"/>
  </r>
  <r>
    <d v="2018-11-30T00:00:00"/>
    <s v="Canned and dry goods"/>
    <n v="4"/>
    <n v="2"/>
    <n v="5"/>
    <s v="RICE BASMATI"/>
    <x v="113"/>
    <x v="1"/>
    <n v="40"/>
    <n v="18.143694800000002"/>
    <n v="1.5409999999999999"/>
    <n v="27.959433686800001"/>
  </r>
  <r>
    <d v="2018-12-03T00:00:00"/>
    <s v="Canned and dry goods"/>
    <n v="3"/>
    <n v="1"/>
    <n v="25"/>
    <s v="RICE PARBOILED"/>
    <x v="113"/>
    <x v="1"/>
    <n v="75"/>
    <n v="34.019427750000006"/>
    <n v="1.5409999999999999"/>
    <n v="52.423938162750005"/>
  </r>
  <r>
    <d v="2018-12-03T00:00:00"/>
    <s v="Canned and dry goods"/>
    <n v="3"/>
    <n v="2"/>
    <n v="5"/>
    <s v="RICE JASMINE"/>
    <x v="113"/>
    <x v="1"/>
    <n v="30"/>
    <n v="13.607771100000001"/>
    <n v="1.5409999999999999"/>
    <n v="20.969575265100001"/>
  </r>
  <r>
    <d v="2018-12-03T00:00:00"/>
    <s v="Canned and dry goods"/>
    <n v="2"/>
    <n v="1"/>
    <n v="25"/>
    <s v="RICE PARBOILED BRN WHLGN LNGRN"/>
    <x v="113"/>
    <x v="1"/>
    <n v="50"/>
    <n v="22.6796185"/>
    <n v="1.5409999999999999"/>
    <n v="34.949292108499996"/>
  </r>
  <r>
    <d v="2018-12-03T00:00:00"/>
    <s v="Canned and dry goods"/>
    <n v="1"/>
    <n v="1"/>
    <n v="50"/>
    <s v="RICE CALROSE MED GRN SUSHI"/>
    <x v="113"/>
    <x v="1"/>
    <n v="50"/>
    <n v="22.6796185"/>
    <n v="1.5409999999999999"/>
    <n v="34.949292108499996"/>
  </r>
  <r>
    <d v="2018-12-05T00:00:00"/>
    <s v="Canned and dry goods"/>
    <n v="4"/>
    <n v="1"/>
    <n v="25"/>
    <s v="RICE PARBOILED"/>
    <x v="113"/>
    <x v="1"/>
    <n v="100"/>
    <n v="45.359237"/>
    <n v="1.5409999999999999"/>
    <n v="69.898584216999993"/>
  </r>
  <r>
    <d v="2018-12-05T00:00:00"/>
    <s v="Canned and dry goods"/>
    <n v="3"/>
    <n v="1"/>
    <n v="25"/>
    <s v="RICE PARBOILED BRN WHLGN LNGRN"/>
    <x v="113"/>
    <x v="1"/>
    <n v="75"/>
    <n v="34.019427750000006"/>
    <n v="1.5409999999999999"/>
    <n v="52.423938162750005"/>
  </r>
  <r>
    <d v="2018-12-05T00:00:00"/>
    <s v="Canned and dry goods"/>
    <n v="1"/>
    <n v="1"/>
    <n v="50"/>
    <s v="RICE CALROSE MED GRN SUSHI"/>
    <x v="113"/>
    <x v="1"/>
    <n v="50"/>
    <n v="22.6796185"/>
    <n v="1.5409999999999999"/>
    <n v="34.949292108499996"/>
  </r>
  <r>
    <d v="2018-09-01T00:00:00"/>
    <s v="Royal "/>
    <n v="1"/>
    <n v="1"/>
    <n v="1"/>
    <s v="1 rosemary"/>
    <x v="114"/>
    <x v="1"/>
    <n v="1"/>
    <n v="0.45359237000000002"/>
    <n v="0.221"/>
    <n v="0.10024391377000001"/>
  </r>
  <r>
    <d v="2018-11-30T00:00:00"/>
    <s v="Canned and dry goods"/>
    <n v="1"/>
    <n v="4"/>
    <n v="7.9"/>
    <s v="OIL SESAME SEED PURE"/>
    <x v="115"/>
    <x v="1"/>
    <n v="31.6"/>
    <n v="14.333518892000003"/>
    <n v="2.3340000000000001"/>
    <n v="33.45443309392801"/>
  </r>
  <r>
    <d v="2018-08-31T00:00:00"/>
    <s v="Royal "/>
    <n v="1"/>
    <n v="1"/>
    <n v="33.4"/>
    <s v="shallots peeled"/>
    <x v="116"/>
    <x v="1"/>
    <n v="33.4"/>
    <n v="15.149985158"/>
    <n v="0.27500000000000002"/>
    <n v="4.1662459184500005"/>
  </r>
  <r>
    <d v="2018-09-08T00:00:00"/>
    <s v="Honeysuckle Gelato"/>
    <n v="1"/>
    <n v="1"/>
    <n v="100"/>
    <s v="mango sorbet (50L but need 2s of fruit per liter of sorbet, so you need 100lbs for 50L)"/>
    <x v="117"/>
    <x v="1"/>
    <n v="100"/>
    <n v="45.359237"/>
    <n v="0.63900000000000001"/>
    <n v="28.984552443000002"/>
  </r>
  <r>
    <d v="2018-11-30T00:00:00"/>
    <s v="Dairy Products"/>
    <n v="3"/>
    <n v="1"/>
    <n v="21.5"/>
    <s v="MILK SOY VAN BAG"/>
    <x v="118"/>
    <x v="1"/>
    <n v="64.5"/>
    <n v="29.256707864999999"/>
    <n v="0.25800000000000001"/>
    <n v="7.5482306291699999"/>
  </r>
  <r>
    <d v="2018-11-30T00:00:00"/>
    <s v="Dairy Products"/>
    <n v="3"/>
    <n v="1"/>
    <n v="21.5"/>
    <s v="MILK SOY CHOC BAG"/>
    <x v="118"/>
    <x v="1"/>
    <n v="64.5"/>
    <n v="29.256707864999999"/>
    <n v="0.25800000000000001"/>
    <n v="7.5482306291699999"/>
  </r>
  <r>
    <d v="2018-11-30T00:00:00"/>
    <s v="Dairy Products"/>
    <n v="1"/>
    <n v="12"/>
    <n v="2"/>
    <s v="MILK SOY PLAIN"/>
    <x v="118"/>
    <x v="1"/>
    <n v="24"/>
    <n v="10.886216880000001"/>
    <n v="0.25800000000000001"/>
    <n v="2.8086439550400004"/>
  </r>
  <r>
    <d v="2018-12-03T00:00:00"/>
    <s v="Dairy Products"/>
    <n v="2"/>
    <n v="1"/>
    <n v="21.5"/>
    <s v="MILK SOY VAN BAG"/>
    <x v="118"/>
    <x v="1"/>
    <n v="43"/>
    <n v="19.504471909999999"/>
    <n v="0.25800000000000001"/>
    <n v="5.0321537527800002"/>
  </r>
  <r>
    <d v="2018-12-03T00:00:00"/>
    <s v="Dairy Products"/>
    <n v="1"/>
    <n v="1"/>
    <n v="21.5"/>
    <s v="MILK SOY CHOC BAG"/>
    <x v="118"/>
    <x v="1"/>
    <n v="21.5"/>
    <n v="9.7522359549999997"/>
    <n v="0.25800000000000001"/>
    <n v="2.5160768763900001"/>
  </r>
  <r>
    <d v="2018-12-05T00:00:00"/>
    <s v="Dairy Products"/>
    <n v="2"/>
    <n v="1"/>
    <n v="21.5"/>
    <s v="MILK SOY VAN BAG"/>
    <x v="118"/>
    <x v="1"/>
    <n v="43"/>
    <n v="19.504471909999999"/>
    <n v="0.25800000000000001"/>
    <n v="5.0321537527800002"/>
  </r>
  <r>
    <d v="2018-12-05T00:00:00"/>
    <s v="Dairy Products"/>
    <n v="2"/>
    <n v="1"/>
    <n v="21.5"/>
    <s v="MILK SOY CHOC BAG"/>
    <x v="118"/>
    <x v="1"/>
    <n v="43"/>
    <n v="19.504471909999999"/>
    <n v="0.25800000000000001"/>
    <n v="5.0321537527800002"/>
  </r>
  <r>
    <d v="2018-08-31T00:00:00"/>
    <s v="Royal "/>
    <n v="1"/>
    <n v="1"/>
    <n v="40"/>
    <s v="edamame beans"/>
    <x v="119"/>
    <x v="1"/>
    <n v="40"/>
    <n v="18.143694800000002"/>
    <n v="1.1539999999999999"/>
    <n v="20.9378237992"/>
  </r>
  <r>
    <d v="2018-09-04T00:00:00"/>
    <s v="Royal "/>
    <n v="1"/>
    <n v="1"/>
    <n v="20"/>
    <s v="20lb edamame"/>
    <x v="119"/>
    <x v="1"/>
    <n v="20"/>
    <n v="9.0718474000000011"/>
    <n v="1.1539999999999999"/>
    <n v="10.4689118996"/>
  </r>
  <r>
    <d v="2018-12-03T00:00:00"/>
    <s v="Canned and dry goods"/>
    <n v="3"/>
    <n v="6"/>
    <n v="0.875"/>
    <s v="SPICE CUMIN GRND"/>
    <x v="120"/>
    <x v="1"/>
    <n v="15.75"/>
    <n v="7.1440798275000006"/>
    <n v="0.87"/>
    <n v="6.2153494499250002"/>
  </r>
  <r>
    <d v="2018-12-03T00:00:00"/>
    <s v="Canned and dry goods"/>
    <n v="3"/>
    <n v="6"/>
    <n v="1"/>
    <s v="SPICE PAPRIKA XFCY"/>
    <x v="120"/>
    <x v="1"/>
    <n v="18"/>
    <n v="8.1646626599999994"/>
    <n v="0.87"/>
    <n v="7.103256514199999"/>
  </r>
  <r>
    <d v="2018-12-05T00:00:00"/>
    <s v="Canned and dry goods"/>
    <n v="3"/>
    <n v="6"/>
    <n v="1.125"/>
    <s v="SPICE CHILI POWDER LT"/>
    <x v="120"/>
    <x v="1"/>
    <n v="20.25"/>
    <n v="9.1852454925"/>
    <n v="0.87"/>
    <n v="7.9911635784749997"/>
  </r>
  <r>
    <d v="2018-12-05T00:00:00"/>
    <s v="Canned and dry goods"/>
    <n v="3"/>
    <n v="6"/>
    <n v="0.875"/>
    <s v="SPICE CUMIN GRND"/>
    <x v="120"/>
    <x v="1"/>
    <n v="15.75"/>
    <n v="7.1440798275000006"/>
    <n v="0.87"/>
    <n v="6.2153494499250002"/>
  </r>
  <r>
    <d v="2018-12-05T00:00:00"/>
    <s v="Canned and dry goods"/>
    <n v="1"/>
    <n v="3"/>
    <n v="7.25"/>
    <s v="SPICE GARLIC GRANULATED"/>
    <x v="120"/>
    <x v="1"/>
    <n v="21.75"/>
    <n v="9.8656340475000004"/>
    <n v="0.87"/>
    <n v="8.5831016213249995"/>
  </r>
  <r>
    <d v="2018-12-05T00:00:00"/>
    <s v="Canned and dry goods"/>
    <n v="3"/>
    <n v="6"/>
    <n v="1.25"/>
    <s v="SPICE ONION POWDER"/>
    <x v="120"/>
    <x v="1"/>
    <n v="22.5"/>
    <n v="10.205828325000001"/>
    <n v="0.87"/>
    <n v="8.8790706427500012"/>
  </r>
  <r>
    <d v="2018-11-30T00:00:00"/>
    <s v="Canned and dry goods"/>
    <n v="2"/>
    <n v="6"/>
    <n v="1.125"/>
    <s v="SEASONING CAJUN"/>
    <x v="121"/>
    <x v="1"/>
    <n v="13.5"/>
    <n v="6.1234969950000009"/>
    <n v="0.87"/>
    <n v="5.3274423856500004"/>
  </r>
  <r>
    <d v="2018-11-30T00:00:00"/>
    <s v="Canned and dry goods"/>
    <n v="1"/>
    <n v="6"/>
    <n v="1"/>
    <s v="SPICE CURRY POWDER"/>
    <x v="121"/>
    <x v="1"/>
    <n v="6"/>
    <n v="2.7215542200000002"/>
    <n v="0.87"/>
    <n v="2.3677521714000003"/>
  </r>
  <r>
    <d v="2018-11-30T00:00:00"/>
    <s v="Canned and dry goods"/>
    <n v="1"/>
    <n v="3"/>
    <n v="7.25"/>
    <s v="SPICE GARLIC GRANULATED"/>
    <x v="121"/>
    <x v="1"/>
    <n v="21.75"/>
    <n v="9.8656340475000004"/>
    <n v="0.87"/>
    <n v="8.5831016213249995"/>
  </r>
  <r>
    <d v="2018-11-30T00:00:00"/>
    <s v="Canned and dry goods"/>
    <n v="1"/>
    <n v="12"/>
    <n v="3"/>
    <s v="SALT KOSHER FLAKE COARSE"/>
    <x v="121"/>
    <x v="1"/>
    <n v="36"/>
    <n v="16.329325319999999"/>
    <n v="0.87"/>
    <n v="14.206513028399998"/>
  </r>
  <r>
    <d v="2018-11-30T00:00:00"/>
    <s v="Canned and dry goods"/>
    <n v="2"/>
    <n v="6"/>
    <n v="1.5"/>
    <s v="SEASONING OLD BAY"/>
    <x v="121"/>
    <x v="1"/>
    <n v="18"/>
    <n v="8.1646626599999994"/>
    <n v="0.87"/>
    <n v="7.103256514199999"/>
  </r>
  <r>
    <d v="2018-11-30T00:00:00"/>
    <s v="Canned and dry goods"/>
    <n v="1"/>
    <n v="6"/>
    <n v="0.390625"/>
    <s v="SEASONING ITALIAN WHL"/>
    <x v="121"/>
    <x v="1"/>
    <n v="2.34375"/>
    <n v="1.0631071171875002"/>
    <n v="0.87"/>
    <n v="0.92490319195312509"/>
  </r>
  <r>
    <d v="2018-12-03T00:00:00"/>
    <s v="Canned and dry goods"/>
    <n v="2"/>
    <n v="6"/>
    <n v="1.125"/>
    <s v="SEASONING CARIBBEAN JERK"/>
    <x v="121"/>
    <x v="1"/>
    <n v="13.5"/>
    <n v="6.1234969950000009"/>
    <n v="0.87"/>
    <n v="5.3274423856500004"/>
  </r>
  <r>
    <d v="2018-12-03T00:00:00"/>
    <s v="Canned and dry goods"/>
    <n v="1"/>
    <n v="12"/>
    <n v="3"/>
    <s v="SALT KOSHER FLAKE COARSE"/>
    <x v="121"/>
    <x v="1"/>
    <n v="36"/>
    <n v="16.329325319999999"/>
    <n v="0.87"/>
    <n v="14.206513028399998"/>
  </r>
  <r>
    <d v="2018-12-05T00:00:00"/>
    <s v="Canned and dry goods"/>
    <n v="2"/>
    <n v="12"/>
    <n v="3"/>
    <s v="SALT KOSHER FLAKE COARSE"/>
    <x v="121"/>
    <x v="1"/>
    <n v="72"/>
    <n v="32.658650639999998"/>
    <n v="0.87"/>
    <n v="28.413026056799996"/>
  </r>
  <r>
    <d v="2018-08-31T00:00:00"/>
    <s v="Royal "/>
    <n v="1"/>
    <n v="1"/>
    <n v="24"/>
    <s v="spinach washed"/>
    <x v="122"/>
    <x v="1"/>
    <n v="24"/>
    <n v="10.886216880000001"/>
    <n v="0.307"/>
    <n v="3.3420685821600005"/>
  </r>
  <r>
    <d v="2018-09-01T00:00:00"/>
    <s v="Royal "/>
    <n v="5"/>
    <n v="1"/>
    <n v="10"/>
    <s v="4lb spinach"/>
    <x v="122"/>
    <x v="1"/>
    <n v="50"/>
    <n v="22.6796185"/>
    <n v="0.307"/>
    <n v="6.9626428794999997"/>
  </r>
  <r>
    <d v="2018-09-03T00:00:00"/>
    <s v="Royal "/>
    <n v="1"/>
    <n v="1"/>
    <n v="10"/>
    <s v="4lb spinach"/>
    <x v="122"/>
    <x v="1"/>
    <n v="10"/>
    <n v="4.5359237000000006"/>
    <n v="0.307"/>
    <n v="1.3925285759000001"/>
  </r>
  <r>
    <d v="2018-09-04T00:00:00"/>
    <s v="Royal "/>
    <n v="3"/>
    <n v="1"/>
    <n v="10"/>
    <s v="4lb spinach"/>
    <x v="122"/>
    <x v="1"/>
    <n v="30"/>
    <n v="13.607771100000001"/>
    <n v="0.307"/>
    <n v="4.1775857277000004"/>
  </r>
  <r>
    <d v="2018-09-04T00:00:00"/>
    <s v="Royal "/>
    <n v="3"/>
    <n v="1"/>
    <n v="10"/>
    <s v="4lb spinach"/>
    <x v="122"/>
    <x v="1"/>
    <n v="30"/>
    <n v="13.607771100000001"/>
    <n v="0.307"/>
    <n v="4.1775857277000004"/>
  </r>
  <r>
    <d v="2018-09-05T00:00:00"/>
    <s v="Royal "/>
    <n v="1"/>
    <n v="1"/>
    <n v="10"/>
    <s v="spinach washed"/>
    <x v="122"/>
    <x v="1"/>
    <n v="10"/>
    <n v="4.5359237000000006"/>
    <n v="0.307"/>
    <n v="1.3925285759000001"/>
  </r>
  <r>
    <d v="2018-09-06T00:00:00"/>
    <s v="Royal "/>
    <n v="4"/>
    <n v="1"/>
    <n v="10"/>
    <s v="spinach washed"/>
    <x v="122"/>
    <x v="1"/>
    <n v="40"/>
    <n v="18.143694800000002"/>
    <n v="0.307"/>
    <n v="5.5701143036000005"/>
  </r>
  <r>
    <d v="2018-08-31T00:00:00"/>
    <s v="Royal "/>
    <n v="1"/>
    <n v="1"/>
    <n v="80"/>
    <s v="yellow squash"/>
    <x v="123"/>
    <x v="1"/>
    <n v="80"/>
    <n v="36.287389600000004"/>
    <n v="1.2290000000000001"/>
    <n v="44.597201818400009"/>
  </r>
  <r>
    <d v="2018-08-31T00:00:00"/>
    <s v="Royal "/>
    <n v="1"/>
    <n v="1"/>
    <n v="80"/>
    <s v="zucchini squash"/>
    <x v="123"/>
    <x v="1"/>
    <n v="80"/>
    <n v="36.287389600000004"/>
    <n v="1.2290000000000001"/>
    <n v="44.597201818400009"/>
  </r>
  <r>
    <d v="2018-09-03T00:00:00"/>
    <s v="Royal "/>
    <n v="2"/>
    <n v="1"/>
    <n v="20"/>
    <s v=" yellow squash"/>
    <x v="123"/>
    <x v="1"/>
    <n v="40"/>
    <n v="18.143694800000002"/>
    <n v="1.2290000000000001"/>
    <n v="22.298600909200005"/>
  </r>
  <r>
    <d v="2018-09-03T00:00:00"/>
    <s v="Royal "/>
    <n v="2"/>
    <n v="1"/>
    <n v="20"/>
    <s v=" zucchini squash"/>
    <x v="123"/>
    <x v="1"/>
    <n v="40"/>
    <n v="18.143694800000002"/>
    <n v="1.2290000000000001"/>
    <n v="22.298600909200005"/>
  </r>
  <r>
    <d v="2018-09-04T00:00:00"/>
    <s v="Royal "/>
    <n v="2"/>
    <n v="1"/>
    <n v="33"/>
    <s v="3/4 bushel yellow squash"/>
    <x v="123"/>
    <x v="1"/>
    <n v="66"/>
    <n v="29.937096420000003"/>
    <n v="1.2290000000000001"/>
    <n v="36.792691500180005"/>
  </r>
  <r>
    <d v="2018-09-04T00:00:00"/>
    <s v="Royal "/>
    <n v="2"/>
    <n v="1"/>
    <n v="22"/>
    <s v="1/2 bushel zucchini squash"/>
    <x v="123"/>
    <x v="1"/>
    <n v="44"/>
    <n v="19.958064280000002"/>
    <n v="1.2290000000000001"/>
    <n v="24.528461000120004"/>
  </r>
  <r>
    <d v="2018-09-04T00:00:00"/>
    <s v="Royal "/>
    <n v="3"/>
    <n v="1"/>
    <n v="33"/>
    <s v="3/4 bushel yellow squash"/>
    <x v="123"/>
    <x v="1"/>
    <n v="99"/>
    <n v="44.905644630000005"/>
    <n v="1.2290000000000001"/>
    <n v="55.189037250270012"/>
  </r>
  <r>
    <d v="2018-09-04T00:00:00"/>
    <s v="Royal "/>
    <n v="3"/>
    <n v="1"/>
    <n v="22"/>
    <s v="1/2 bushel zucchini squash"/>
    <x v="123"/>
    <x v="1"/>
    <n v="66"/>
    <n v="29.937096420000003"/>
    <n v="1.2290000000000001"/>
    <n v="36.792691500180005"/>
  </r>
  <r>
    <d v="2018-09-05T00:00:00"/>
    <s v="Royal "/>
    <n v="1"/>
    <n v="1"/>
    <n v="20"/>
    <s v="yellow squash"/>
    <x v="123"/>
    <x v="1"/>
    <n v="20"/>
    <n v="9.0718474000000011"/>
    <n v="1.2290000000000001"/>
    <n v="11.149300454600002"/>
  </r>
  <r>
    <d v="2018-09-06T00:00:00"/>
    <s v="Royal "/>
    <n v="5"/>
    <n v="1"/>
    <n v="20"/>
    <s v="yellow squash"/>
    <x v="123"/>
    <x v="1"/>
    <n v="100"/>
    <n v="45.359237"/>
    <n v="1.2290000000000001"/>
    <n v="55.746502273000004"/>
  </r>
  <r>
    <d v="2018-09-06T00:00:00"/>
    <s v="Royal "/>
    <n v="4"/>
    <n v="1"/>
    <n v="20"/>
    <s v="zucchini squash"/>
    <x v="123"/>
    <x v="1"/>
    <n v="80"/>
    <n v="36.287389600000004"/>
    <n v="1.2290000000000001"/>
    <n v="44.597201818400009"/>
  </r>
  <r>
    <d v="2018-08-31T00:00:00"/>
    <s v="Royal "/>
    <n v="1"/>
    <n v="1"/>
    <n v="48"/>
    <s v="strawberry clamshell"/>
    <x v="124"/>
    <x v="1"/>
    <n v="48"/>
    <n v="21.772433760000002"/>
    <n v="0.61399999999999999"/>
    <n v="13.368274328640002"/>
  </r>
  <r>
    <d v="2018-09-01T00:00:00"/>
    <s v="Royal "/>
    <n v="5"/>
    <n v="1"/>
    <n v="8"/>
    <s v="8lb strawberry clamshell"/>
    <x v="124"/>
    <x v="1"/>
    <n v="40"/>
    <n v="18.143694800000002"/>
    <n v="0.61399999999999999"/>
    <n v="11.140228607200001"/>
  </r>
  <r>
    <d v="2018-09-03T00:00:00"/>
    <s v="Royal "/>
    <n v="4"/>
    <n v="1"/>
    <n v="10"/>
    <s v="5 strawberry"/>
    <x v="124"/>
    <x v="1"/>
    <n v="40"/>
    <n v="18.143694800000002"/>
    <n v="0.61399999999999999"/>
    <n v="11.140228607200001"/>
  </r>
  <r>
    <d v="2018-09-03T00:00:00"/>
    <s v="Royal "/>
    <n v="10"/>
    <n v="1"/>
    <n v="8"/>
    <s v="8lb strawberry clamshell"/>
    <x v="124"/>
    <x v="1"/>
    <n v="80"/>
    <n v="36.287389600000004"/>
    <n v="0.61399999999999999"/>
    <n v="22.280457214400002"/>
  </r>
  <r>
    <d v="2018-09-04T00:00:00"/>
    <s v="Royal "/>
    <n v="10"/>
    <n v="1"/>
    <n v="8"/>
    <s v="8lb strawberry clamshell"/>
    <x v="124"/>
    <x v="1"/>
    <n v="80"/>
    <n v="36.287389600000004"/>
    <n v="0.61399999999999999"/>
    <n v="22.280457214400002"/>
  </r>
  <r>
    <d v="2018-09-05T00:00:00"/>
    <s v="Royal "/>
    <n v="4"/>
    <n v="1"/>
    <n v="8"/>
    <s v="strawberry clamshell"/>
    <x v="124"/>
    <x v="1"/>
    <n v="32"/>
    <n v="14.514955840000001"/>
    <n v="0.61399999999999999"/>
    <n v="8.9121828857600001"/>
  </r>
  <r>
    <d v="2018-11-30T00:00:00"/>
    <s v="Canned and dry goods"/>
    <n v="1"/>
    <n v="1"/>
    <n v="50"/>
    <s v="SUGAR BROWN LIGHT CANE"/>
    <x v="125"/>
    <x v="1"/>
    <n v="50"/>
    <n v="22.6796185"/>
    <n v="0.7"/>
    <n v="15.87573295"/>
  </r>
  <r>
    <d v="2018-11-30T00:00:00"/>
    <s v="Canned and dry goods"/>
    <n v="2"/>
    <n v="1"/>
    <n v="25"/>
    <s v="SUGAR GRANULATED XFINE CANE"/>
    <x v="125"/>
    <x v="1"/>
    <n v="50"/>
    <n v="22.6796185"/>
    <n v="0.7"/>
    <n v="15.87573295"/>
  </r>
  <r>
    <d v="2018-12-03T00:00:00"/>
    <s v="Canned and dry goods"/>
    <n v="1"/>
    <n v="1"/>
    <n v="50"/>
    <s v="SUGAR GRANULATED XFN"/>
    <x v="125"/>
    <x v="1"/>
    <n v="50"/>
    <n v="22.6796185"/>
    <n v="0.7"/>
    <n v="15.87573295"/>
  </r>
  <r>
    <d v="2018-12-05T00:00:00"/>
    <s v="Canned and dry goods"/>
    <n v="1"/>
    <n v="1"/>
    <n v="50"/>
    <s v="SUGAR GRANULATED XFN"/>
    <x v="125"/>
    <x v="1"/>
    <n v="50"/>
    <n v="22.6796185"/>
    <n v="0.7"/>
    <n v="15.87573295"/>
  </r>
  <r>
    <d v="2018-12-03T00:00:00"/>
    <s v="Frozen"/>
    <n v="4"/>
    <n v="5"/>
    <n v="3"/>
    <s v="POTATO SWEET THIN REG CUT 5/16"/>
    <x v="126"/>
    <x v="1"/>
    <n v="60"/>
    <n v="27.215542200000002"/>
    <n v="0.30199999999999999"/>
    <n v="8.2190937444000003"/>
  </r>
  <r>
    <d v="2018-09-04T00:00:00"/>
    <s v="Common Market"/>
    <n v="1"/>
    <n v="1"/>
    <n v="120"/>
    <s v="sweet potatoes"/>
    <x v="127"/>
    <x v="1"/>
    <n v="120"/>
    <n v="54.431084400000003"/>
    <n v="0.30199999999999999"/>
    <n v="16.438187488800001"/>
  </r>
  <r>
    <d v="2018-08-31T00:00:00"/>
    <s v="Common Market"/>
    <n v="1"/>
    <n v="1"/>
    <n v="120"/>
    <s v="sweet potatoes"/>
    <x v="127"/>
    <x v="1"/>
    <n v="120"/>
    <n v="54.431084400000003"/>
    <n v="0.30199999999999999"/>
    <n v="16.438187488800001"/>
  </r>
  <r>
    <d v="2018-09-04T00:00:00"/>
    <s v="Common Market"/>
    <n v="1"/>
    <n v="1"/>
    <n v="120"/>
    <s v="sweet potatoes"/>
    <x v="127"/>
    <x v="1"/>
    <n v="120"/>
    <n v="54.431084400000003"/>
    <n v="0.30199999999999999"/>
    <n v="16.438187488800001"/>
  </r>
  <r>
    <d v="2018-09-04T00:00:00"/>
    <s v="Royal "/>
    <n v="4"/>
    <n v="1"/>
    <n v="40"/>
    <s v="40lb sweet potato"/>
    <x v="127"/>
    <x v="1"/>
    <n v="160"/>
    <n v="72.574779200000009"/>
    <n v="0.30199999999999999"/>
    <n v="21.917583318400002"/>
  </r>
  <r>
    <d v="2018-09-03T00:00:00"/>
    <s v="Royal "/>
    <n v="4"/>
    <n v="1"/>
    <n v="12"/>
    <s v="12 ct shiss chard"/>
    <x v="128"/>
    <x v="1"/>
    <n v="48"/>
    <n v="21.772433760000002"/>
    <n v="0.19600000000000001"/>
    <n v="4.2673970169600004"/>
  </r>
  <r>
    <d v="2018-12-03T00:00:00"/>
    <s v="Canned and dry goods"/>
    <n v="2"/>
    <n v="4"/>
    <n v="11.01"/>
    <s v="SYRUP PANCAKE &amp;  WAFFLE"/>
    <x v="129"/>
    <x v="1"/>
    <n v="88.08"/>
    <n v="39.952415949600002"/>
    <n v="6.7539999999999996"/>
    <n v="269.83861732359838"/>
  </r>
  <r>
    <d v="2018-11-30T00:00:00"/>
    <s v="Canned and dry goods"/>
    <n v="1"/>
    <n v="4"/>
    <n v="11.01"/>
    <s v="SYRUP PANCAKE &amp;  WAFFLE"/>
    <x v="130"/>
    <x v="1"/>
    <n v="44.04"/>
    <n v="19.976207974800001"/>
    <n v="6.7539999999999996"/>
    <n v="134.91930866179919"/>
  </r>
  <r>
    <d v="2018-08-31T00:00:00"/>
    <s v="Royal "/>
    <n v="1"/>
    <n v="1"/>
    <n v="250.5"/>
    <s v="tofu firm"/>
    <x v="131"/>
    <x v="1"/>
    <n v="250.5"/>
    <n v="113.624888685"/>
    <n v="1.6639999999999999"/>
    <n v="189.07181477184"/>
  </r>
  <r>
    <d v="2018-09-03T00:00:00"/>
    <s v="Royal "/>
    <n v="4"/>
    <n v="1"/>
    <n v="4.172698091"/>
    <s v="5gl tofu"/>
    <x v="131"/>
    <x v="1"/>
    <n v="16.690792364"/>
    <n v="7.5708160655646637"/>
    <n v="1.6639999999999999"/>
    <n v="12.5978379330996"/>
  </r>
  <r>
    <d v="2018-09-04T00:00:00"/>
    <s v="Royal "/>
    <n v="2"/>
    <n v="1"/>
    <n v="4.172698091"/>
    <s v="5gl tofu"/>
    <x v="131"/>
    <x v="1"/>
    <n v="8.345396182"/>
    <n v="3.7854080327823318"/>
    <n v="1.6639999999999999"/>
    <n v="6.2989189665497998"/>
  </r>
  <r>
    <d v="2018-09-04T00:00:00"/>
    <s v="Royal "/>
    <n v="6"/>
    <n v="1"/>
    <n v="4.172698091"/>
    <s v="5gl tofu"/>
    <x v="131"/>
    <x v="1"/>
    <n v="25.036188545999998"/>
    <n v="11.356224098346994"/>
    <n v="1.6639999999999999"/>
    <n v="18.896756899649397"/>
  </r>
  <r>
    <d v="2018-09-01T00:00:00"/>
    <s v="Royal "/>
    <n v="4"/>
    <n v="1"/>
    <n v="10"/>
    <s v="5 diced tomato"/>
    <x v="132"/>
    <x v="1"/>
    <n v="40"/>
    <n v="18.143694800000002"/>
    <n v="0.47"/>
    <n v="8.5275365560000012"/>
  </r>
  <r>
    <d v="2018-08-31T00:00:00"/>
    <s v="Royal "/>
    <n v="1"/>
    <n v="1"/>
    <n v="20"/>
    <s v="tomato diced"/>
    <x v="132"/>
    <x v="1"/>
    <n v="20"/>
    <n v="9.0718474000000011"/>
    <n v="0.47"/>
    <n v="4.2637682780000006"/>
  </r>
  <r>
    <d v="2018-08-31T00:00:00"/>
    <s v="Royal "/>
    <n v="1"/>
    <n v="1"/>
    <n v="46"/>
    <s v="tomato "/>
    <x v="132"/>
    <x v="1"/>
    <n v="46"/>
    <n v="20.86524902"/>
    <n v="0.47"/>
    <n v="9.8066670393999988"/>
  </r>
  <r>
    <d v="2018-08-31T00:00:00"/>
    <s v="Royal "/>
    <n v="1"/>
    <n v="1"/>
    <n v="72"/>
    <s v="tomato grape red"/>
    <x v="132"/>
    <x v="1"/>
    <n v="72"/>
    <n v="32.658650639999998"/>
    <n v="0.47"/>
    <n v="15.349565800799999"/>
  </r>
  <r>
    <d v="2018-09-01T00:00:00"/>
    <s v="Royal "/>
    <n v="10"/>
    <n v="1"/>
    <n v="10"/>
    <s v="10lb red tomato"/>
    <x v="132"/>
    <x v="1"/>
    <n v="100"/>
    <n v="45.359237"/>
    <n v="0.47"/>
    <n v="21.318841389999999"/>
  </r>
  <r>
    <d v="2018-09-03T00:00:00"/>
    <s v="Royal "/>
    <n v="1"/>
    <n v="1"/>
    <n v="23"/>
    <s v="23lb tomato"/>
    <x v="132"/>
    <x v="1"/>
    <n v="23"/>
    <n v="10.43262451"/>
    <n v="0.47"/>
    <n v="4.9033335196999994"/>
  </r>
  <r>
    <d v="2018-09-03T00:00:00"/>
    <s v="Royal "/>
    <n v="6"/>
    <n v="1"/>
    <n v="10"/>
    <s v="10lb tomato grape red"/>
    <x v="132"/>
    <x v="1"/>
    <n v="60"/>
    <n v="27.215542200000002"/>
    <n v="0.47"/>
    <n v="12.791304834"/>
  </r>
  <r>
    <d v="2018-09-04T00:00:00"/>
    <s v="Royal "/>
    <n v="6"/>
    <n v="1"/>
    <n v="10"/>
    <s v="10lb tomato"/>
    <x v="132"/>
    <x v="1"/>
    <n v="60"/>
    <n v="27.215542200000002"/>
    <n v="0.47"/>
    <n v="12.791304834"/>
  </r>
  <r>
    <d v="2018-09-04T00:00:00"/>
    <s v="Royal "/>
    <n v="2"/>
    <n v="1"/>
    <n v="25"/>
    <s v="25 tomato"/>
    <x v="132"/>
    <x v="1"/>
    <n v="50"/>
    <n v="22.6796185"/>
    <n v="0.47"/>
    <n v="10.659420695"/>
  </r>
  <r>
    <d v="2018-09-04T00:00:00"/>
    <s v="Royal "/>
    <n v="2"/>
    <n v="1"/>
    <n v="10"/>
    <s v="5 tomato"/>
    <x v="132"/>
    <x v="1"/>
    <n v="20"/>
    <n v="9.0718474000000011"/>
    <n v="0.47"/>
    <n v="4.2637682780000006"/>
  </r>
  <r>
    <d v="2018-09-04T00:00:00"/>
    <s v="Royal "/>
    <n v="1"/>
    <n v="1"/>
    <n v="23"/>
    <s v="23lb tomato"/>
    <x v="132"/>
    <x v="1"/>
    <n v="23"/>
    <n v="10.43262451"/>
    <n v="0.47"/>
    <n v="4.9033335196999994"/>
  </r>
  <r>
    <d v="2018-09-04T00:00:00"/>
    <s v="Royal "/>
    <n v="8"/>
    <n v="1"/>
    <n v="10"/>
    <s v="10lb tomato"/>
    <x v="132"/>
    <x v="1"/>
    <n v="80"/>
    <n v="36.287389600000004"/>
    <n v="0.47"/>
    <n v="17.055073112000002"/>
  </r>
  <r>
    <d v="2018-09-05T00:00:00"/>
    <s v="Royal "/>
    <n v="4"/>
    <n v="1"/>
    <n v="10"/>
    <s v="tomato grape red"/>
    <x v="132"/>
    <x v="1"/>
    <n v="40"/>
    <n v="18.143694800000002"/>
    <n v="0.47"/>
    <n v="8.5275365560000012"/>
  </r>
  <r>
    <d v="2018-09-06T00:00:00"/>
    <s v="Royal "/>
    <n v="6"/>
    <n v="1"/>
    <n v="10"/>
    <s v="tomato grape red"/>
    <x v="132"/>
    <x v="1"/>
    <n v="60"/>
    <n v="27.215542200000002"/>
    <n v="0.47"/>
    <n v="12.791304834"/>
  </r>
  <r>
    <d v="2018-11-30T00:00:00"/>
    <s v="Canned and dry goods"/>
    <n v="4"/>
    <n v="6"/>
    <n v="10"/>
    <s v="TOMATO DICED IN JCE NO SALT CA"/>
    <x v="132"/>
    <x v="1"/>
    <n v="240"/>
    <n v="108.86216880000001"/>
    <n v="0.47"/>
    <n v="51.165219336"/>
  </r>
  <r>
    <d v="2018-11-30T00:00:00"/>
    <s v="Canned and dry goods"/>
    <n v="4"/>
    <n v="6"/>
    <n v="10"/>
    <s v="TOMATO CRUSHED ALL PURP FCY CA"/>
    <x v="132"/>
    <x v="1"/>
    <n v="240"/>
    <n v="108.86216880000001"/>
    <n v="0.47"/>
    <n v="51.165219336"/>
  </r>
  <r>
    <d v="2018-11-30T00:00:00"/>
    <s v="Canned and dry goods"/>
    <n v="8"/>
    <n v="6"/>
    <n v="10"/>
    <s v="TOMATO GRND PLD IN PUREE"/>
    <x v="132"/>
    <x v="1"/>
    <n v="480"/>
    <n v="217.72433760000001"/>
    <n v="0.47"/>
    <n v="102.330438672"/>
  </r>
  <r>
    <d v="2018-12-03T00:00:00"/>
    <s v="Canned and dry goods"/>
    <n v="2"/>
    <n v="6"/>
    <n v="10"/>
    <s v="TOMATO CRUSHED ALL PURP FCY CA"/>
    <x v="132"/>
    <x v="1"/>
    <n v="120"/>
    <n v="54.431084400000003"/>
    <n v="0.47"/>
    <n v="25.582609668"/>
  </r>
  <r>
    <d v="2018-12-05T00:00:00"/>
    <s v="Canned and dry goods"/>
    <n v="6"/>
    <n v="6"/>
    <n v="10"/>
    <s v="TOMATO CRUSHED ALL PURP FCY CA"/>
    <x v="132"/>
    <x v="1"/>
    <n v="360"/>
    <n v="163.29325320000001"/>
    <n v="0.47"/>
    <n v="76.747829003999996"/>
  </r>
  <r>
    <d v="2018-12-05T00:00:00"/>
    <s v="Canned and dry goods"/>
    <n v="1"/>
    <n v="6"/>
    <n v="10"/>
    <s v="TOMATO GRND PLD IN PUREE"/>
    <x v="132"/>
    <x v="1"/>
    <n v="60"/>
    <n v="27.215542200000002"/>
    <n v="0.47"/>
    <n v="12.791304834"/>
  </r>
  <r>
    <d v="2018-12-03T00:00:00"/>
    <s v="Canned and dry goods"/>
    <n v="1"/>
    <n v="6"/>
    <n v="10"/>
    <s v="TOMATO PASTE FANCY CA"/>
    <x v="133"/>
    <x v="1"/>
    <n v="60"/>
    <n v="27.215542200000002"/>
    <n v="0.11799999999999999"/>
    <n v="3.2114339796000002"/>
  </r>
  <r>
    <d v="2018-11-30T00:00:00"/>
    <s v="Frozen"/>
    <n v="2"/>
    <n v="12"/>
    <n v="3.9683219999999997"/>
    <s v="TORTILLA CORN WHT 6 IN"/>
    <x v="134"/>
    <x v="1"/>
    <n v="95.239727999999985"/>
    <n v="43.200013941675351"/>
    <n v="1.28"/>
    <n v="55.296017845344451"/>
  </r>
  <r>
    <d v="2018-11-30T00:00:00"/>
    <s v="Frozen"/>
    <n v="2"/>
    <n v="6"/>
    <n v="0.79366439999999994"/>
    <s v="WRAP TORTILLA TOMATO BASIL 12"/>
    <x v="135"/>
    <x v="1"/>
    <n v="9.5239727999999992"/>
    <n v="4.3200013941675364"/>
    <n v="1.28"/>
    <n v="5.5296017845344467"/>
  </r>
  <r>
    <d v="2018-11-30T00:00:00"/>
    <s v="Frozen"/>
    <n v="2"/>
    <n v="6"/>
    <n v="0.79366439999999994"/>
    <s v="WRAP TORTILLA SPINACH HERB 12"/>
    <x v="135"/>
    <x v="1"/>
    <n v="9.5239727999999992"/>
    <n v="4.3200013941675364"/>
    <n v="1.28"/>
    <n v="5.5296017845344467"/>
  </r>
  <r>
    <d v="2018-12-03T00:00:00"/>
    <s v="Frozen"/>
    <n v="1"/>
    <n v="24"/>
    <n v="0.79366439999999994"/>
    <s v="TORTILLA FLOUR PRESSED 6 IN"/>
    <x v="135"/>
    <x v="1"/>
    <n v="19.047945599999998"/>
    <n v="8.6400027883350727"/>
    <n v="1.28"/>
    <n v="11.059203569068893"/>
  </r>
  <r>
    <d v="2018-12-03T00:00:00"/>
    <s v="Frozen"/>
    <n v="1"/>
    <n v="6"/>
    <n v="0.79366439999999994"/>
    <s v="WRAP TORTILLA SPINACH HERB 12"/>
    <x v="135"/>
    <x v="1"/>
    <n v="4.7619863999999996"/>
    <n v="2.1600006970837682"/>
    <n v="1.28"/>
    <n v="2.7648008922672234"/>
  </r>
  <r>
    <d v="2018-11-30T00:00:00"/>
    <s v="Canned and dry goods"/>
    <n v="1"/>
    <n v="6"/>
    <n v="4.15625"/>
    <s v="TUNA CHUNK SKIP JACK FAD FREE"/>
    <x v="136"/>
    <x v="0"/>
    <n v="24.9375"/>
    <n v="11.311459726875"/>
    <n v="2.1480000000000001"/>
    <n v="24.297015493327503"/>
  </r>
  <r>
    <d v="2018-12-03T00:00:00"/>
    <s v="Canned and dry goods"/>
    <n v="1"/>
    <n v="6"/>
    <n v="4.15625"/>
    <s v="TUNA CHUNK SKIP JACK FAD FREE"/>
    <x v="136"/>
    <x v="0"/>
    <n v="24.9375"/>
    <n v="11.311459726875"/>
    <n v="2.1480000000000001"/>
    <n v="24.297015493327503"/>
  </r>
  <r>
    <d v="2018-11-30T00:00:00"/>
    <s v="Poultry"/>
    <n v="1"/>
    <n v="1"/>
    <n v="72.5"/>
    <s v="TURKEY BRST SMKD SKLS PREM"/>
    <x v="137"/>
    <x v="0"/>
    <n v="72.5"/>
    <n v="32.885446825000002"/>
    <n v="2.5710000000000002"/>
    <n v="84.548483787075014"/>
  </r>
  <r>
    <d v="2018-12-03T00:00:00"/>
    <s v="Poultry"/>
    <n v="1"/>
    <n v="1"/>
    <n v="124.53"/>
    <s v="TURKEY BRST FRCH CUT RTC"/>
    <x v="137"/>
    <x v="0"/>
    <n v="124.53"/>
    <n v="56.485857836100003"/>
    <n v="2.5710000000000002"/>
    <n v="145.22514049661311"/>
  </r>
  <r>
    <d v="2018-12-03T00:00:00"/>
    <s v="Poultry"/>
    <n v="4"/>
    <n v="160"/>
    <n v="6.25E-2"/>
    <s v="TURKEY SAUSAGE LINK RAW"/>
    <x v="137"/>
    <x v="0"/>
    <n v="40"/>
    <n v="18.143694800000002"/>
    <n v="2.5710000000000002"/>
    <n v="46.647439330800012"/>
  </r>
  <r>
    <d v="2018-12-03T00:00:00"/>
    <s v="Poultry"/>
    <n v="4"/>
    <n v="2"/>
    <n v="6"/>
    <s v="BACON TURKEY LAYFLT"/>
    <x v="137"/>
    <x v="0"/>
    <n v="48"/>
    <n v="21.772433760000002"/>
    <n v="2.5710000000000002"/>
    <n v="55.976927196960006"/>
  </r>
  <r>
    <d v="2018-12-05T00:00:00"/>
    <s v="Poultry"/>
    <n v="3"/>
    <n v="160"/>
    <n v="6.25E-2"/>
    <s v="TURKEY SAUSAGE LINK RAW"/>
    <x v="137"/>
    <x v="0"/>
    <n v="30"/>
    <n v="13.607771100000001"/>
    <n v="2.5710000000000002"/>
    <n v="34.985579498100002"/>
  </r>
  <r>
    <d v="2018-11-30T00:00:00"/>
    <s v="Canned and dry goods"/>
    <n v="1"/>
    <n v="4"/>
    <n v="8.41"/>
    <s v="VINEGAR WINE RED PLS"/>
    <x v="138"/>
    <x v="1"/>
    <n v="33.64"/>
    <n v="15.258847326800002"/>
    <n v="0.34"/>
    <n v="5.1880080911120006"/>
  </r>
  <r>
    <d v="2018-12-03T00:00:00"/>
    <s v="Canned and dry goods"/>
    <n v="1"/>
    <n v="2"/>
    <n v="11.950000000000001"/>
    <s v="VINEGAR BALSAMIC ITALY"/>
    <x v="138"/>
    <x v="1"/>
    <n v="23.900000000000002"/>
    <n v="10.840857643000001"/>
    <n v="0.34"/>
    <n v="3.6858915986200009"/>
  </r>
  <r>
    <d v="2018-12-05T00:00:00"/>
    <s v="Canned and dry goods"/>
    <n v="1"/>
    <n v="4"/>
    <n v="8.41"/>
    <s v="VINEGAR RICE WINE SEAS 4.5%"/>
    <x v="138"/>
    <x v="1"/>
    <n v="33.64"/>
    <n v="15.258847326800002"/>
    <n v="0.34"/>
    <n v="5.1880080911120006"/>
  </r>
  <r>
    <d v="2018-12-03T00:00:00"/>
    <s v="Canned and dry goods"/>
    <n v="1"/>
    <n v="6"/>
    <n v="2"/>
    <s v="QUINOA GRAIN WHT"/>
    <x v="139"/>
    <x v="1"/>
    <n v="12"/>
    <n v="5.4431084400000005"/>
    <n v="0.34699999999999998"/>
    <n v="1.88875862868"/>
  </r>
  <r>
    <d v="2018-12-03T00:00:00"/>
    <s v="Canned and dry goods"/>
    <n v="1"/>
    <n v="4"/>
    <n v="8.41"/>
    <s v="WINE COOKING BURGUNDY"/>
    <x v="140"/>
    <x v="1"/>
    <n v="33.64"/>
    <n v="15.258847326800002"/>
    <n v="0.78"/>
    <n v="11.901900914904001"/>
  </r>
  <r>
    <d v="2018-12-03T00:00:00"/>
    <s v="Canned and dry goods"/>
    <n v="1"/>
    <n v="4"/>
    <n v="8.41"/>
    <s v="WINE COOKING SAUTERNE"/>
    <x v="140"/>
    <x v="1"/>
    <n v="33.64"/>
    <n v="15.258847326800002"/>
    <n v="0.78"/>
    <n v="11.901900914904001"/>
  </r>
  <r>
    <d v="2018-12-05T00:00:00"/>
    <s v="Canned and dry goods"/>
    <n v="1"/>
    <n v="8"/>
    <n v="0.79366439999999994"/>
    <s v="WRAP TORTILLA FLOUR 12"/>
    <x v="141"/>
    <x v="1"/>
    <n v="6.3493151999999995"/>
    <n v="2.8800009294450239"/>
    <n v="1.28"/>
    <n v="3.6864011896896307"/>
  </r>
  <r>
    <d v="2018-12-05T00:00:00"/>
    <s v="Frozen"/>
    <n v="1"/>
    <n v="6"/>
    <n v="0.79366439999999994"/>
    <s v="WRAP TORTILLA SPINACH HERB 12"/>
    <x v="141"/>
    <x v="1"/>
    <n v="4.7619863999999996"/>
    <n v="2.1600006970837682"/>
    <n v="1.28"/>
    <n v="2.7648008922672234"/>
  </r>
  <r>
    <d v="2018-11-30T00:00:00"/>
    <s v="Canned and dry goods"/>
    <n v="2"/>
    <n v="12"/>
    <n v="2"/>
    <s v="YEAST ACTIVE DRY"/>
    <x v="142"/>
    <x v="1"/>
    <n v="48"/>
    <n v="21.772433760000002"/>
    <m/>
    <n v="0"/>
  </r>
  <r>
    <d v="2018-11-30T00:00:00"/>
    <s v="Dairy Products"/>
    <n v="10"/>
    <n v="2"/>
    <n v="6"/>
    <s v="YOGURT PLAIN GREEK BAG OIKOS"/>
    <x v="143"/>
    <x v="2"/>
    <n v="120"/>
    <n v="54.431084400000003"/>
    <n v="1.33"/>
    <n v="72.393342252000011"/>
  </r>
  <r>
    <d v="2018-11-30T00:00:00"/>
    <s v="Dairy Products"/>
    <n v="10"/>
    <n v="2"/>
    <n v="6"/>
    <s v="YOGURT VANILLA GRK BAG OIKOS"/>
    <x v="143"/>
    <x v="2"/>
    <n v="120"/>
    <n v="54.431084400000003"/>
    <n v="1.33"/>
    <n v="72.393342252000011"/>
  </r>
  <r>
    <d v="2018-12-05T00:00:00"/>
    <s v="Dairy Products"/>
    <n v="2"/>
    <n v="2"/>
    <n v="6"/>
    <s v="YOGURT VANILLA GRK BAG OIKOS"/>
    <x v="143"/>
    <x v="2"/>
    <n v="24"/>
    <n v="10.886216880000001"/>
    <n v="1.33"/>
    <n v="14.478668450400002"/>
  </r>
  <r>
    <d v="2018-11-30T00:00:00"/>
    <s v="Meats"/>
    <n v="2"/>
    <n v="2"/>
    <n v="5"/>
    <s v="PEPPERONI SLI CHRPRF 15-17 CT"/>
    <x v="0"/>
    <x v="0"/>
    <n v="20"/>
    <n v="9.0718474000000011"/>
    <n v="19.202999999999999"/>
    <n v="174.20668562220001"/>
  </r>
  <r>
    <d v="2018-12-05T00:00:00"/>
    <s v="Meats"/>
    <n v="1"/>
    <n v="2"/>
    <n v="5"/>
    <s v="PEPPERONI SLI CHRPRF 15-17 CT"/>
    <x v="0"/>
    <x v="0"/>
    <n v="10"/>
    <n v="4.5359237000000006"/>
    <n v="19.202999999999999"/>
    <n v="87.103342811100006"/>
  </r>
  <r>
    <d v="2018-09-28T00:00:00"/>
    <s v="Common Market"/>
    <n v="1"/>
    <n v="1"/>
    <n v="100"/>
    <s v="gala apples"/>
    <x v="1"/>
    <x v="1"/>
    <n v="100"/>
    <n v="45.359237"/>
    <n v="0.22800000000000001"/>
    <n v="10.341906036000001"/>
  </r>
  <r>
    <d v="2018-09-28T00:00:00"/>
    <s v="Common Market"/>
    <n v="1"/>
    <n v="1"/>
    <n v="160"/>
    <s v="golden delicious apples"/>
    <x v="1"/>
    <x v="1"/>
    <n v="160"/>
    <n v="72.574779200000009"/>
    <n v="0.22800000000000001"/>
    <n v="16.547049657600002"/>
  </r>
  <r>
    <d v="2018-12-03T00:00:00"/>
    <s v="Canned and dry goods"/>
    <n v="1"/>
    <n v="6"/>
    <n v="10"/>
    <s v="PRESERVE APRICOT"/>
    <x v="3"/>
    <x v="1"/>
    <n v="60"/>
    <n v="27.215542200000002"/>
    <n v="3.25"/>
    <n v="88.450512150000009"/>
  </r>
  <r>
    <d v="2018-11-30T00:00:00"/>
    <s v="Canned and dry goods"/>
    <n v="2"/>
    <n v="6"/>
    <n v="6.6138700000000004"/>
    <s v="ARTICHOKE HEART QTR 100-140"/>
    <x v="4"/>
    <x v="1"/>
    <n v="79.366440000000011"/>
    <n v="36.000011618062807"/>
    <n v="0.84599999999999997"/>
    <n v="30.456009828881133"/>
  </r>
  <r>
    <d v="2018-10-01T00:00:00"/>
    <s v="Royal"/>
    <n v="1"/>
    <n v="1"/>
    <n v="3"/>
    <s v="baby arugula"/>
    <x v="5"/>
    <x v="1"/>
    <n v="3"/>
    <n v="1.3607771100000001"/>
    <n v="0.3"/>
    <n v="0.40823313300000003"/>
  </r>
  <r>
    <d v="2018-09-29T00:00:00"/>
    <s v="Royal"/>
    <n v="4"/>
    <n v="1"/>
    <n v="11"/>
    <s v="asparagus"/>
    <x v="6"/>
    <x v="1"/>
    <n v="44"/>
    <n v="19.958064280000002"/>
    <n v="2.1709999999999998"/>
    <n v="43.328957551880002"/>
  </r>
  <r>
    <d v="2018-09-29T00:00:00"/>
    <s v="Royal"/>
    <n v="8"/>
    <n v="1"/>
    <n v="11"/>
    <s v="asparagus"/>
    <x v="6"/>
    <x v="1"/>
    <n v="88"/>
    <n v="39.916128560000004"/>
    <n v="2.1709999999999998"/>
    <n v="86.657915103760004"/>
  </r>
  <r>
    <d v="2018-09-28T00:00:00"/>
    <s v="Royal"/>
    <n v="1"/>
    <n v="1"/>
    <n v="48"/>
    <s v="avocado"/>
    <x v="144"/>
    <x v="1"/>
    <n v="48"/>
    <n v="21.772433760000002"/>
    <n v="0.54700000000000004"/>
    <n v="11.909521266720002"/>
  </r>
  <r>
    <d v="2018-11-30T00:00:00"/>
    <s v="Frozen"/>
    <n v="4"/>
    <n v="4"/>
    <n v="6"/>
    <s v="BANANA PLANTAIN FRZN SWEET SLI"/>
    <x v="7"/>
    <x v="1"/>
    <n v="96"/>
    <n v="43.544867520000004"/>
    <n v="0.374"/>
    <n v="16.285780452480001"/>
  </r>
  <r>
    <d v="2018-12-03T00:00:00"/>
    <s v="Frozen"/>
    <n v="5"/>
    <n v="4"/>
    <n v="6"/>
    <s v="BANANA PLANTAIN SLI SWEET"/>
    <x v="7"/>
    <x v="1"/>
    <n v="120"/>
    <n v="54.431084400000003"/>
    <n v="0.374"/>
    <n v="20.3572255656"/>
  </r>
  <r>
    <d v="2018-09-29T00:00:00"/>
    <s v="Royal"/>
    <n v="15"/>
    <n v="1"/>
    <n v="40"/>
    <s v="bananas"/>
    <x v="8"/>
    <x v="1"/>
    <n v="600"/>
    <n v="272.15542200000004"/>
    <n v="0.374"/>
    <n v="101.78612782800002"/>
  </r>
  <r>
    <d v="2018-09-28T00:00:00"/>
    <s v="Royal"/>
    <n v="3"/>
    <n v="1"/>
    <n v="40"/>
    <s v="bananas"/>
    <x v="8"/>
    <x v="1"/>
    <n v="120"/>
    <n v="54.431084400000003"/>
    <n v="0.374"/>
    <n v="20.3572255656"/>
  </r>
  <r>
    <d v="2018-10-01T00:00:00"/>
    <s v="Royal"/>
    <n v="10"/>
    <n v="1"/>
    <n v="40"/>
    <s v="bananas"/>
    <x v="8"/>
    <x v="1"/>
    <n v="400"/>
    <n v="181.436948"/>
    <n v="0.374"/>
    <n v="67.857418551999999"/>
  </r>
  <r>
    <d v="2018-10-02T00:00:00"/>
    <s v="Royal"/>
    <n v="4"/>
    <n v="1"/>
    <n v="40"/>
    <s v="bananas"/>
    <x v="8"/>
    <x v="1"/>
    <n v="160"/>
    <n v="72.574779200000009"/>
    <n v="0.374"/>
    <n v="27.142967420800002"/>
  </r>
  <r>
    <d v="2018-10-03T00:00:00"/>
    <s v="Royal"/>
    <n v="10"/>
    <n v="1"/>
    <n v="40"/>
    <s v="bananas"/>
    <x v="8"/>
    <x v="1"/>
    <n v="400"/>
    <n v="181.436948"/>
    <n v="0.374"/>
    <n v="67.857418551999999"/>
  </r>
  <r>
    <d v="2018-10-04T00:00:00"/>
    <s v="Royal"/>
    <n v="5"/>
    <n v="1"/>
    <n v="40"/>
    <s v="Bananas #4 Color"/>
    <x v="8"/>
    <x v="1"/>
    <n v="200"/>
    <n v="90.718474000000001"/>
    <n v="0.374"/>
    <n v="33.928709275999999"/>
  </r>
  <r>
    <d v="2018-09-29T00:00:00"/>
    <s v="Royal"/>
    <n v="2"/>
    <n v="1"/>
    <n v="1"/>
    <s v="basil"/>
    <x v="9"/>
    <x v="1"/>
    <n v="2"/>
    <n v="0.90718474000000004"/>
    <n v="0.221"/>
    <n v="0.20048782754000002"/>
  </r>
  <r>
    <d v="2018-09-28T00:00:00"/>
    <s v="Royal"/>
    <n v="2"/>
    <n v="1"/>
    <n v="1"/>
    <s v="basil herbs"/>
    <x v="9"/>
    <x v="1"/>
    <n v="2"/>
    <n v="0.90718474000000004"/>
    <n v="0.221"/>
    <n v="0.20048782754000002"/>
  </r>
  <r>
    <d v="2018-10-01T00:00:00"/>
    <s v="Royal"/>
    <n v="2"/>
    <n v="1"/>
    <n v="1"/>
    <s v="basil herbs"/>
    <x v="9"/>
    <x v="1"/>
    <n v="2"/>
    <n v="0.90718474000000004"/>
    <n v="0.221"/>
    <n v="0.20048782754000002"/>
  </r>
  <r>
    <d v="2018-10-03T00:00:00"/>
    <s v="Royal"/>
    <n v="2"/>
    <n v="1"/>
    <n v="1"/>
    <s v="basil herbs"/>
    <x v="9"/>
    <x v="1"/>
    <n v="2"/>
    <n v="0.90718474000000004"/>
    <n v="0.221"/>
    <n v="0.20048782754000002"/>
  </r>
  <r>
    <d v="2018-11-30T00:00:00"/>
    <s v="Canned and dry goods"/>
    <n v="3"/>
    <n v="6"/>
    <n v="10"/>
    <s v="BEAN BLACK LOW SODIUM"/>
    <x v="10"/>
    <x v="1"/>
    <n v="180"/>
    <n v="81.646626600000005"/>
    <n v="0.308"/>
    <n v="25.1471609928"/>
  </r>
  <r>
    <d v="2018-12-05T00:00:00"/>
    <s v="Canned and dry goods"/>
    <n v="1"/>
    <n v="6"/>
    <n v="10"/>
    <s v="BEAN BLACK LOW SODIUM"/>
    <x v="10"/>
    <x v="1"/>
    <n v="60"/>
    <n v="27.215542200000002"/>
    <n v="0.308"/>
    <n v="8.3823869976000012"/>
  </r>
  <r>
    <d v="2018-11-30T00:00:00"/>
    <s v="Canned and dry goods"/>
    <n v="2"/>
    <n v="6"/>
    <n v="10"/>
    <s v="BEAN GREAT NRTHRN FCY"/>
    <x v="13"/>
    <x v="1"/>
    <n v="120"/>
    <n v="54.431084400000003"/>
    <n v="0.308"/>
    <n v="16.764773995200002"/>
  </r>
  <r>
    <d v="2018-11-30T00:00:00"/>
    <s v="Canned and dry goods"/>
    <n v="3"/>
    <n v="6"/>
    <n v="10"/>
    <s v="BEAN KIDNEY DK RED LOW SODIUM"/>
    <x v="14"/>
    <x v="1"/>
    <n v="180"/>
    <n v="81.646626600000005"/>
    <n v="0.308"/>
    <n v="25.1471609928"/>
  </r>
  <r>
    <d v="2018-12-05T00:00:00"/>
    <s v="Canned and dry goods"/>
    <n v="1"/>
    <n v="6"/>
    <n v="10"/>
    <s v="BEAN KIDNEY LIGHT RED"/>
    <x v="14"/>
    <x v="1"/>
    <n v="60"/>
    <n v="27.215542200000002"/>
    <n v="0.308"/>
    <n v="8.3823869976000012"/>
  </r>
  <r>
    <d v="2018-12-05T00:00:00"/>
    <s v="Canned and dry goods"/>
    <n v="1"/>
    <n v="1"/>
    <n v="20"/>
    <s v="BEAN PINTO DRIED MULTI-CLEAN"/>
    <x v="15"/>
    <x v="1"/>
    <n v="20"/>
    <n v="9.0718474000000011"/>
    <n v="0.308"/>
    <n v="2.7941289992000002"/>
  </r>
  <r>
    <d v="2018-09-28T00:00:00"/>
    <s v="Royal"/>
    <n v="6"/>
    <n v="1"/>
    <n v="10"/>
    <s v="green tip beans"/>
    <x v="145"/>
    <x v="1"/>
    <n v="60"/>
    <n v="27.215542200000002"/>
    <n v="0.66200000000000003"/>
    <n v="18.016688936400001"/>
  </r>
  <r>
    <d v="2018-10-01T00:00:00"/>
    <s v="Royal"/>
    <n v="10"/>
    <n v="1"/>
    <n v="10"/>
    <s v="green tip beans"/>
    <x v="145"/>
    <x v="1"/>
    <n v="100"/>
    <n v="45.359237"/>
    <n v="0.66200000000000003"/>
    <n v="30.027814894000002"/>
  </r>
  <r>
    <d v="2018-10-02T00:00:00"/>
    <s v="Royal"/>
    <n v="6"/>
    <n v="1"/>
    <n v="10"/>
    <s v="green tip beans"/>
    <x v="145"/>
    <x v="1"/>
    <n v="60"/>
    <n v="27.215542200000002"/>
    <n v="0.66200000000000003"/>
    <n v="18.016688936400001"/>
  </r>
  <r>
    <d v="2018-10-03T00:00:00"/>
    <s v="Royal"/>
    <n v="13"/>
    <n v="1"/>
    <n v="10"/>
    <s v="green beans"/>
    <x v="145"/>
    <x v="1"/>
    <n v="130"/>
    <n v="58.967008100000001"/>
    <n v="0.66200000000000003"/>
    <n v="39.036159362200003"/>
  </r>
  <r>
    <d v="2018-10-04T00:00:00"/>
    <s v="Royal"/>
    <n v="3"/>
    <n v="1"/>
    <n v="10"/>
    <s v="Beans Green "/>
    <x v="145"/>
    <x v="1"/>
    <n v="30"/>
    <n v="13.607771100000001"/>
    <n v="0.66200000000000003"/>
    <n v="9.0083444682000007"/>
  </r>
  <r>
    <d v="2018-10-03T00:00:00"/>
    <s v="White Oak Pastures"/>
    <n v="1"/>
    <n v="1"/>
    <n v="100"/>
    <s v="beef ground"/>
    <x v="17"/>
    <x v="0"/>
    <n v="100"/>
    <n v="45.359237"/>
    <n v="32.845999999999997"/>
    <n v="1489.8694985019999"/>
  </r>
  <r>
    <d v="2018-10-03T00:00:00"/>
    <s v="White Oak Pastures"/>
    <n v="1"/>
    <n v="1"/>
    <n v="96"/>
    <s v="beef patties"/>
    <x v="17"/>
    <x v="0"/>
    <n v="96"/>
    <n v="43.544867520000004"/>
    <n v="32.845999999999997"/>
    <n v="1430.2747185619201"/>
  </r>
  <r>
    <d v="2018-09-28T00:00:00"/>
    <s v="White Oak Pastures"/>
    <n v="1"/>
    <n v="1"/>
    <n v="120"/>
    <s v="beef patties"/>
    <x v="17"/>
    <x v="0"/>
    <n v="120"/>
    <n v="54.431084400000003"/>
    <n v="32.845999999999997"/>
    <n v="1787.8433982023998"/>
  </r>
  <r>
    <d v="2018-09-28T00:00:00"/>
    <s v="White Oak Pastures"/>
    <n v="1"/>
    <n v="1"/>
    <n v="30"/>
    <s v="ground beef"/>
    <x v="17"/>
    <x v="0"/>
    <n v="30"/>
    <n v="13.607771100000001"/>
    <n v="32.845999999999997"/>
    <n v="446.96084955059996"/>
  </r>
  <r>
    <d v="2018-09-28T00:00:00"/>
    <s v="Georgia Halal Meat"/>
    <n v="1"/>
    <n v="1"/>
    <n v="150.88"/>
    <s v="beef k"/>
    <x v="17"/>
    <x v="0"/>
    <n v="150.88"/>
    <n v="68.438016785600013"/>
    <n v="32.845999999999997"/>
    <n v="2247.915099339818"/>
  </r>
  <r>
    <d v="2018-09-28T00:00:00"/>
    <s v="White Oak Pastures"/>
    <n v="1"/>
    <n v="1"/>
    <n v="90"/>
    <s v="beef patties"/>
    <x v="17"/>
    <x v="0"/>
    <n v="90"/>
    <n v="40.823313300000002"/>
    <n v="32.845999999999997"/>
    <n v="1340.8825486517999"/>
  </r>
  <r>
    <d v="2018-09-28T00:00:00"/>
    <s v="Inland Seafood"/>
    <n v="1"/>
    <n v="1"/>
    <n v="50"/>
    <s v="veal knuckle"/>
    <x v="17"/>
    <x v="0"/>
    <n v="50"/>
    <n v="22.6796185"/>
    <n v="32.845999999999997"/>
    <n v="744.93474925099997"/>
  </r>
  <r>
    <d v="2018-11-30T00:00:00"/>
    <s v="Meats"/>
    <n v="1"/>
    <n v="1"/>
    <n v="220.62"/>
    <s v="BEEF EYE OF RND HALAL IAP"/>
    <x v="17"/>
    <x v="0"/>
    <n v="220.62"/>
    <n v="100.0715486694"/>
    <n v="32.845999999999997"/>
    <n v="3286.9500875951121"/>
  </r>
  <r>
    <d v="2018-12-05T00:00:00"/>
    <s v="Meats"/>
    <n v="4"/>
    <n v="1"/>
    <n v="10"/>
    <s v="FRANK BEEF 8X1 F/C"/>
    <x v="17"/>
    <x v="0"/>
    <n v="40"/>
    <n v="18.143694800000002"/>
    <n v="32.845999999999997"/>
    <n v="595.94779940080002"/>
  </r>
  <r>
    <d v="2018-12-05T00:00:00"/>
    <s v="Meats"/>
    <n v="1"/>
    <n v="1"/>
    <n v="143.28"/>
    <s v="BEEF EYE OF RND HALAL IAP"/>
    <x v="17"/>
    <x v="0"/>
    <n v="143.28"/>
    <n v="64.990714773600004"/>
    <n v="32.845999999999997"/>
    <n v="2134.6850174536653"/>
  </r>
  <r>
    <d v="2018-09-28T00:00:00"/>
    <s v="Royal"/>
    <n v="1"/>
    <n v="1"/>
    <n v="25"/>
    <s v="red beets"/>
    <x v="146"/>
    <x v="1"/>
    <n v="25"/>
    <n v="11.33980925"/>
    <n v="0.19400000000000001"/>
    <n v="2.1999229945000001"/>
  </r>
  <r>
    <d v="2018-11-30T00:00:00"/>
    <s v="Frozen"/>
    <n v="4"/>
    <n v="40"/>
    <n v="0.25"/>
    <s v="BURGER VEG BEYOND PATTY"/>
    <x v="18"/>
    <x v="1"/>
    <n v="40"/>
    <n v="18.143694800000002"/>
    <n v="3.5270000000000001"/>
    <n v="63.992811559600007"/>
  </r>
  <r>
    <d v="2018-11-30T00:00:00"/>
    <s v="Frozen"/>
    <n v="2"/>
    <n v="2"/>
    <n v="5"/>
    <s v="STRIP CHICKEN-FREE LTY SEASON"/>
    <x v="19"/>
    <x v="1"/>
    <n v="20"/>
    <n v="9.0718474000000011"/>
    <n v="0"/>
    <n v="0"/>
  </r>
  <r>
    <d v="2018-11-30T00:00:00"/>
    <s v="Frozen"/>
    <n v="2"/>
    <n v="210"/>
    <s v="1.0.125"/>
    <s v="DOUGH BISCUIT SOUTHERN STY MIN"/>
    <x v="20"/>
    <x v="1"/>
    <n v="0"/>
    <n v="0"/>
    <n v="2.2999999999999998"/>
    <n v="0"/>
  </r>
  <r>
    <d v="2018-11-30T00:00:00"/>
    <s v="Frozen"/>
    <n v="4"/>
    <n v="48"/>
    <n v="0.18124999999999999"/>
    <s v="BURGER BLK BEAN SPCY"/>
    <x v="21"/>
    <x v="1"/>
    <n v="34.799999999999997"/>
    <n v="15.785014475999999"/>
    <n v="6.87"/>
    <n v="108.44304945012"/>
  </r>
  <r>
    <d v="2018-09-29T00:00:00"/>
    <s v="Royal"/>
    <n v="2"/>
    <n v="1"/>
    <n v="6"/>
    <s v="blackberry"/>
    <x v="22"/>
    <x v="1"/>
    <n v="12"/>
    <n v="5.4431084400000005"/>
    <n v="0.59899999999999998"/>
    <n v="3.26042195556"/>
  </r>
  <r>
    <d v="2018-09-28T00:00:00"/>
    <s v="Royal"/>
    <n v="6"/>
    <n v="1"/>
    <n v="6"/>
    <s v="blackberry"/>
    <x v="22"/>
    <x v="1"/>
    <n v="36"/>
    <n v="16.329325319999999"/>
    <n v="0.59899999999999998"/>
    <n v="9.7812658666799983"/>
  </r>
  <r>
    <d v="2018-10-01T00:00:00"/>
    <s v="Royal"/>
    <n v="2"/>
    <n v="1"/>
    <n v="6"/>
    <s v="blackberry"/>
    <x v="22"/>
    <x v="1"/>
    <n v="12"/>
    <n v="5.4431084400000005"/>
    <n v="0.59899999999999998"/>
    <n v="3.26042195556"/>
  </r>
  <r>
    <d v="2018-10-02T00:00:00"/>
    <s v="Royal"/>
    <n v="5"/>
    <n v="1"/>
    <n v="6"/>
    <s v="blackberry"/>
    <x v="22"/>
    <x v="1"/>
    <n v="30"/>
    <n v="13.607771100000001"/>
    <n v="0.59899999999999998"/>
    <n v="8.151054888900001"/>
  </r>
  <r>
    <d v="2018-10-04T00:00:00"/>
    <s v="Royal"/>
    <n v="5"/>
    <n v="1"/>
    <n v="6"/>
    <s v="Blackberry"/>
    <x v="22"/>
    <x v="1"/>
    <n v="30"/>
    <n v="13.607771100000001"/>
    <n v="0.59899999999999998"/>
    <n v="8.151054888900001"/>
  </r>
  <r>
    <d v="2018-10-03T00:00:00"/>
    <s v="Royal"/>
    <n v="1"/>
    <n v="1"/>
    <n v="30"/>
    <s v="bok choy"/>
    <x v="147"/>
    <x v="1"/>
    <n v="30"/>
    <n v="13.607771100000001"/>
    <n v="0.13400000000000001"/>
    <n v="1.8234413274000003"/>
  </r>
  <r>
    <d v="2018-11-30T00:00:00"/>
    <s v="Canned and dry goods"/>
    <n v="1"/>
    <n v="1"/>
    <n v="25"/>
    <s v="BREAD CRUMB JAP PANKO TOASTED"/>
    <x v="24"/>
    <x v="1"/>
    <n v="25"/>
    <n v="11.33980925"/>
    <n v="1.28"/>
    <n v="14.514955840000001"/>
  </r>
  <r>
    <d v="2018-12-05T00:00:00"/>
    <s v="Frozen"/>
    <n v="1"/>
    <n v="10"/>
    <n v="1"/>
    <s v="BREAD FOCACCIA QTR SHEET"/>
    <x v="24"/>
    <x v="1"/>
    <n v="10"/>
    <n v="4.5359237000000006"/>
    <n v="1.28"/>
    <n v="5.8059823360000005"/>
  </r>
  <r>
    <d v="2018-09-28T00:00:00"/>
    <s v="Royal"/>
    <n v="10"/>
    <n v="1"/>
    <n v="12"/>
    <s v="broccoli"/>
    <x v="25"/>
    <x v="1"/>
    <n v="120"/>
    <n v="54.431084400000003"/>
    <n v="0.79700000000000004"/>
    <n v="43.381574266800001"/>
  </r>
  <r>
    <d v="2018-10-01T00:00:00"/>
    <s v="Royal"/>
    <n v="10"/>
    <n v="1"/>
    <n v="12"/>
    <s v="broccoli"/>
    <x v="25"/>
    <x v="1"/>
    <n v="120"/>
    <n v="54.431084400000003"/>
    <n v="0.79700000000000004"/>
    <n v="43.381574266800001"/>
  </r>
  <r>
    <d v="2018-10-02T00:00:00"/>
    <s v="Royal"/>
    <n v="10"/>
    <n v="1"/>
    <n v="12"/>
    <s v="broccoli"/>
    <x v="25"/>
    <x v="1"/>
    <n v="120"/>
    <n v="54.431084400000003"/>
    <n v="0.79700000000000004"/>
    <n v="43.381574266800001"/>
  </r>
  <r>
    <d v="2018-10-03T00:00:00"/>
    <s v="Royal"/>
    <n v="6"/>
    <n v="1"/>
    <n v="12"/>
    <s v="broccoli"/>
    <x v="25"/>
    <x v="1"/>
    <n v="72"/>
    <n v="32.658650639999998"/>
    <n v="0.79700000000000004"/>
    <n v="26.028944560079999"/>
  </r>
  <r>
    <d v="2018-10-04T00:00:00"/>
    <s v="Royal"/>
    <n v="7"/>
    <n v="1"/>
    <n v="12"/>
    <s v="Broccoli "/>
    <x v="25"/>
    <x v="1"/>
    <n v="84"/>
    <n v="38.101759080000001"/>
    <n v="0.79700000000000004"/>
    <n v="30.367101986760002"/>
  </r>
  <r>
    <d v="2018-09-29T00:00:00"/>
    <s v="Royal"/>
    <n v="10"/>
    <n v="1"/>
    <n v="12"/>
    <s v="brocolli"/>
    <x v="26"/>
    <x v="1"/>
    <n v="120"/>
    <n v="54.431084400000003"/>
    <n v="0.79700000000000004"/>
    <n v="43.381574266800001"/>
  </r>
  <r>
    <d v="2018-10-01T00:00:00"/>
    <s v="Royal"/>
    <n v="2"/>
    <n v="1"/>
    <n v="20"/>
    <s v="brussel sprouts"/>
    <x v="28"/>
    <x v="1"/>
    <n v="40"/>
    <n v="18.143694800000002"/>
    <n v="0.49"/>
    <n v="8.8904104520000011"/>
  </r>
  <r>
    <d v="2018-10-03T00:00:00"/>
    <s v="Royal"/>
    <n v="2"/>
    <n v="1"/>
    <n v="20"/>
    <s v="brussels sprouts"/>
    <x v="148"/>
    <x v="1"/>
    <n v="40"/>
    <n v="18.143694800000002"/>
    <n v="0.49"/>
    <n v="8.8904104520000011"/>
  </r>
  <r>
    <d v="2018-12-05T00:00:00"/>
    <s v="Frozen"/>
    <n v="2"/>
    <n v="12"/>
    <n v="1.3125"/>
    <s v="BUN HOAGIE WHT 6 HNGD HARTHBK"/>
    <x v="29"/>
    <x v="1"/>
    <n v="31.5"/>
    <n v="14.288159655000001"/>
    <n v="1.28"/>
    <n v="18.288844358400002"/>
  </r>
  <r>
    <d v="2018-11-30T00:00:00"/>
    <s v="Dairy Products"/>
    <n v="2"/>
    <n v="36"/>
    <n v="1"/>
    <s v="BUTTER SOLID UNSLTD USDA AA"/>
    <x v="30"/>
    <x v="2"/>
    <n v="72"/>
    <n v="32.658650639999998"/>
    <n v="11.52"/>
    <n v="376.22765537279997"/>
  </r>
  <r>
    <d v="2018-10-03T00:00:00"/>
    <s v="Royal"/>
    <n v="2"/>
    <n v="1"/>
    <n v="45"/>
    <s v="cabbage green"/>
    <x v="31"/>
    <x v="1"/>
    <n v="90"/>
    <n v="40.823313300000002"/>
    <n v="0.219"/>
    <n v="8.9403056127000013"/>
  </r>
  <r>
    <d v="2018-11-30T00:00:00"/>
    <s v="Canned and dry goods"/>
    <n v="4"/>
    <n v="1"/>
    <n v="35"/>
    <s v="OIL CANOLA PURE ZTF"/>
    <x v="32"/>
    <x v="1"/>
    <n v="140"/>
    <n v="63.502931800000006"/>
    <n v="2.6459999999999999"/>
    <n v="168.02875754280001"/>
  </r>
  <r>
    <d v="2018-09-29T00:00:00"/>
    <s v="Royal"/>
    <n v="5"/>
    <n v="1"/>
    <n v="27"/>
    <s v="cantaloupe"/>
    <x v="33"/>
    <x v="1"/>
    <n v="135"/>
    <n v="61.23496995"/>
    <n v="0.49"/>
    <n v="30.005135275499999"/>
  </r>
  <r>
    <d v="2018-09-28T00:00:00"/>
    <s v="Royal"/>
    <n v="7"/>
    <n v="1"/>
    <n v="27"/>
    <s v="cantaloupe"/>
    <x v="33"/>
    <x v="1"/>
    <n v="189"/>
    <n v="85.728957930000007"/>
    <n v="0.49"/>
    <n v="42.007189385700002"/>
  </r>
  <r>
    <d v="2018-10-01T00:00:00"/>
    <s v="Royal"/>
    <n v="7"/>
    <n v="1"/>
    <n v="27"/>
    <s v="cantaloupe"/>
    <x v="33"/>
    <x v="1"/>
    <n v="189"/>
    <n v="85.728957930000007"/>
    <n v="0.49"/>
    <n v="42.007189385700002"/>
  </r>
  <r>
    <d v="2018-10-03T00:00:00"/>
    <s v="Royal"/>
    <n v="3"/>
    <n v="1"/>
    <n v="27"/>
    <s v="cantaloupe"/>
    <x v="33"/>
    <x v="1"/>
    <n v="81"/>
    <n v="36.74098197"/>
    <n v="0.49"/>
    <n v="18.003081165299999"/>
  </r>
  <r>
    <d v="2018-10-04T00:00:00"/>
    <s v="Royal"/>
    <n v="7"/>
    <n v="1"/>
    <n v="27"/>
    <s v="Cantaloupe "/>
    <x v="33"/>
    <x v="1"/>
    <n v="189"/>
    <n v="85.728957930000007"/>
    <n v="0.49"/>
    <n v="42.007189385700002"/>
  </r>
  <r>
    <d v="2018-09-29T00:00:00"/>
    <s v="Royal"/>
    <n v="1"/>
    <n v="1"/>
    <n v="50"/>
    <s v="carrot"/>
    <x v="34"/>
    <x v="1"/>
    <n v="50"/>
    <n v="22.6796185"/>
    <n v="9.1999999999999998E-2"/>
    <n v="2.0865249019999998"/>
  </r>
  <r>
    <d v="2018-09-29T00:00:00"/>
    <s v="Royal"/>
    <n v="2"/>
    <n v="1"/>
    <n v="20"/>
    <s v="carrot"/>
    <x v="34"/>
    <x v="1"/>
    <n v="40"/>
    <n v="18.143694800000002"/>
    <n v="9.1999999999999998E-2"/>
    <n v="1.6692199216000001"/>
  </r>
  <r>
    <d v="2018-09-28T00:00:00"/>
    <s v="Royal"/>
    <n v="1"/>
    <n v="1"/>
    <n v="50"/>
    <s v="carrot"/>
    <x v="34"/>
    <x v="1"/>
    <n v="50"/>
    <n v="22.6796185"/>
    <n v="9.1999999999999998E-2"/>
    <n v="2.0865249019999998"/>
  </r>
  <r>
    <d v="2018-09-28T00:00:00"/>
    <s v="Royal"/>
    <n v="2"/>
    <n v="1"/>
    <n v="20"/>
    <s v="carrot"/>
    <x v="34"/>
    <x v="1"/>
    <n v="40"/>
    <n v="18.143694800000002"/>
    <n v="9.1999999999999998E-2"/>
    <n v="1.6692199216000001"/>
  </r>
  <r>
    <d v="2018-09-29T00:00:00"/>
    <s v="Royal"/>
    <n v="3"/>
    <n v="1"/>
    <n v="20"/>
    <s v="carrot stick"/>
    <x v="34"/>
    <x v="1"/>
    <n v="60"/>
    <n v="27.215542200000002"/>
    <n v="9.1999999999999998E-2"/>
    <n v="2.5038298824000003"/>
  </r>
  <r>
    <d v="2018-10-01T00:00:00"/>
    <s v="Royal"/>
    <n v="2"/>
    <n v="1"/>
    <n v="50"/>
    <s v="carrot"/>
    <x v="34"/>
    <x v="1"/>
    <n v="100"/>
    <n v="45.359237"/>
    <n v="9.1999999999999998E-2"/>
    <n v="4.1730498039999997"/>
  </r>
  <r>
    <d v="2018-10-01T00:00:00"/>
    <s v="Royal"/>
    <n v="1"/>
    <n v="1"/>
    <n v="20"/>
    <s v="carrot"/>
    <x v="34"/>
    <x v="1"/>
    <n v="20"/>
    <n v="9.0718474000000011"/>
    <n v="9.1999999999999998E-2"/>
    <n v="0.83460996080000005"/>
  </r>
  <r>
    <d v="2018-10-02T00:00:00"/>
    <s v="Royal"/>
    <n v="2"/>
    <n v="1"/>
    <n v="50"/>
    <s v="carrot"/>
    <x v="34"/>
    <x v="1"/>
    <n v="100"/>
    <n v="45.359237"/>
    <n v="9.1999999999999998E-2"/>
    <n v="4.1730498039999997"/>
  </r>
  <r>
    <d v="2018-10-03T00:00:00"/>
    <s v="Royal"/>
    <n v="1"/>
    <n v="1"/>
    <n v="50"/>
    <s v="carrot"/>
    <x v="34"/>
    <x v="1"/>
    <n v="50"/>
    <n v="22.6796185"/>
    <n v="9.1999999999999998E-2"/>
    <n v="2.0865249019999998"/>
  </r>
  <r>
    <d v="2018-10-03T00:00:00"/>
    <s v="Royal"/>
    <n v="1"/>
    <n v="1"/>
    <n v="20"/>
    <s v="carrot shred"/>
    <x v="34"/>
    <x v="1"/>
    <n v="20"/>
    <n v="9.0718474000000011"/>
    <n v="9.1999999999999998E-2"/>
    <n v="0.83460996080000005"/>
  </r>
  <r>
    <d v="2018-10-04T00:00:00"/>
    <s v="Royal"/>
    <n v="1"/>
    <n v="1"/>
    <n v="20"/>
    <s v="Pr Carrot Shred"/>
    <x v="34"/>
    <x v="1"/>
    <n v="20"/>
    <n v="9.0718474000000011"/>
    <n v="9.1999999999999998E-2"/>
    <n v="0.83460996080000005"/>
  </r>
  <r>
    <d v="2018-09-29T00:00:00"/>
    <s v="Royal"/>
    <n v="1"/>
    <n v="1"/>
    <n v="20"/>
    <s v="carrots + red cabbage slaw"/>
    <x v="35"/>
    <x v="1"/>
    <n v="20"/>
    <n v="9.0718474000000011"/>
    <n v="9.1999999999999998E-2"/>
    <n v="0.83460996080000005"/>
  </r>
  <r>
    <d v="2018-10-03T00:00:00"/>
    <s v="Royal"/>
    <n v="1"/>
    <n v="1"/>
    <n v="20"/>
    <s v="carrots + red cabbage slaw"/>
    <x v="149"/>
    <x v="1"/>
    <n v="20"/>
    <n v="9.0718474000000011"/>
    <n v="0.1555"/>
    <n v="1.4106722707000001"/>
  </r>
  <r>
    <d v="2018-09-29T00:00:00"/>
    <s v="Royal"/>
    <n v="8"/>
    <n v="1"/>
    <n v="12"/>
    <s v="cauliflower"/>
    <x v="36"/>
    <x v="1"/>
    <n v="96"/>
    <n v="43.544867520000004"/>
    <n v="0.93400000000000005"/>
    <n v="40.670906263680003"/>
  </r>
  <r>
    <d v="2018-10-01T00:00:00"/>
    <s v="Royal"/>
    <n v="5"/>
    <n v="1"/>
    <n v="12"/>
    <s v="cauliflower"/>
    <x v="36"/>
    <x v="1"/>
    <n v="60"/>
    <n v="27.215542200000002"/>
    <n v="0.93400000000000005"/>
    <n v="25.419316414800004"/>
  </r>
  <r>
    <d v="2018-10-03T00:00:00"/>
    <s v="Royal"/>
    <n v="3"/>
    <n v="1"/>
    <n v="12"/>
    <s v="cauliflower"/>
    <x v="36"/>
    <x v="1"/>
    <n v="36"/>
    <n v="16.329325319999999"/>
    <n v="0.93400000000000005"/>
    <n v="15.25158984888"/>
  </r>
  <r>
    <d v="2018-10-04T00:00:00"/>
    <s v="Royal"/>
    <n v="2"/>
    <n v="1"/>
    <n v="156"/>
    <s v="Pr Cauliflower "/>
    <x v="36"/>
    <x v="1"/>
    <n v="312"/>
    <n v="141.52081944"/>
    <n v="0.93400000000000005"/>
    <n v="132.18044535696001"/>
  </r>
  <r>
    <d v="2018-09-28T00:00:00"/>
    <s v="Royal"/>
    <n v="1"/>
    <n v="1"/>
    <n v="36"/>
    <s v="celery"/>
    <x v="37"/>
    <x v="1"/>
    <n v="36"/>
    <n v="16.329325319999999"/>
    <n v="0.33100000000000002"/>
    <n v="5.4050066809199997"/>
  </r>
  <r>
    <d v="2018-09-29T00:00:00"/>
    <s v="Royal"/>
    <n v="3"/>
    <n v="1"/>
    <n v="20"/>
    <s v="celery sticks"/>
    <x v="37"/>
    <x v="1"/>
    <n v="60"/>
    <n v="27.215542200000002"/>
    <n v="0.33100000000000002"/>
    <n v="9.0083444682000007"/>
  </r>
  <r>
    <d v="2018-11-30T00:00:00"/>
    <s v="Canned and dry goods"/>
    <n v="2"/>
    <n v="4"/>
    <n v="30.3125"/>
    <s v="CEREAL LUCKY CHARMS GLUTN FR"/>
    <x v="38"/>
    <x v="1"/>
    <n v="242.5"/>
    <n v="109.99614972500001"/>
    <n v="1.61"/>
    <n v="177.09380105725003"/>
  </r>
  <r>
    <d v="2018-11-30T00:00:00"/>
    <s v="Canned and dry goods"/>
    <n v="2"/>
    <n v="4"/>
    <n v="40.3125"/>
    <s v="CEREAL CINN TST CRUN BULKPAK"/>
    <x v="38"/>
    <x v="1"/>
    <n v="322.5"/>
    <n v="146.28353932500002"/>
    <n v="1.61"/>
    <n v="235.51649831325005"/>
  </r>
  <r>
    <d v="2018-12-03T00:00:00"/>
    <s v="Canned and dry goods"/>
    <n v="1"/>
    <n v="4"/>
    <n v="1.8125"/>
    <s v="CEREAL CHEERIO GLUTEN FR"/>
    <x v="38"/>
    <x v="1"/>
    <n v="7.25"/>
    <n v="3.2885446825"/>
    <n v="1.61"/>
    <n v="5.294556938825"/>
  </r>
  <r>
    <d v="2018-12-03T00:00:00"/>
    <s v="Canned and dry goods"/>
    <n v="1"/>
    <n v="4"/>
    <n v="2.5"/>
    <s v="CEREAL FROSTED FLAKES"/>
    <x v="38"/>
    <x v="1"/>
    <n v="10"/>
    <n v="4.5359237000000006"/>
    <n v="1.61"/>
    <n v="7.3028371570000017"/>
  </r>
  <r>
    <d v="2018-12-03T00:00:00"/>
    <s v="Canned and dry goods"/>
    <n v="2"/>
    <n v="4"/>
    <n v="30.3125"/>
    <s v="CEREAL LUCKY CHARMS GLUTN FR"/>
    <x v="38"/>
    <x v="1"/>
    <n v="242.5"/>
    <n v="109.99614972500001"/>
    <n v="1.61"/>
    <n v="177.09380105725003"/>
  </r>
  <r>
    <d v="2018-12-03T00:00:00"/>
    <s v="Canned and dry goods"/>
    <n v="2"/>
    <n v="4"/>
    <n v="30.3125"/>
    <s v="CEREAL COCOA PUFFS BULKPAK"/>
    <x v="38"/>
    <x v="1"/>
    <n v="242.5"/>
    <n v="109.99614972500001"/>
    <n v="1.61"/>
    <n v="177.09380105725003"/>
  </r>
  <r>
    <d v="2018-12-03T00:00:00"/>
    <s v="Canned and dry goods"/>
    <n v="1"/>
    <n v="4"/>
    <n v="3.125"/>
    <s v="CEREAL GRANOLA OATSN HNY BLKPK"/>
    <x v="38"/>
    <x v="1"/>
    <n v="12.5"/>
    <n v="5.669904625"/>
    <n v="1.61"/>
    <n v="9.1285464462500006"/>
  </r>
  <r>
    <d v="2018-12-05T00:00:00"/>
    <s v="Canned and dry goods"/>
    <n v="1"/>
    <n v="4"/>
    <n v="1.8125"/>
    <s v="CEREAL CHEERIO GLUTEN FR"/>
    <x v="38"/>
    <x v="1"/>
    <n v="7.25"/>
    <n v="3.2885446825"/>
    <n v="1.61"/>
    <n v="5.294556938825"/>
  </r>
  <r>
    <d v="2018-12-05T00:00:00"/>
    <s v="Canned and dry goods"/>
    <n v="3"/>
    <n v="4"/>
    <n v="2.5"/>
    <s v="CEREAL FROSTED FLAKES"/>
    <x v="38"/>
    <x v="1"/>
    <n v="30"/>
    <n v="13.607771100000001"/>
    <n v="1.61"/>
    <n v="21.908511471000004"/>
  </r>
  <r>
    <d v="2018-12-05T00:00:00"/>
    <s v="Canned and dry goods"/>
    <n v="3"/>
    <n v="4"/>
    <n v="30.3125"/>
    <s v="CEREAL LUCKY CHARMS GLUTN FR"/>
    <x v="38"/>
    <x v="1"/>
    <n v="363.75"/>
    <n v="164.99422458750001"/>
    <n v="1.61"/>
    <n v="265.64070158587504"/>
  </r>
  <r>
    <d v="2018-12-05T00:00:00"/>
    <s v="Canned and dry goods"/>
    <n v="1"/>
    <n v="4"/>
    <n v="30.3125"/>
    <s v="CEREAL COCOA PUFFS BULKPAK"/>
    <x v="38"/>
    <x v="1"/>
    <n v="121.25"/>
    <n v="54.998074862500005"/>
    <n v="1.61"/>
    <n v="88.546900528625017"/>
  </r>
  <r>
    <d v="2018-12-05T00:00:00"/>
    <s v="Canned and dry goods"/>
    <n v="4"/>
    <n v="4"/>
    <n v="40.3125"/>
    <s v="CEREAL CINN TST CRUN BULKPAK"/>
    <x v="38"/>
    <x v="1"/>
    <n v="645"/>
    <n v="292.56707865000004"/>
    <n v="1.61"/>
    <n v="471.03299662650011"/>
  </r>
  <r>
    <d v="2018-12-05T00:00:00"/>
    <s v="Canned and dry goods"/>
    <n v="1"/>
    <n v="4"/>
    <n v="3.125"/>
    <s v="CEREAL GRANOLA OATSN HNY BLKPK"/>
    <x v="38"/>
    <x v="1"/>
    <n v="12.5"/>
    <n v="5.669904625"/>
    <n v="1.61"/>
    <n v="9.1285464462500006"/>
  </r>
  <r>
    <d v="2018-11-30T00:00:00"/>
    <s v="Canned and dry goods"/>
    <n v="2"/>
    <n v="4"/>
    <n v="30.0625"/>
    <s v="CEREAL APPLE JACKS"/>
    <x v="39"/>
    <x v="1"/>
    <n v="240.5"/>
    <n v="109.088964985"/>
    <n v="1.61"/>
    <n v="175.63323362585001"/>
  </r>
  <r>
    <d v="2018-11-30T00:00:00"/>
    <s v="Canned and dry goods"/>
    <n v="2"/>
    <n v="4"/>
    <n v="2.5"/>
    <s v="CEREAL FROSTED FLAKES"/>
    <x v="40"/>
    <x v="1"/>
    <n v="20"/>
    <n v="9.0718474000000011"/>
    <n v="1.61"/>
    <n v="14.605674314000003"/>
  </r>
  <r>
    <d v="2018-11-30T00:00:00"/>
    <s v="Canned and dry goods"/>
    <n v="4"/>
    <n v="4"/>
    <n v="3.125"/>
    <s v="CEREAL GRANOLA OATSN HNY BLKPK"/>
    <x v="41"/>
    <x v="1"/>
    <n v="50"/>
    <n v="22.6796185"/>
    <n v="1.61"/>
    <n v="36.514185785000002"/>
  </r>
  <r>
    <d v="2018-11-30T00:00:00"/>
    <s v="Dairy Products"/>
    <n v="2"/>
    <n v="6"/>
    <n v="1"/>
    <s v="CHEESE MOZZ FRSH SLI 18 CT"/>
    <x v="42"/>
    <x v="2"/>
    <n v="12"/>
    <n v="5.4431084400000005"/>
    <n v="9.9740000000000002"/>
    <n v="54.289563580560007"/>
  </r>
  <r>
    <d v="2018-11-30T00:00:00"/>
    <s v="Dairy Products"/>
    <n v="2"/>
    <n v="6"/>
    <n v="3"/>
    <s v="CHEESE CREAM ORIG LOAF"/>
    <x v="42"/>
    <x v="2"/>
    <n v="36"/>
    <n v="16.329325319999999"/>
    <n v="9.9740000000000002"/>
    <n v="162.86869074167998"/>
  </r>
  <r>
    <d v="2018-11-30T00:00:00"/>
    <s v="Dairy Products"/>
    <n v="2"/>
    <n v="4"/>
    <n v="5"/>
    <s v="CHEESE COTTAGE SMALL CURD 4%"/>
    <x v="42"/>
    <x v="2"/>
    <n v="40"/>
    <n v="18.143694800000002"/>
    <n v="9.9740000000000002"/>
    <n v="180.96521193520002"/>
  </r>
  <r>
    <d v="2018-11-30T00:00:00"/>
    <s v="Dairy Products"/>
    <n v="15"/>
    <n v="4"/>
    <n v="5"/>
    <s v="CHEESE MOZZ FTHR SHRD WHL MILK"/>
    <x v="42"/>
    <x v="2"/>
    <n v="300"/>
    <n v="136.07771100000002"/>
    <n v="9.9740000000000002"/>
    <n v="1357.2390895140002"/>
  </r>
  <r>
    <d v="2018-11-30T00:00:00"/>
    <s v="Dairy Products"/>
    <n v="1"/>
    <n v="4"/>
    <n v="5"/>
    <s v="CHEESE AMER YEL 160 SLI"/>
    <x v="42"/>
    <x v="2"/>
    <n v="20"/>
    <n v="9.0718474000000011"/>
    <n v="9.9740000000000002"/>
    <n v="90.482605967600009"/>
  </r>
  <r>
    <d v="2018-11-30T00:00:00"/>
    <s v="Dairy Products"/>
    <n v="4"/>
    <n v="4"/>
    <n v="5"/>
    <s v="CHEESE CHDR MILD FTHR SHRD"/>
    <x v="42"/>
    <x v="2"/>
    <n v="80"/>
    <n v="36.287389600000004"/>
    <n v="9.9740000000000002"/>
    <n v="361.93042387040003"/>
  </r>
  <r>
    <d v="2018-11-30T00:00:00"/>
    <s v="Dairy Products"/>
    <n v="3"/>
    <n v="4"/>
    <n v="5"/>
    <s v="CHEESE BLUE CRUMBLE"/>
    <x v="42"/>
    <x v="2"/>
    <n v="60"/>
    <n v="27.215542200000002"/>
    <n v="9.9740000000000002"/>
    <n v="271.44781790280001"/>
  </r>
  <r>
    <d v="2018-11-30T00:00:00"/>
    <s v="Dairy Products"/>
    <n v="2"/>
    <n v="4"/>
    <n v="2.5"/>
    <s v="CHEESE SWISS SLI .0.3125"/>
    <x v="42"/>
    <x v="2"/>
    <n v="20"/>
    <n v="9.0718474000000011"/>
    <n v="9.9740000000000002"/>
    <n v="90.482605967600009"/>
  </r>
  <r>
    <d v="2018-11-30T00:00:00"/>
    <s v="Dairy Products"/>
    <n v="2"/>
    <n v="4"/>
    <n v="2.5"/>
    <s v="CHEESE PEPPER JACK SLI .70.3125"/>
    <x v="42"/>
    <x v="2"/>
    <n v="20"/>
    <n v="9.0718474000000011"/>
    <n v="9.9740000000000002"/>
    <n v="90.482605967600009"/>
  </r>
  <r>
    <d v="2018-11-30T00:00:00"/>
    <s v="Dairy Products"/>
    <n v="2"/>
    <n v="8"/>
    <n v="1.25"/>
    <s v="CHEESE CHDR MILD SLI .0.3125"/>
    <x v="42"/>
    <x v="2"/>
    <n v="20"/>
    <n v="9.0718474000000011"/>
    <n v="9.9740000000000002"/>
    <n v="90.482605967600009"/>
  </r>
  <r>
    <d v="2018-11-30T00:00:00"/>
    <s v="Dairy Products"/>
    <n v="2"/>
    <n v="4"/>
    <n v="2.5"/>
    <s v="CHEESE PROVOLONE SLI .0.3125"/>
    <x v="42"/>
    <x v="2"/>
    <n v="20"/>
    <n v="9.0718474000000011"/>
    <n v="9.9740000000000002"/>
    <n v="90.482605967600009"/>
  </r>
  <r>
    <d v="2018-11-30T00:00:00"/>
    <s v="Dairy Products"/>
    <n v="1"/>
    <n v="2"/>
    <n v="5"/>
    <s v="CHEESE PARM GRATED PURE"/>
    <x v="42"/>
    <x v="2"/>
    <n v="10"/>
    <n v="4.5359237000000006"/>
    <n v="9.9740000000000002"/>
    <n v="45.241302983800004"/>
  </r>
  <r>
    <d v="2018-11-30T00:00:00"/>
    <s v="Dairy Products"/>
    <n v="1"/>
    <n v="6"/>
    <n v="2"/>
    <s v="CHEESE PARM FANCY SHRED"/>
    <x v="42"/>
    <x v="2"/>
    <n v="12"/>
    <n v="5.4431084400000005"/>
    <n v="9.9740000000000002"/>
    <n v="54.289563580560007"/>
  </r>
  <r>
    <d v="2018-11-30T00:00:00"/>
    <s v="Dairy Products"/>
    <n v="1"/>
    <n v="6"/>
    <n v="3"/>
    <s v="CHEESE RICOTTA WHL MLK CLS"/>
    <x v="42"/>
    <x v="2"/>
    <n v="18"/>
    <n v="8.1646626599999994"/>
    <n v="9.9740000000000002"/>
    <n v="81.434345370839992"/>
  </r>
  <r>
    <d v="2018-12-03T00:00:00"/>
    <s v="Dairy Products"/>
    <n v="4"/>
    <n v="4"/>
    <n v="5"/>
    <s v="CHEESE CHDR MILD FTHR SHRD"/>
    <x v="42"/>
    <x v="2"/>
    <n v="80"/>
    <n v="36.287389600000004"/>
    <n v="9.9740000000000002"/>
    <n v="361.93042387040003"/>
  </r>
  <r>
    <d v="2018-12-03T00:00:00"/>
    <s v="Dairy Products"/>
    <n v="6"/>
    <n v="4"/>
    <n v="5"/>
    <s v="CHEESE MOZZ FTHR SHRD PART SKM"/>
    <x v="42"/>
    <x v="2"/>
    <n v="120"/>
    <n v="54.431084400000003"/>
    <n v="9.9740000000000002"/>
    <n v="542.89563580560002"/>
  </r>
  <r>
    <d v="2018-12-03T00:00:00"/>
    <s v="Dairy Products"/>
    <n v="3"/>
    <n v="2"/>
    <n v="5"/>
    <s v="CHEESE PARM GRATED PURE"/>
    <x v="42"/>
    <x v="2"/>
    <n v="30"/>
    <n v="13.607771100000001"/>
    <n v="9.9740000000000002"/>
    <n v="135.72390895140001"/>
  </r>
  <r>
    <d v="2018-12-05T00:00:00"/>
    <s v="Dairy Products"/>
    <n v="1"/>
    <n v="10"/>
    <n v="3"/>
    <s v="CHEESE CREAM LOAF"/>
    <x v="42"/>
    <x v="2"/>
    <n v="30"/>
    <n v="13.607771100000001"/>
    <n v="9.9740000000000002"/>
    <n v="135.72390895140001"/>
  </r>
  <r>
    <d v="2018-12-05T00:00:00"/>
    <s v="Dairy Products"/>
    <n v="2"/>
    <n v="4"/>
    <n v="5"/>
    <s v="CHEESE AMER YEL 160 SLI"/>
    <x v="42"/>
    <x v="2"/>
    <n v="40"/>
    <n v="18.143694800000002"/>
    <n v="9.9740000000000002"/>
    <n v="180.96521193520002"/>
  </r>
  <r>
    <d v="2018-12-05T00:00:00"/>
    <s v="Dairy Products"/>
    <n v="2"/>
    <n v="4"/>
    <n v="5"/>
    <s v="CHEESE CHDR MILD FTHR SHRD"/>
    <x v="42"/>
    <x v="2"/>
    <n v="40"/>
    <n v="18.143694800000002"/>
    <n v="9.9740000000000002"/>
    <n v="180.96521193520002"/>
  </r>
  <r>
    <d v="2018-12-05T00:00:00"/>
    <s v="Dairy Products"/>
    <n v="5"/>
    <n v="4"/>
    <n v="5"/>
    <s v="CHEESE MOZZ FTHR SHRD PART SKM"/>
    <x v="42"/>
    <x v="2"/>
    <n v="100"/>
    <n v="45.359237"/>
    <n v="9.9740000000000002"/>
    <n v="452.413029838"/>
  </r>
  <r>
    <d v="2018-12-05T00:00:00"/>
    <s v="Dairy Products"/>
    <n v="1"/>
    <n v="4"/>
    <n v="2.5"/>
    <s v="CHEESE SWISS SLI .0.3125"/>
    <x v="42"/>
    <x v="2"/>
    <n v="10"/>
    <n v="4.5359237000000006"/>
    <n v="9.9740000000000002"/>
    <n v="45.241302983800004"/>
  </r>
  <r>
    <d v="2018-12-05T00:00:00"/>
    <s v="Dairy Products"/>
    <n v="1"/>
    <n v="8"/>
    <n v="1.25"/>
    <s v="CHEESE CHDR MILD SLI .0.3125"/>
    <x v="42"/>
    <x v="2"/>
    <n v="10"/>
    <n v="4.5359237000000006"/>
    <n v="9.9740000000000002"/>
    <n v="45.241302983800004"/>
  </r>
  <r>
    <d v="2018-12-05T00:00:00"/>
    <s v="Dairy Products"/>
    <n v="2"/>
    <n v="4"/>
    <n v="2.5"/>
    <s v="CHEESE PROVOLONE SLI .0.3125"/>
    <x v="42"/>
    <x v="2"/>
    <n v="20"/>
    <n v="9.0718474000000011"/>
    <n v="9.9740000000000002"/>
    <n v="90.482605967600009"/>
  </r>
  <r>
    <d v="2018-09-29T00:00:00"/>
    <s v="Royal"/>
    <n v="2"/>
    <n v="1"/>
    <n v="30"/>
    <s v="cheese mozzarella"/>
    <x v="150"/>
    <x v="2"/>
    <n v="60"/>
    <n v="27.215542200000002"/>
    <n v="9.9740000000000002"/>
    <n v="271.44781790280001"/>
  </r>
  <r>
    <d v="2018-09-28T00:00:00"/>
    <s v="Georgia Halal Meat"/>
    <n v="1"/>
    <n v="1"/>
    <n v="160"/>
    <s v="chicken breast"/>
    <x v="43"/>
    <x v="0"/>
    <n v="160"/>
    <n v="72.574779200000009"/>
    <n v="4.1879999999999997"/>
    <n v="303.94317528959999"/>
  </r>
  <r>
    <d v="2018-09-28T00:00:00"/>
    <s v="Inland Seafood (Springer Mtn)"/>
    <n v="1"/>
    <n v="1"/>
    <n v="300"/>
    <s v="chicken wings"/>
    <x v="43"/>
    <x v="0"/>
    <n v="300"/>
    <n v="136.07771100000002"/>
    <n v="4.1879999999999997"/>
    <n v="569.89345366800001"/>
  </r>
  <r>
    <d v="2018-09-28T00:00:00"/>
    <s v="Inland Seafood (Springer Mtn)"/>
    <n v="1"/>
    <n v="1"/>
    <n v="300"/>
    <s v="chicken wings"/>
    <x v="43"/>
    <x v="0"/>
    <n v="300"/>
    <n v="136.07771100000002"/>
    <n v="4.1879999999999997"/>
    <n v="569.89345366800001"/>
  </r>
  <r>
    <d v="2018-09-28T00:00:00"/>
    <s v="Inland Seafood (Springer Mtn)"/>
    <n v="1"/>
    <n v="1"/>
    <n v="300"/>
    <s v="chicken breast filet"/>
    <x v="43"/>
    <x v="0"/>
    <n v="300"/>
    <n v="136.07771100000002"/>
    <n v="4.1879999999999997"/>
    <n v="569.89345366800001"/>
  </r>
  <r>
    <d v="2018-09-28T00:00:00"/>
    <s v="Inland Seafood"/>
    <n v="1"/>
    <n v="1"/>
    <n v="120"/>
    <s v="chicken breast chunk"/>
    <x v="43"/>
    <x v="0"/>
    <n v="120"/>
    <n v="54.431084400000003"/>
    <n v="4.1879999999999997"/>
    <n v="227.95738146720001"/>
  </r>
  <r>
    <d v="2018-09-28T00:00:00"/>
    <s v="Inland Seafood"/>
    <n v="1"/>
    <n v="1"/>
    <n v="40"/>
    <s v="chicken wings"/>
    <x v="43"/>
    <x v="0"/>
    <n v="40"/>
    <n v="18.143694800000002"/>
    <n v="4.1879999999999997"/>
    <n v="75.985793822399998"/>
  </r>
  <r>
    <d v="2018-10-01T00:00:00"/>
    <s v="Inland Seafood"/>
    <n v="1"/>
    <n v="1"/>
    <n v="300"/>
    <s v="chicken breast filet"/>
    <x v="43"/>
    <x v="0"/>
    <n v="300"/>
    <n v="136.07771100000002"/>
    <n v="4.1879999999999997"/>
    <n v="569.89345366800001"/>
  </r>
  <r>
    <d v="2018-10-01T00:00:00"/>
    <s v="Inland Seafood"/>
    <n v="1"/>
    <n v="1"/>
    <n v="300"/>
    <s v="chicken thighs"/>
    <x v="43"/>
    <x v="0"/>
    <n v="300"/>
    <n v="136.07771100000002"/>
    <n v="4.1879999999999997"/>
    <n v="569.89345366800001"/>
  </r>
  <r>
    <d v="2018-10-01T00:00:00"/>
    <s v="Inland Seafood"/>
    <n v="1"/>
    <n v="1"/>
    <n v="20"/>
    <s v="chicken bone-in thighs"/>
    <x v="43"/>
    <x v="0"/>
    <n v="20"/>
    <n v="9.0718474000000011"/>
    <n v="4.1879999999999997"/>
    <n v="37.992896911199999"/>
  </r>
  <r>
    <d v="2018-10-01T00:00:00"/>
    <s v="Inland Seafood"/>
    <n v="1"/>
    <n v="1"/>
    <n v="160"/>
    <s v="chicken breast chunk"/>
    <x v="43"/>
    <x v="0"/>
    <n v="160"/>
    <n v="72.574779200000009"/>
    <n v="4.1879999999999997"/>
    <n v="303.94317528959999"/>
  </r>
  <r>
    <d v="2018-10-03T00:00:00"/>
    <s v="Inland Seafood"/>
    <n v="1"/>
    <n v="1"/>
    <n v="300"/>
    <s v="chicken breast filet"/>
    <x v="43"/>
    <x v="0"/>
    <n v="300"/>
    <n v="136.07771100000002"/>
    <n v="4.1879999999999997"/>
    <n v="569.89345366800001"/>
  </r>
  <r>
    <d v="2018-10-03T00:00:00"/>
    <s v="Inland Seafood"/>
    <n v="1"/>
    <n v="1"/>
    <n v="300"/>
    <s v="chicken thighs"/>
    <x v="43"/>
    <x v="0"/>
    <n v="300"/>
    <n v="136.07771100000002"/>
    <n v="4.1879999999999997"/>
    <n v="569.89345366800001"/>
  </r>
  <r>
    <d v="2018-10-03T00:00:00"/>
    <s v="Inland Seafood"/>
    <n v="1"/>
    <n v="1"/>
    <n v="20"/>
    <s v="chicken bone-in thighs"/>
    <x v="43"/>
    <x v="0"/>
    <n v="20"/>
    <n v="9.0718474000000011"/>
    <n v="4.1879999999999997"/>
    <n v="37.992896911199999"/>
  </r>
  <r>
    <d v="2018-10-03T00:00:00"/>
    <s v="Inland Seafood"/>
    <n v="1"/>
    <n v="1"/>
    <n v="160"/>
    <s v="chicken breast chunk"/>
    <x v="43"/>
    <x v="0"/>
    <n v="160"/>
    <n v="72.574779200000009"/>
    <n v="4.1879999999999997"/>
    <n v="303.94317528959999"/>
  </r>
  <r>
    <d v="2018-10-03T00:00:00"/>
    <s v="Inland Seafood"/>
    <n v="1"/>
    <n v="1"/>
    <n v="300"/>
    <s v="chicken breast filet"/>
    <x v="43"/>
    <x v="0"/>
    <n v="300"/>
    <n v="136.07771100000002"/>
    <n v="4.1879999999999997"/>
    <n v="569.89345366800001"/>
  </r>
  <r>
    <d v="2018-11-30T00:00:00"/>
    <s v="Canned and dry goods"/>
    <n v="8"/>
    <n v="6"/>
    <n v="10"/>
    <s v="BEAN GARBANZO LOW SODIUM"/>
    <x v="44"/>
    <x v="1"/>
    <n v="480"/>
    <n v="217.72433760000001"/>
    <n v="0.49099999999999999"/>
    <n v="106.9026497616"/>
  </r>
  <r>
    <d v="2018-12-05T00:00:00"/>
    <s v="Canned and dry goods"/>
    <n v="3"/>
    <n v="6"/>
    <n v="10"/>
    <s v="BEAN GARBANZO LOW SODIUM"/>
    <x v="44"/>
    <x v="1"/>
    <n v="180"/>
    <n v="81.646626600000005"/>
    <n v="0.49099999999999999"/>
    <n v="40.088493660600001"/>
  </r>
  <r>
    <d v="2018-11-30T00:00:00"/>
    <s v="Frozen"/>
    <n v="11"/>
    <n v="100"/>
    <n v="0.16250000000000001"/>
    <s v="CHURRO PRFRD MEXICAN PASTRY"/>
    <x v="46"/>
    <x v="1"/>
    <n v="178.75"/>
    <n v="81.079636137500003"/>
    <n v="1.2"/>
    <n v="97.295563365000007"/>
  </r>
  <r>
    <d v="2018-09-29T00:00:00"/>
    <s v="Royal"/>
    <n v="2"/>
    <n v="1"/>
    <n v="5.25"/>
    <s v="cilantro"/>
    <x v="47"/>
    <x v="1"/>
    <n v="10.5"/>
    <n v="4.7627198850000001"/>
    <n v="0.26100000000000001"/>
    <n v="1.2430698899850001"/>
  </r>
  <r>
    <d v="2018-09-28T00:00:00"/>
    <s v="Royal"/>
    <n v="1"/>
    <n v="1"/>
    <n v="5.25"/>
    <s v="cilantro"/>
    <x v="47"/>
    <x v="1"/>
    <n v="5.25"/>
    <n v="2.3813599425"/>
    <n v="0.26100000000000001"/>
    <n v="0.62153494499250006"/>
  </r>
  <r>
    <d v="2018-12-05T00:00:00"/>
    <s v="Canned and dry goods"/>
    <n v="1"/>
    <n v="6"/>
    <s v="50 CT"/>
    <s v="COCOA MIX INDIV"/>
    <x v="48"/>
    <x v="1"/>
    <n v="0"/>
    <n v="0"/>
    <n v="33.646999999999998"/>
    <n v="0"/>
  </r>
  <r>
    <d v="2018-09-28T00:00:00"/>
    <s v="Royal"/>
    <n v="2"/>
    <n v="1"/>
    <n v="10"/>
    <s v="collards"/>
    <x v="151"/>
    <x v="1"/>
    <n v="20"/>
    <n v="9.0718474000000011"/>
    <n v="0.20599999999999999"/>
    <n v="1.8688005644000001"/>
  </r>
  <r>
    <d v="2018-10-04T00:00:00"/>
    <s v="Royal"/>
    <n v="3"/>
    <n v="1"/>
    <n v="10"/>
    <s v="Pr Collards "/>
    <x v="151"/>
    <x v="1"/>
    <n v="30"/>
    <n v="13.607771100000001"/>
    <n v="0.20599999999999999"/>
    <n v="2.8032008465999998"/>
  </r>
  <r>
    <d v="2018-11-30T00:00:00"/>
    <s v="Canned and dry goods"/>
    <n v="4"/>
    <n v="2"/>
    <n v="14.385"/>
    <s v="KETCHUP FANCY POUCH DISPENSER"/>
    <x v="50"/>
    <x v="1"/>
    <n v="115.08"/>
    <n v="52.199409939600002"/>
    <n v="3.33"/>
    <n v="173.82403509886802"/>
  </r>
  <r>
    <d v="2018-12-03T00:00:00"/>
    <s v="Canned and dry goods"/>
    <n v="1"/>
    <n v="6"/>
    <n v="7.125"/>
    <s v="KETCHUP POUCH-PK FCY (= 6/10)"/>
    <x v="50"/>
    <x v="1"/>
    <n v="42.75"/>
    <n v="19.391073817500001"/>
    <n v="3.33"/>
    <n v="64.572275812275009"/>
  </r>
  <r>
    <d v="2018-12-05T00:00:00"/>
    <s v="Canned and dry goods"/>
    <n v="2"/>
    <n v="6"/>
    <n v="7.125"/>
    <s v="KETCHUP POUCH-PK FCY (= 6/10)"/>
    <x v="50"/>
    <x v="1"/>
    <n v="85.5"/>
    <n v="38.782147635000001"/>
    <n v="3.33"/>
    <n v="129.14455162455002"/>
  </r>
  <r>
    <d v="2018-11-30T00:00:00"/>
    <s v="Canned and dry goods"/>
    <n v="2"/>
    <n v="2"/>
    <n v="6.5625"/>
    <s v="MUSTARD DIJON PLS JUG"/>
    <x v="50"/>
    <x v="1"/>
    <n v="26.25"/>
    <n v="11.9067997125"/>
    <n v="3.33"/>
    <n v="39.649643042625001"/>
  </r>
  <r>
    <d v="2018-12-05T00:00:00"/>
    <s v="Canned and dry goods"/>
    <n v="1"/>
    <n v="4"/>
    <n v="6.5625"/>
    <s v="MUSTARD YELLOW PLS JUG"/>
    <x v="50"/>
    <x v="1"/>
    <n v="26.25"/>
    <n v="11.9067997125"/>
    <n v="3.33"/>
    <n v="39.649643042625001"/>
  </r>
  <r>
    <d v="2018-11-30T00:00:00"/>
    <s v="Canned and dry goods"/>
    <n v="1"/>
    <n v="6"/>
    <n v="5"/>
    <s v="SAUCE HOISIN"/>
    <x v="50"/>
    <x v="1"/>
    <n v="30"/>
    <n v="13.607771100000001"/>
    <n v="3.33"/>
    <n v="45.313877763000001"/>
  </r>
  <r>
    <d v="2018-12-03T00:00:00"/>
    <s v="Canned and dry goods"/>
    <n v="1"/>
    <n v="4"/>
    <n v="11.480799999999999"/>
    <s v="SAUCE SOY SWEET"/>
    <x v="50"/>
    <x v="1"/>
    <n v="45.923199999999994"/>
    <n v="20.830413125983998"/>
    <n v="3.33"/>
    <n v="69.365275709526713"/>
  </r>
  <r>
    <d v="2018-12-03T00:00:00"/>
    <s v="Canned and dry goods"/>
    <n v="1"/>
    <n v="12"/>
    <n v="1.5625"/>
    <s v="SAUCE CHILI SWEET THAI"/>
    <x v="50"/>
    <x v="1"/>
    <n v="18.75"/>
    <n v="8.5048569375000014"/>
    <n v="3.33"/>
    <n v="28.321173601875007"/>
  </r>
  <r>
    <d v="2018-12-03T00:00:00"/>
    <s v="Canned and dry goods"/>
    <n v="1"/>
    <n v="4"/>
    <n v="11.480799999999999"/>
    <s v="SAUCE SOY LESS SODIUM"/>
    <x v="50"/>
    <x v="1"/>
    <n v="45.923199999999994"/>
    <n v="20.830413125983998"/>
    <n v="3.33"/>
    <n v="69.365275709526713"/>
  </r>
  <r>
    <d v="2018-12-03T00:00:00"/>
    <s v="Canned and dry goods"/>
    <n v="2"/>
    <n v="4"/>
    <n v="13.198399999999998"/>
    <s v="SAUCE PEPPER CAYENNE RED HOT"/>
    <x v="50"/>
    <x v="1"/>
    <n v="105.58719999999998"/>
    <n v="47.893548289663997"/>
    <n v="3.33"/>
    <n v="159.48551580458113"/>
  </r>
  <r>
    <d v="2018-12-05T00:00:00"/>
    <s v="Canned and dry goods"/>
    <n v="1"/>
    <n v="24"/>
    <n v="0.3125"/>
    <s v="SAUCE PEPPER CAYENNE RED HOT"/>
    <x v="50"/>
    <x v="1"/>
    <n v="7.5"/>
    <n v="3.4019427750000002"/>
    <n v="3.33"/>
    <n v="11.32846944075"/>
  </r>
  <r>
    <d v="2018-12-05T00:00:00"/>
    <s v="Canned and dry goods"/>
    <n v="1"/>
    <n v="24"/>
    <n v="0.375"/>
    <s v="SAUCE HOT"/>
    <x v="50"/>
    <x v="1"/>
    <n v="9"/>
    <n v="4.0823313299999997"/>
    <n v="3.33"/>
    <n v="13.594163328899999"/>
  </r>
  <r>
    <d v="2018-12-05T00:00:00"/>
    <s v="Canned and dry goods"/>
    <n v="1"/>
    <n v="12"/>
    <n v="1.5625"/>
    <s v="SAUCE CHILI SWEET THAI"/>
    <x v="50"/>
    <x v="1"/>
    <n v="18.75"/>
    <n v="8.5048569375000014"/>
    <n v="3.33"/>
    <n v="28.321173601875007"/>
  </r>
  <r>
    <d v="2018-12-05T00:00:00"/>
    <s v="Canned and dry goods"/>
    <n v="1"/>
    <n v="12"/>
    <n v="10.4375"/>
    <s v="SAUCE CHILI SRIRACHA"/>
    <x v="50"/>
    <x v="1"/>
    <n v="125.25"/>
    <n v="56.812444342500001"/>
    <n v="3.33"/>
    <n v="189.18543966052502"/>
  </r>
  <r>
    <d v="2018-11-30T00:00:00"/>
    <s v="Canned and dry goods"/>
    <n v="4"/>
    <n v="4"/>
    <n v="7.79"/>
    <s v="MAYONNAISE REAL"/>
    <x v="51"/>
    <x v="2"/>
    <n v="124.64"/>
    <n v="56.535752996799999"/>
    <n v="3.33"/>
    <n v="188.26405747934399"/>
  </r>
  <r>
    <d v="2018-12-05T00:00:00"/>
    <s v="Canned and dry goods"/>
    <n v="3"/>
    <n v="4"/>
    <n v="7.79"/>
    <s v="MAYONNAISE REAL"/>
    <x v="51"/>
    <x v="2"/>
    <n v="93.48"/>
    <n v="42.4018147476"/>
    <n v="3.33"/>
    <n v="141.19804310950801"/>
  </r>
  <r>
    <d v="2018-12-03T00:00:00"/>
    <s v="Frozen"/>
    <n v="3"/>
    <n v="1"/>
    <n v="30"/>
    <s v="CORN WHL KERNEL"/>
    <x v="52"/>
    <x v="1"/>
    <n v="90"/>
    <n v="40.823313300000002"/>
    <n v="0.75700000000000001"/>
    <n v="30.903248168100003"/>
  </r>
  <r>
    <d v="2018-12-05T00:00:00"/>
    <s v="Frozen"/>
    <n v="1"/>
    <n v="1"/>
    <n v="30"/>
    <s v="CORN WHL KERNEL"/>
    <x v="52"/>
    <x v="1"/>
    <n v="30"/>
    <n v="13.607771100000001"/>
    <n v="0.75700000000000001"/>
    <n v="10.3010827227"/>
  </r>
  <r>
    <d v="2018-11-30T00:00:00"/>
    <s v="Meats"/>
    <n v="12"/>
    <n v="1"/>
    <n v="10"/>
    <s v="CORN DOG ALL MEAT MINI 240/.67"/>
    <x v="53"/>
    <x v="0"/>
    <n v="120"/>
    <n v="54.431084400000003"/>
    <n v="32.845999999999997"/>
    <n v="1787.8433982023998"/>
  </r>
  <r>
    <d v="2018-12-05T00:00:00"/>
    <s v="Canned and dry goods"/>
    <n v="1"/>
    <n v="12"/>
    <s v="12 CT"/>
    <s v="CEREAL HOT GRITS QUICK"/>
    <x v="54"/>
    <x v="1"/>
    <n v="0"/>
    <n v="0"/>
    <n v="0.55000000000000004"/>
    <n v="0"/>
  </r>
  <r>
    <d v="2018-12-03T00:00:00"/>
    <s v="Canned and dry goods"/>
    <n v="1"/>
    <n v="1"/>
    <n v="25"/>
    <s v="CORN MEAL WHITE"/>
    <x v="54"/>
    <x v="1"/>
    <n v="25"/>
    <n v="11.33980925"/>
    <n v="0.55000000000000004"/>
    <n v="6.2368950875000007"/>
  </r>
  <r>
    <d v="2018-12-03T00:00:00"/>
    <s v="Canned and dry goods"/>
    <n v="1"/>
    <n v="6"/>
    <n v="5"/>
    <s v="MIX CORNBREAD SOTHRN STY CMPLT"/>
    <x v="54"/>
    <x v="1"/>
    <n v="30"/>
    <n v="13.607771100000001"/>
    <n v="0.55000000000000004"/>
    <n v="7.4842741050000008"/>
  </r>
  <r>
    <d v="2018-12-05T00:00:00"/>
    <s v="Canned and dry goods"/>
    <n v="1"/>
    <n v="24"/>
    <n v="1"/>
    <s v="CORN STARCH"/>
    <x v="55"/>
    <x v="1"/>
    <n v="24"/>
    <n v="10.886216880000001"/>
    <n v="0.76"/>
    <n v="8.2735248288000012"/>
  </r>
  <r>
    <d v="2018-11-30T00:00:00"/>
    <s v="Canned and dry goods"/>
    <n v="2"/>
    <n v="24"/>
    <n v="1"/>
    <s v="CORN STARCH"/>
    <x v="55"/>
    <x v="1"/>
    <n v="48"/>
    <n v="21.772433760000002"/>
    <n v="0.76"/>
    <n v="16.547049657600002"/>
  </r>
  <r>
    <d v="2018-12-05T00:00:00"/>
    <s v="Canned and dry goods"/>
    <n v="1"/>
    <n v="500"/>
    <s v="2pk"/>
    <s v="CRACKER SALTINE ZESTA"/>
    <x v="57"/>
    <x v="1"/>
    <n v="0"/>
    <n v="0"/>
    <n v="2.5299999999999998"/>
    <n v="0"/>
  </r>
  <r>
    <d v="2018-12-05T00:00:00"/>
    <s v="Canned and dry goods"/>
    <n v="1"/>
    <n v="150"/>
    <n v="3.125E-2"/>
    <s v="CRACKER OYSTER DOTS"/>
    <x v="57"/>
    <x v="1"/>
    <n v="4.6875"/>
    <n v="2.1262142343750003"/>
    <n v="2.5299999999999998"/>
    <n v="5.3793220129687507"/>
  </r>
  <r>
    <d v="2018-12-03T00:00:00"/>
    <s v="Canned and dry goods"/>
    <n v="1"/>
    <n v="1"/>
    <n v="10"/>
    <s v="CRANBERRY DRIED CRAISINS"/>
    <x v="58"/>
    <x v="1"/>
    <n v="10"/>
    <n v="4.5359237000000006"/>
    <n v="1.4179999999999999"/>
    <n v="6.4319398066000009"/>
  </r>
  <r>
    <d v="2018-11-30T00:00:00"/>
    <s v="Dairy Products"/>
    <n v="1"/>
    <n v="1"/>
    <n v="2"/>
    <s v="CREAM SOUR SEL 13%"/>
    <x v="59"/>
    <x v="2"/>
    <n v="2"/>
    <n v="0.90718474000000004"/>
    <n v="5.32"/>
    <n v="4.8262228168000005"/>
  </r>
  <r>
    <d v="2018-12-05T00:00:00"/>
    <s v="Dairy Products"/>
    <n v="1"/>
    <n v="1"/>
    <n v="2"/>
    <s v="CREAM SOUR SEL 13%"/>
    <x v="59"/>
    <x v="2"/>
    <n v="2"/>
    <n v="0.90718474000000004"/>
    <n v="5.32"/>
    <n v="4.8262228168000005"/>
  </r>
  <r>
    <d v="2018-09-29T00:00:00"/>
    <s v="Royal"/>
    <n v="2"/>
    <n v="1"/>
    <n v="55.555555555555557"/>
    <s v="cucumber"/>
    <x v="60"/>
    <x v="1"/>
    <n v="111.11111111111111"/>
    <n v="50.399152222222227"/>
    <n v="0.40899999999999997"/>
    <n v="20.613253258888889"/>
  </r>
  <r>
    <d v="2018-09-28T00:00:00"/>
    <s v="Royal"/>
    <n v="2"/>
    <n v="1"/>
    <n v="55.555555555555557"/>
    <s v="cucumber"/>
    <x v="60"/>
    <x v="1"/>
    <n v="111.11111111111111"/>
    <n v="50.399152222222227"/>
    <n v="0.40899999999999997"/>
    <n v="20.613253258888889"/>
  </r>
  <r>
    <d v="2018-10-01T00:00:00"/>
    <s v="Royal"/>
    <n v="1"/>
    <n v="1"/>
    <n v="55.555555555555557"/>
    <s v="cucumber"/>
    <x v="60"/>
    <x v="1"/>
    <n v="55.555555555555557"/>
    <n v="25.199576111111114"/>
    <n v="0.40899999999999997"/>
    <n v="10.306626629444445"/>
  </r>
  <r>
    <d v="2018-10-04T00:00:00"/>
    <s v="Royal"/>
    <n v="1"/>
    <n v="1"/>
    <n v="55.555555555555557"/>
    <s v="Cucumber "/>
    <x v="60"/>
    <x v="1"/>
    <n v="55.555555555555557"/>
    <n v="25.199576111111114"/>
    <n v="0.40899999999999997"/>
    <n v="10.306626629444445"/>
  </r>
  <r>
    <d v="2018-12-05T00:00:00"/>
    <s v="Canned and dry goods"/>
    <n v="2"/>
    <n v="4"/>
    <n v="8.35"/>
    <s v="PICKLE SLI DILL HAM SC 1/8 PLS"/>
    <x v="60"/>
    <x v="1"/>
    <n v="66.8"/>
    <n v="30.299970316"/>
    <n v="0.40899999999999997"/>
    <n v="12.392687859243999"/>
  </r>
  <r>
    <d v="2018-10-03T00:00:00"/>
    <s v="Royal"/>
    <n v="1"/>
    <n v="1"/>
    <n v="0.25"/>
    <s v="dill herbs"/>
    <x v="61"/>
    <x v="1"/>
    <n v="0.25"/>
    <n v="0.11339809250000001"/>
    <n v="0.87"/>
    <n v="9.8656340475000007E-2"/>
  </r>
  <r>
    <d v="2018-11-30T00:00:00"/>
    <s v="Dairy Products"/>
    <n v="12"/>
    <n v="2"/>
    <n v="20"/>
    <s v="EGG LIQ WHL CAGE FREE W/CITRIC"/>
    <x v="62"/>
    <x v="2"/>
    <n v="480"/>
    <n v="217.72433760000001"/>
    <n v="3.754"/>
    <n v="817.33716335040003"/>
  </r>
  <r>
    <d v="2018-11-30T00:00:00"/>
    <s v="Dairy Products"/>
    <n v="1"/>
    <n v="15"/>
    <n v="2"/>
    <s v="EGG WHITE CAGE FREE LIQ"/>
    <x v="62"/>
    <x v="2"/>
    <n v="30"/>
    <n v="13.607771100000001"/>
    <n v="3.754"/>
    <n v="51.083572709400002"/>
  </r>
  <r>
    <d v="2018-11-30T00:00:00"/>
    <s v="Dairy Products"/>
    <n v="2"/>
    <n v="15"/>
    <n v="1.5"/>
    <s v="EGG SHELL CG FR LG HFAC GR A"/>
    <x v="62"/>
    <x v="2"/>
    <n v="45"/>
    <n v="20.411656650000001"/>
    <n v="3.754"/>
    <n v="76.62535906410001"/>
  </r>
  <r>
    <d v="2018-12-03T00:00:00"/>
    <s v="Dairy Products"/>
    <n v="13"/>
    <n v="2"/>
    <n v="20"/>
    <s v="EGG LIQ WHL CAGE FREE W/CITRIC"/>
    <x v="62"/>
    <x v="2"/>
    <n v="520"/>
    <n v="235.8680324"/>
    <n v="3.754"/>
    <n v="885.44859362960005"/>
  </r>
  <r>
    <d v="2018-12-03T00:00:00"/>
    <s v="Dairy Products"/>
    <n v="2"/>
    <n v="15"/>
    <n v="2"/>
    <s v="EGG WHITE CAGE FREE LIQ"/>
    <x v="62"/>
    <x v="2"/>
    <n v="60"/>
    <n v="27.215542200000002"/>
    <n v="3.754"/>
    <n v="102.1671454188"/>
  </r>
  <r>
    <d v="2018-12-05T00:00:00"/>
    <s v="Dairy Products"/>
    <n v="8"/>
    <n v="2"/>
    <n v="20"/>
    <s v="EGG LIQ WHL CAGE FREE W/CITRIC"/>
    <x v="62"/>
    <x v="2"/>
    <n v="320"/>
    <n v="145.14955840000002"/>
    <n v="3.754"/>
    <n v="544.89144223360006"/>
  </r>
  <r>
    <d v="2018-12-05T00:00:00"/>
    <s v="Dairy Products"/>
    <n v="2"/>
    <n v="15"/>
    <n v="2"/>
    <s v="EGG WHITE CAGE FREE LIQ"/>
    <x v="62"/>
    <x v="2"/>
    <n v="60"/>
    <n v="27.215542200000002"/>
    <n v="3.754"/>
    <n v="102.1671454188"/>
  </r>
  <r>
    <d v="2018-12-05T00:00:00"/>
    <s v="Dairy Products"/>
    <n v="4"/>
    <n v="15"/>
    <n v="1.5"/>
    <s v="EGG SHELL CG FR LG HFAC GR A"/>
    <x v="62"/>
    <x v="2"/>
    <n v="90"/>
    <n v="40.823313300000002"/>
    <n v="3.754"/>
    <n v="153.25071812820002"/>
  </r>
  <r>
    <d v="2018-09-28T00:00:00"/>
    <s v="Royal"/>
    <n v="1"/>
    <n v="1"/>
    <n v="38.888888888888893"/>
    <s v="eggplant"/>
    <x v="63"/>
    <x v="1"/>
    <n v="38.888888888888893"/>
    <n v="17.63970327777778"/>
    <n v="0.52600000000000002"/>
    <n v="9.2784839241111126"/>
  </r>
  <r>
    <d v="2018-09-28T00:00:00"/>
    <s v="Royal"/>
    <n v="1"/>
    <n v="1"/>
    <n v="38.888888888888893"/>
    <s v="eggplant"/>
    <x v="63"/>
    <x v="1"/>
    <n v="38.888888888888893"/>
    <n v="17.63970327777778"/>
    <n v="0.52600000000000002"/>
    <n v="9.2784839241111126"/>
  </r>
  <r>
    <d v="2018-10-02T00:00:00"/>
    <s v="Royal"/>
    <n v="1"/>
    <n v="1"/>
    <n v="38.888888888888893"/>
    <s v="eggplant"/>
    <x v="63"/>
    <x v="1"/>
    <n v="38.888888888888893"/>
    <n v="17.63970327777778"/>
    <n v="0.52600000000000002"/>
    <n v="9.2784839241111126"/>
  </r>
  <r>
    <d v="2018-10-03T00:00:00"/>
    <s v="Royal"/>
    <n v="2"/>
    <n v="1"/>
    <n v="38.888888888888893"/>
    <s v="eggplant"/>
    <x v="63"/>
    <x v="1"/>
    <n v="77.777777777777786"/>
    <n v="35.27940655555556"/>
    <n v="0.52600000000000002"/>
    <n v="18.556967848222225"/>
  </r>
  <r>
    <d v="2018-10-04T00:00:00"/>
    <s v="Royal"/>
    <n v="1"/>
    <n v="1"/>
    <n v="38.888888888888893"/>
    <s v="Eggplant "/>
    <x v="63"/>
    <x v="1"/>
    <n v="38.888888888888893"/>
    <n v="17.63970327777778"/>
    <n v="0.52600000000000002"/>
    <n v="9.2784839241111126"/>
  </r>
  <r>
    <d v="2018-11-30T00:00:00"/>
    <s v="Seafood"/>
    <n v="6"/>
    <n v="1"/>
    <n v="10"/>
    <s v="POLLOCK FLT IQF 4-6OZ CHN"/>
    <x v="64"/>
    <x v="0"/>
    <n v="60"/>
    <n v="27.215542200000002"/>
    <n v="3.0209999999999999"/>
    <n v="82.218152986199996"/>
  </r>
  <r>
    <d v="2018-11-30T00:00:00"/>
    <s v="Seafood"/>
    <n v="8"/>
    <n v="1"/>
    <n v="10"/>
    <s v="COD LOIN 4OZ IQF MSC"/>
    <x v="64"/>
    <x v="0"/>
    <n v="80"/>
    <n v="36.287389600000004"/>
    <n v="3.0209999999999999"/>
    <n v="109.6242039816"/>
  </r>
  <r>
    <d v="2018-12-03T00:00:00"/>
    <s v="Seafood"/>
    <n v="10"/>
    <n v="1"/>
    <n v="10"/>
    <s v="POLLOCK FLT IQF 4-6OZ CHN"/>
    <x v="64"/>
    <x v="0"/>
    <n v="100"/>
    <n v="45.359237"/>
    <n v="3.0209999999999999"/>
    <n v="137.030254977"/>
  </r>
  <r>
    <d v="2018-12-03T00:00:00"/>
    <s v="Seafood"/>
    <n v="5"/>
    <n v="1"/>
    <n v="10"/>
    <s v="COD LOIN 4OZ IQF MSC"/>
    <x v="64"/>
    <x v="0"/>
    <n v="50"/>
    <n v="22.6796185"/>
    <n v="3.0209999999999999"/>
    <n v="68.515127488499999"/>
  </r>
  <r>
    <d v="2018-12-03T00:00:00"/>
    <s v="Seafood"/>
    <n v="4"/>
    <n v="1"/>
    <n v="15"/>
    <s v="PANGASIUS FILLET IQF 3-0.3125"/>
    <x v="64"/>
    <x v="0"/>
    <n v="60"/>
    <n v="27.215542200000002"/>
    <n v="3.0209999999999999"/>
    <n v="82.218152986199996"/>
  </r>
  <r>
    <d v="2018-12-05T00:00:00"/>
    <s v="Seafood"/>
    <n v="1"/>
    <n v="1"/>
    <n v="10"/>
    <s v="POLLOCK FLT IQF 4-6OZ CHN"/>
    <x v="64"/>
    <x v="0"/>
    <n v="10"/>
    <n v="4.5359237000000006"/>
    <n v="3.0209999999999999"/>
    <n v="13.703025497700001"/>
  </r>
  <r>
    <d v="2018-12-05T00:00:00"/>
    <s v="Seafood"/>
    <n v="8"/>
    <n v="1"/>
    <n v="15"/>
    <s v="PANGASIUS FILLET IQF 3-0.3125"/>
    <x v="64"/>
    <x v="0"/>
    <n v="120"/>
    <n v="54.431084400000003"/>
    <n v="3.0209999999999999"/>
    <n v="164.43630597239999"/>
  </r>
  <r>
    <d v="2018-11-30T00:00:00"/>
    <s v="Canned and dry goods"/>
    <n v="6"/>
    <n v="1"/>
    <n v="50"/>
    <s v="FLOUR HI-GLUTEN ALL TRUMP"/>
    <x v="65"/>
    <x v="1"/>
    <n v="300"/>
    <n v="136.07771100000002"/>
    <n v="0.35799999999999998"/>
    <n v="48.715820538000003"/>
  </r>
  <r>
    <d v="2018-11-30T00:00:00"/>
    <s v="Canned and dry goods"/>
    <n v="4"/>
    <n v="1"/>
    <n v="25"/>
    <s v="FLOUR H&amp; R ALL PURP ENRICH BLCH"/>
    <x v="65"/>
    <x v="1"/>
    <n v="100"/>
    <n v="45.359237"/>
    <n v="0.35799999999999998"/>
    <n v="16.238606846"/>
  </r>
  <r>
    <d v="2018-12-03T00:00:00"/>
    <s v="Canned and dry goods"/>
    <n v="1"/>
    <n v="1"/>
    <n v="50"/>
    <s v="FLOUR HI-GLUTEN ALL TRUMP"/>
    <x v="65"/>
    <x v="1"/>
    <n v="50"/>
    <n v="22.6796185"/>
    <n v="0.35799999999999998"/>
    <n v="8.1193034229999999"/>
  </r>
  <r>
    <d v="2018-12-05T00:00:00"/>
    <s v="Canned and dry goods"/>
    <n v="5"/>
    <n v="1"/>
    <n v="50"/>
    <s v="FLOUR HI-GLUTEN ALL TRUMP"/>
    <x v="65"/>
    <x v="1"/>
    <n v="250"/>
    <n v="113.3980925"/>
    <n v="0.35799999999999998"/>
    <n v="40.596517114999997"/>
  </r>
  <r>
    <d v="2018-09-28T00:00:00"/>
    <s v="Royal"/>
    <n v="1"/>
    <n v="1"/>
    <n v="18.16"/>
    <s v="garlic"/>
    <x v="66"/>
    <x v="1"/>
    <n v="18.16"/>
    <n v="8.2372374392000012"/>
    <n v="0.74299999999999999"/>
    <n v="6.1202674173256009"/>
  </r>
  <r>
    <d v="2018-10-01T00:00:00"/>
    <s v="Royal"/>
    <n v="1"/>
    <n v="1"/>
    <n v="18.16"/>
    <s v="garlic"/>
    <x v="66"/>
    <x v="1"/>
    <n v="18.16"/>
    <n v="8.2372374392000012"/>
    <n v="0.74299999999999999"/>
    <n v="6.1202674173256009"/>
  </r>
  <r>
    <d v="2018-10-03T00:00:00"/>
    <s v="Royal"/>
    <n v="1"/>
    <n v="1"/>
    <n v="18.16"/>
    <s v="garlic"/>
    <x v="66"/>
    <x v="1"/>
    <n v="18.16"/>
    <n v="8.2372374392000012"/>
    <n v="0.74299999999999999"/>
    <n v="6.1202674173256009"/>
  </r>
  <r>
    <d v="2018-09-28T00:00:00"/>
    <s v="Royal"/>
    <n v="2"/>
    <n v="1"/>
    <n v="25"/>
    <s v="ginger"/>
    <x v="67"/>
    <x v="1"/>
    <n v="50"/>
    <n v="22.6796185"/>
    <n v="0.95"/>
    <n v="21.545637575000001"/>
  </r>
  <r>
    <d v="2018-10-01T00:00:00"/>
    <s v="Royal"/>
    <n v="2"/>
    <n v="1"/>
    <n v="25"/>
    <s v="ginger"/>
    <x v="67"/>
    <x v="1"/>
    <n v="50"/>
    <n v="22.6796185"/>
    <n v="0.95"/>
    <n v="21.545637575000001"/>
  </r>
  <r>
    <d v="2018-09-28T00:00:00"/>
    <s v="Royal"/>
    <n v="5"/>
    <n v="1"/>
    <n v="18"/>
    <s v="red grape"/>
    <x v="68"/>
    <x v="1"/>
    <n v="90"/>
    <n v="40.823313300000002"/>
    <n v="0.47799999999999998"/>
    <n v="19.513543757400001"/>
  </r>
  <r>
    <d v="2018-10-01T00:00:00"/>
    <s v="Royal"/>
    <n v="8"/>
    <n v="1"/>
    <n v="18"/>
    <s v="red grape"/>
    <x v="68"/>
    <x v="1"/>
    <n v="144"/>
    <n v="65.317301279999995"/>
    <n v="0.47799999999999998"/>
    <n v="31.221670011839997"/>
  </r>
  <r>
    <d v="2018-10-04T00:00:00"/>
    <s v="Royal"/>
    <n v="4"/>
    <n v="1"/>
    <n v="18"/>
    <s v="Grape "/>
    <x v="68"/>
    <x v="1"/>
    <n v="72"/>
    <n v="32.658650639999998"/>
    <n v="0.47799999999999998"/>
    <n v="15.610835005919999"/>
  </r>
  <r>
    <d v="2018-11-30T00:00:00"/>
    <s v="Canned and dry goods"/>
    <n v="2"/>
    <n v="8"/>
    <n v="5"/>
    <s v="CEREAL HOT GRITS QUICK"/>
    <x v="70"/>
    <x v="1"/>
    <n v="80"/>
    <n v="36.287389600000004"/>
    <n v="0.55000000000000004"/>
    <n v="19.958064280000006"/>
  </r>
  <r>
    <d v="2018-09-28T00:00:00"/>
    <s v="Royal"/>
    <n v="1"/>
    <n v="1"/>
    <n v="1"/>
    <s v="oregano herbs"/>
    <x v="152"/>
    <x v="1"/>
    <n v="1"/>
    <n v="0.45359237000000002"/>
    <n v="0.221"/>
    <n v="0.10024391377000001"/>
  </r>
  <r>
    <d v="2018-09-28T00:00:00"/>
    <s v="Royal"/>
    <n v="1"/>
    <n v="1"/>
    <n v="1"/>
    <s v="rosemary herbs"/>
    <x v="152"/>
    <x v="1"/>
    <n v="1"/>
    <n v="0.45359237000000002"/>
    <n v="0.221"/>
    <n v="0.10024391377000001"/>
  </r>
  <r>
    <d v="2018-09-28T00:00:00"/>
    <s v="Royal"/>
    <n v="1"/>
    <n v="1"/>
    <n v="1"/>
    <s v="thyme herbs"/>
    <x v="152"/>
    <x v="1"/>
    <n v="1"/>
    <n v="0.45359237000000002"/>
    <n v="0.221"/>
    <n v="0.10024391377000001"/>
  </r>
  <r>
    <d v="2018-09-29T00:00:00"/>
    <s v="Royal"/>
    <n v="1"/>
    <n v="1"/>
    <n v="0.75"/>
    <s v="thyme herb"/>
    <x v="152"/>
    <x v="1"/>
    <n v="0.75"/>
    <n v="0.34019427750000003"/>
    <n v="0.221"/>
    <n v="7.5182935327500006E-2"/>
  </r>
  <r>
    <d v="2018-10-03T00:00:00"/>
    <s v="Royal"/>
    <n v="1"/>
    <n v="1"/>
    <n v="1"/>
    <s v="rosemary hrbs"/>
    <x v="152"/>
    <x v="1"/>
    <n v="1"/>
    <n v="0.45359237000000002"/>
    <n v="0.221"/>
    <n v="0.10024391377000001"/>
  </r>
  <r>
    <d v="2018-09-29T00:00:00"/>
    <s v="Royal"/>
    <n v="1"/>
    <n v="1"/>
    <n v="1"/>
    <s v="thyme"/>
    <x v="74"/>
    <x v="1"/>
    <n v="1"/>
    <n v="0.45359237000000002"/>
    <n v="0.221"/>
    <n v="0.10024391377000001"/>
  </r>
  <r>
    <d v="2018-12-03T00:00:00"/>
    <s v="Canned and dry goods"/>
    <n v="1"/>
    <n v="6"/>
    <n v="5"/>
    <s v="HONEY LIGHT AMBER"/>
    <x v="75"/>
    <x v="1"/>
    <n v="30"/>
    <n v="13.607771100000001"/>
    <n v="2.44"/>
    <n v="33.202961483999999"/>
  </r>
  <r>
    <d v="2018-12-05T00:00:00"/>
    <s v="Canned and dry goods"/>
    <n v="1"/>
    <n v="6"/>
    <n v="5"/>
    <s v="HONEY LIGHT AMBER"/>
    <x v="75"/>
    <x v="1"/>
    <n v="30"/>
    <n v="13.607771100000001"/>
    <n v="2.44"/>
    <n v="33.202961483999999"/>
  </r>
  <r>
    <d v="2018-09-29T00:00:00"/>
    <s v="Royal"/>
    <n v="5"/>
    <n v="1"/>
    <n v="32"/>
    <s v="honeydew"/>
    <x v="76"/>
    <x v="1"/>
    <n v="160"/>
    <n v="72.574779200000009"/>
    <n v="0.28399999999999997"/>
    <n v="20.611237292800002"/>
  </r>
  <r>
    <d v="2018-09-28T00:00:00"/>
    <s v="Royal"/>
    <n v="8"/>
    <n v="1"/>
    <n v="32"/>
    <s v="honeydew"/>
    <x v="76"/>
    <x v="1"/>
    <n v="256"/>
    <n v="116.11964672000001"/>
    <n v="0.28399999999999997"/>
    <n v="32.977979668479996"/>
  </r>
  <r>
    <d v="2018-10-01T00:00:00"/>
    <s v="Royal"/>
    <n v="8"/>
    <n v="1"/>
    <n v="32"/>
    <s v="honeydew"/>
    <x v="76"/>
    <x v="1"/>
    <n v="256"/>
    <n v="116.11964672000001"/>
    <n v="0.28399999999999997"/>
    <n v="32.977979668479996"/>
  </r>
  <r>
    <d v="2018-10-03T00:00:00"/>
    <s v="Royal"/>
    <n v="7"/>
    <n v="1"/>
    <n v="32"/>
    <s v="honeydew"/>
    <x v="76"/>
    <x v="1"/>
    <n v="224"/>
    <n v="101.60469088000001"/>
    <n v="0.28399999999999997"/>
    <n v="28.855732209919999"/>
  </r>
  <r>
    <d v="2018-10-04T00:00:00"/>
    <s v="Royal"/>
    <n v="8"/>
    <n v="1"/>
    <n v="32"/>
    <s v="Honeydew "/>
    <x v="76"/>
    <x v="1"/>
    <n v="256"/>
    <n v="116.11964672000001"/>
    <n v="0.28399999999999997"/>
    <n v="32.977979668479996"/>
  </r>
  <r>
    <d v="2018-11-30T00:00:00"/>
    <s v="Dairy Products"/>
    <n v="4"/>
    <n v="1"/>
    <n v="25.799999999999997"/>
    <s v="ICE CREAM VAN BEAN"/>
    <x v="77"/>
    <x v="2"/>
    <n v="103.19999999999999"/>
    <n v="46.810732584"/>
    <n v="3.84"/>
    <n v="179.75321312256"/>
  </r>
  <r>
    <d v="2018-11-30T00:00:00"/>
    <s v="Dairy Products"/>
    <n v="4"/>
    <n v="1"/>
    <n v="25.799999999999997"/>
    <s v="ICE CREAM CHOC"/>
    <x v="77"/>
    <x v="2"/>
    <n v="103.19999999999999"/>
    <n v="46.810732584"/>
    <n v="3.84"/>
    <n v="179.75321312256"/>
  </r>
  <r>
    <d v="2018-11-30T00:00:00"/>
    <s v="Dairy Products"/>
    <n v="4"/>
    <n v="1"/>
    <n v="25.799999999999997"/>
    <s v="ICE CREAM BIRTHDAY CAKE"/>
    <x v="77"/>
    <x v="2"/>
    <n v="103.19999999999999"/>
    <n v="46.810732584"/>
    <n v="3.84"/>
    <n v="179.75321312256"/>
  </r>
  <r>
    <d v="2018-12-05T00:00:00"/>
    <s v="Dairy Products"/>
    <n v="2"/>
    <n v="1"/>
    <n v="25.799999999999997"/>
    <s v="ICE CREAM COOKIES &amp;  CRM"/>
    <x v="77"/>
    <x v="2"/>
    <n v="51.599999999999994"/>
    <n v="23.405366292"/>
    <n v="3.84"/>
    <n v="89.876606561279999"/>
  </r>
  <r>
    <d v="2018-12-05T00:00:00"/>
    <s v="Dairy Products"/>
    <n v="2"/>
    <n v="1"/>
    <n v="25.799999999999997"/>
    <s v="ICE CREAM JUST PEACHY"/>
    <x v="77"/>
    <x v="2"/>
    <n v="51.599999999999994"/>
    <n v="23.405366292"/>
    <n v="3.84"/>
    <n v="89.876606561279999"/>
  </r>
  <r>
    <d v="2018-12-05T00:00:00"/>
    <s v="Dairy Products"/>
    <n v="3"/>
    <n v="1"/>
    <n v="25.799999999999997"/>
    <s v="ICE CREAM STWBRY"/>
    <x v="77"/>
    <x v="2"/>
    <n v="77.399999999999991"/>
    <n v="35.108049437999995"/>
    <n v="3.84"/>
    <n v="134.81490984191998"/>
  </r>
  <r>
    <d v="2018-12-05T00:00:00"/>
    <s v="Dairy Products"/>
    <n v="3"/>
    <n v="1"/>
    <n v="25.799999999999997"/>
    <s v="ICE CREAM CHOC"/>
    <x v="77"/>
    <x v="2"/>
    <n v="77.399999999999991"/>
    <n v="35.108049437999995"/>
    <n v="3.84"/>
    <n v="134.81490984191998"/>
  </r>
  <r>
    <d v="2018-12-05T00:00:00"/>
    <s v="Dairy Products"/>
    <n v="3"/>
    <n v="1"/>
    <n v="25.799999999999997"/>
    <s v="ICE CREAM FRCH VAN"/>
    <x v="77"/>
    <x v="2"/>
    <n v="77.399999999999991"/>
    <n v="35.108049437999995"/>
    <n v="3.84"/>
    <n v="134.81490984191998"/>
  </r>
  <r>
    <d v="2018-11-30T00:00:00"/>
    <s v="Canned and dry goods"/>
    <n v="1"/>
    <n v="6"/>
    <n v="4"/>
    <s v="JELLY GRAPE"/>
    <x v="78"/>
    <x v="1"/>
    <n v="24"/>
    <n v="10.886216880000001"/>
    <n v="3.25"/>
    <n v="35.380204860000006"/>
  </r>
  <r>
    <d v="2018-12-05T00:00:00"/>
    <s v="Canned and dry goods"/>
    <n v="1"/>
    <n v="6"/>
    <n v="4"/>
    <s v="JELLY GRAPE"/>
    <x v="78"/>
    <x v="1"/>
    <n v="24"/>
    <n v="10.886216880000001"/>
    <n v="3.25"/>
    <n v="35.380204860000006"/>
  </r>
  <r>
    <d v="2018-09-28T00:00:00"/>
    <s v="Georgia Halal Meat"/>
    <n v="1"/>
    <n v="1"/>
    <n v="52.2"/>
    <s v="lamb k"/>
    <x v="80"/>
    <x v="0"/>
    <n v="52.2"/>
    <n v="23.677521714000004"/>
    <n v="34.744999999999997"/>
    <n v="822.67549195293009"/>
  </r>
  <r>
    <d v="2018-09-28T00:00:00"/>
    <s v="Georgia Halal Meat"/>
    <n v="1"/>
    <n v="1"/>
    <n v="70.489999999999995"/>
    <s v="lamb bot"/>
    <x v="80"/>
    <x v="0"/>
    <n v="70.489999999999995"/>
    <n v="31.973726161299997"/>
    <n v="34.744999999999997"/>
    <n v="1110.9271154743683"/>
  </r>
  <r>
    <d v="2018-09-29T00:00:00"/>
    <s v="Royal"/>
    <n v="1"/>
    <n v="1"/>
    <n v="25.44"/>
    <s v="lemon juice"/>
    <x v="82"/>
    <x v="1"/>
    <n v="25.44"/>
    <n v="11.539389892800003"/>
    <n v="0.33200000000000002"/>
    <n v="3.8310774444096012"/>
  </r>
  <r>
    <d v="2018-09-28T00:00:00"/>
    <s v="Royal"/>
    <n v="1"/>
    <n v="1"/>
    <n v="25.44"/>
    <s v="lemon juice"/>
    <x v="82"/>
    <x v="1"/>
    <n v="25.44"/>
    <n v="11.539389892800003"/>
    <n v="0.33200000000000002"/>
    <n v="3.8310774444096012"/>
  </r>
  <r>
    <d v="2018-09-28T00:00:00"/>
    <s v="Royal"/>
    <n v="2"/>
    <n v="1"/>
    <n v="10"/>
    <s v="green lettuce"/>
    <x v="83"/>
    <x v="1"/>
    <n v="20"/>
    <n v="9.0718474000000011"/>
    <n v="0.22"/>
    <n v="1.9958064280000003"/>
  </r>
  <r>
    <d v="2018-09-29T00:00:00"/>
    <s v="Royal"/>
    <n v="1"/>
    <n v="1"/>
    <n v="10"/>
    <s v="green lettuce"/>
    <x v="83"/>
    <x v="1"/>
    <n v="10"/>
    <n v="4.5359237000000006"/>
    <n v="0.22"/>
    <n v="0.99790321400000015"/>
  </r>
  <r>
    <d v="2018-10-04T00:00:00"/>
    <s v="Royal"/>
    <n v="2"/>
    <n v="1"/>
    <n v="10"/>
    <s v="Lettuce "/>
    <x v="83"/>
    <x v="1"/>
    <n v="20"/>
    <n v="9.0718474000000011"/>
    <n v="0.22"/>
    <n v="1.9958064280000003"/>
  </r>
  <r>
    <d v="2018-09-29T00:00:00"/>
    <s v="Royal"/>
    <n v="3"/>
    <n v="1"/>
    <n v="48"/>
    <s v="romaine hearts"/>
    <x v="83"/>
    <x v="1"/>
    <n v="144"/>
    <n v="65.317301279999995"/>
    <n v="0.158"/>
    <n v="10.320133602239999"/>
  </r>
  <r>
    <d v="2018-09-28T00:00:00"/>
    <s v="Royal"/>
    <n v="4"/>
    <n v="1"/>
    <n v="48"/>
    <s v="romaine hearts"/>
    <x v="83"/>
    <x v="1"/>
    <n v="192"/>
    <n v="87.089735040000008"/>
    <n v="0.158"/>
    <n v="13.760178136320002"/>
  </r>
  <r>
    <d v="2018-10-03T00:00:00"/>
    <s v="Royal"/>
    <n v="3"/>
    <n v="1"/>
    <n v="48"/>
    <s v="romaine hearts"/>
    <x v="83"/>
    <x v="1"/>
    <n v="144"/>
    <n v="65.317301279999995"/>
    <n v="0.158"/>
    <n v="10.320133602239999"/>
  </r>
  <r>
    <d v="2018-10-04T00:00:00"/>
    <s v="Royal"/>
    <n v="2"/>
    <n v="1"/>
    <n v="48"/>
    <s v="Romaine Hearts "/>
    <x v="83"/>
    <x v="1"/>
    <n v="96"/>
    <n v="43.544867520000004"/>
    <n v="0.158"/>
    <n v="6.8800890681600011"/>
  </r>
  <r>
    <d v="2018-09-29T00:00:00"/>
    <s v="Royal"/>
    <n v="1"/>
    <n v="1"/>
    <n v="10"/>
    <s v="green lettuce"/>
    <x v="153"/>
    <x v="1"/>
    <n v="10"/>
    <n v="4.5359237000000006"/>
    <n v="0.22"/>
    <n v="0.99790321400000015"/>
  </r>
  <r>
    <d v="2018-09-28T00:00:00"/>
    <s v="Royal"/>
    <n v="1"/>
    <n v="1"/>
    <n v="25.619999999999997"/>
    <s v="lime juice"/>
    <x v="84"/>
    <x v="1"/>
    <n v="25.619999999999997"/>
    <n v="11.621036519399999"/>
    <n v="1.9430000000000001"/>
    <n v="22.579673957194199"/>
  </r>
  <r>
    <d v="2018-10-01T00:00:00"/>
    <s v="Mayfield Dairy"/>
    <n v="12"/>
    <n v="1"/>
    <n v="43"/>
    <s v="5gl homo disp"/>
    <x v="86"/>
    <x v="2"/>
    <n v="516"/>
    <n v="234.05366291999999"/>
    <n v="1.23"/>
    <n v="287.88600539160001"/>
  </r>
  <r>
    <d v="2018-10-01T00:00:00"/>
    <s v="Mayfield Dairy"/>
    <n v="3"/>
    <n v="1"/>
    <n v="43"/>
    <s v="5gl 2%"/>
    <x v="86"/>
    <x v="2"/>
    <n v="129"/>
    <n v="58.513415729999998"/>
    <n v="1.23"/>
    <n v="71.971501347900002"/>
  </r>
  <r>
    <d v="2018-10-01T00:00:00"/>
    <s v="Mayfield Dairy"/>
    <n v="5"/>
    <n v="1"/>
    <n v="43"/>
    <s v="5gl true moo choc"/>
    <x v="86"/>
    <x v="2"/>
    <n v="215"/>
    <n v="97.522359550000004"/>
    <n v="1.23"/>
    <n v="119.9525022465"/>
  </r>
  <r>
    <d v="2018-10-01T00:00:00"/>
    <s v="Mayfield Dairy"/>
    <n v="4"/>
    <n v="1"/>
    <n v="8.6"/>
    <s v="1gl buttermilk"/>
    <x v="86"/>
    <x v="2"/>
    <n v="34.4"/>
    <n v="15.603577528000001"/>
    <n v="1.23"/>
    <n v="19.192400359440001"/>
  </r>
  <r>
    <d v="2018-10-04T00:00:00"/>
    <s v="Mayfield Dairy"/>
    <n v="8"/>
    <n v="1"/>
    <n v="43"/>
    <s v="5gl homo disp"/>
    <x v="86"/>
    <x v="2"/>
    <n v="344"/>
    <n v="156.03577528"/>
    <n v="1.23"/>
    <n v="191.92400359440001"/>
  </r>
  <r>
    <d v="2018-10-04T00:00:00"/>
    <s v="Mayfield Dairy"/>
    <n v="2"/>
    <n v="1"/>
    <n v="43"/>
    <s v="5gl 2%"/>
    <x v="86"/>
    <x v="2"/>
    <n v="86"/>
    <n v="39.008943819999999"/>
    <n v="1.23"/>
    <n v="47.981000898600001"/>
  </r>
  <r>
    <d v="2018-10-04T00:00:00"/>
    <s v="Mayfield Dairy"/>
    <n v="5"/>
    <n v="1"/>
    <n v="43"/>
    <s v="5gl skim"/>
    <x v="86"/>
    <x v="2"/>
    <n v="215"/>
    <n v="97.522359550000004"/>
    <n v="1.23"/>
    <n v="119.9525022465"/>
  </r>
  <r>
    <d v="2018-10-04T00:00:00"/>
    <s v="Mayfield Dairy"/>
    <n v="5"/>
    <n v="1"/>
    <n v="43"/>
    <s v="5gl true moo choc"/>
    <x v="86"/>
    <x v="2"/>
    <n v="215"/>
    <n v="97.522359550000004"/>
    <n v="1.23"/>
    <n v="119.9525022465"/>
  </r>
  <r>
    <d v="2018-10-04T00:00:00"/>
    <s v="Mayfield Dairy"/>
    <n v="36"/>
    <n v="1"/>
    <n v="2.0499999999999998"/>
    <s v="1qt h and h"/>
    <x v="86"/>
    <x v="2"/>
    <n v="73.8"/>
    <n v="33.475116906000004"/>
    <n v="1.23"/>
    <n v="41.174393794380002"/>
  </r>
  <r>
    <d v="2018-10-04T00:00:00"/>
    <s v="Mayfield Dairy"/>
    <n v="24"/>
    <n v="1"/>
    <n v="2.0499999999999998"/>
    <s v="1qt mg oldsty"/>
    <x v="86"/>
    <x v="2"/>
    <n v="49.199999999999996"/>
    <n v="22.316744604"/>
    <n v="1.23"/>
    <n v="27.449595862919999"/>
  </r>
  <r>
    <d v="2018-12-03T00:00:00"/>
    <s v="Dairy Products"/>
    <n v="1"/>
    <n v="20"/>
    <n v="0.5"/>
    <s v="MILK NFAT 100% LACT CAL ENRCHD"/>
    <x v="86"/>
    <x v="2"/>
    <n v="10"/>
    <n v="4.5359237000000006"/>
    <n v="1.23"/>
    <n v="5.5791861510000009"/>
  </r>
  <r>
    <d v="2018-11-30T00:00:00"/>
    <s v="Canned and dry goods"/>
    <n v="1"/>
    <n v="4"/>
    <n v="11.89"/>
    <s v="MOLASSES UNSULFURED"/>
    <x v="87"/>
    <x v="1"/>
    <n v="47.56"/>
    <n v="21.572853117200001"/>
    <n v="0.48799999999999999"/>
    <n v="10.5275523211936"/>
  </r>
  <r>
    <d v="2018-09-29T00:00:00"/>
    <s v="Royal"/>
    <n v="10"/>
    <n v="1"/>
    <n v="10"/>
    <s v="mushroom sliced"/>
    <x v="88"/>
    <x v="1"/>
    <n v="100"/>
    <n v="45.359237"/>
    <n v="3.093"/>
    <n v="140.29612004099999"/>
  </r>
  <r>
    <d v="2018-09-28T00:00:00"/>
    <s v="Royal"/>
    <n v="7"/>
    <n v="1"/>
    <n v="5"/>
    <s v="mushroom portobello"/>
    <x v="88"/>
    <x v="1"/>
    <n v="35"/>
    <n v="15.875732950000002"/>
    <n v="3.093"/>
    <n v="49.103642014350001"/>
  </r>
  <r>
    <d v="2018-09-28T00:00:00"/>
    <s v="Royal"/>
    <n v="8"/>
    <n v="1"/>
    <n v="5"/>
    <s v="mushroom sliced"/>
    <x v="88"/>
    <x v="1"/>
    <n v="40"/>
    <n v="18.143694800000002"/>
    <n v="3.093"/>
    <n v="56.118448016400009"/>
  </r>
  <r>
    <d v="2018-10-01T00:00:00"/>
    <s v="Royal"/>
    <n v="8"/>
    <n v="1"/>
    <n v="5"/>
    <s v="mushroom"/>
    <x v="88"/>
    <x v="1"/>
    <n v="40"/>
    <n v="18.143694800000002"/>
    <n v="3.093"/>
    <n v="56.118448016400009"/>
  </r>
  <r>
    <d v="2018-10-03T00:00:00"/>
    <s v="Royal"/>
    <n v="10"/>
    <n v="1"/>
    <n v="5"/>
    <s v="mushroom thick"/>
    <x v="88"/>
    <x v="1"/>
    <n v="50"/>
    <n v="22.6796185"/>
    <n v="3.093"/>
    <n v="70.148060020499997"/>
  </r>
  <r>
    <d v="2018-10-04T00:00:00"/>
    <s v="Royal"/>
    <n v="8"/>
    <n v="1"/>
    <n v="5"/>
    <s v="Mushroom "/>
    <x v="88"/>
    <x v="1"/>
    <n v="40"/>
    <n v="18.143694800000002"/>
    <n v="3.093"/>
    <n v="56.118448016400009"/>
  </r>
  <r>
    <d v="2018-12-03T00:00:00"/>
    <s v="Canned and dry goods"/>
    <n v="3"/>
    <n v="4"/>
    <n v="5"/>
    <s v="NOODLE YAKI SOBA"/>
    <x v="89"/>
    <x v="1"/>
    <n v="60"/>
    <n v="27.215542200000002"/>
    <n v="5.99"/>
    <n v="163.02109777800001"/>
  </r>
  <r>
    <d v="2018-12-05T00:00:00"/>
    <s v="Canned and dry goods"/>
    <n v="3"/>
    <n v="4"/>
    <n v="5"/>
    <s v="NOODLE YAKI SOBA"/>
    <x v="89"/>
    <x v="1"/>
    <n v="60"/>
    <n v="27.215542200000002"/>
    <n v="5.99"/>
    <n v="163.02109777800001"/>
  </r>
  <r>
    <d v="2018-12-03T00:00:00"/>
    <s v="Frozen"/>
    <n v="3"/>
    <n v="4"/>
    <n v="5"/>
    <s v="NOODLE LO MEIN"/>
    <x v="89"/>
    <x v="1"/>
    <n v="60"/>
    <n v="27.215542200000002"/>
    <n v="5.99"/>
    <n v="163.02109777800001"/>
  </r>
  <r>
    <d v="2018-12-03T00:00:00"/>
    <s v="Canned and dry goods"/>
    <n v="6"/>
    <n v="4"/>
    <n v="7.9"/>
    <s v="OIL CANOLA"/>
    <x v="90"/>
    <x v="1"/>
    <n v="189.60000000000002"/>
    <n v="86.001113352000019"/>
    <n v="2.6459999999999999"/>
    <n v="227.55894592939205"/>
  </r>
  <r>
    <d v="2018-12-05T00:00:00"/>
    <s v="Canned and dry goods"/>
    <n v="3"/>
    <n v="1"/>
    <n v="35"/>
    <s v="OIL CANOLA PURE ZTF"/>
    <x v="90"/>
    <x v="1"/>
    <n v="105"/>
    <n v="47.627198849999999"/>
    <n v="2.6459999999999999"/>
    <n v="126.02156815709999"/>
  </r>
  <r>
    <d v="2018-12-05T00:00:00"/>
    <s v="Canned and dry goods"/>
    <n v="6"/>
    <n v="4"/>
    <n v="7.9"/>
    <s v="OIL CANOLA"/>
    <x v="90"/>
    <x v="1"/>
    <n v="189.60000000000002"/>
    <n v="86.001113352000019"/>
    <n v="2.6459999999999999"/>
    <n v="227.55894592939205"/>
  </r>
  <r>
    <d v="2018-11-30T00:00:00"/>
    <s v="Canned and dry goods"/>
    <n v="6"/>
    <n v="4"/>
    <n v="7.9"/>
    <s v="OIL CANOLA"/>
    <x v="90"/>
    <x v="1"/>
    <n v="189.60000000000002"/>
    <n v="86.001113352000019"/>
    <n v="2.6459999999999999"/>
    <n v="227.55894592939205"/>
  </r>
  <r>
    <d v="2018-12-05T00:00:00"/>
    <s v="Canned and dry goods"/>
    <n v="1"/>
    <n v="6"/>
    <n v="10"/>
    <s v="OLIVE RIPE SLICED"/>
    <x v="91"/>
    <x v="1"/>
    <n v="60"/>
    <n v="27.215542200000002"/>
    <n v="3.206"/>
    <n v="87.253028293200003"/>
  </r>
  <r>
    <d v="2018-10-04T00:00:00"/>
    <s v="Royal"/>
    <n v="1"/>
    <n v="1"/>
    <n v="20"/>
    <s v="Pr Onion Yel "/>
    <x v="92"/>
    <x v="1"/>
    <n v="20"/>
    <n v="9.0718474000000011"/>
    <n v="0.26900000000000002"/>
    <n v="2.4403269506000003"/>
  </r>
  <r>
    <d v="2018-09-29T00:00:00"/>
    <s v="Royal"/>
    <n v="1"/>
    <n v="1"/>
    <n v="50"/>
    <s v="yellow onion"/>
    <x v="92"/>
    <x v="1"/>
    <n v="50"/>
    <n v="22.6796185"/>
    <n v="0.26900000000000002"/>
    <n v="6.1008173765000002"/>
  </r>
  <r>
    <d v="2018-09-28T00:00:00"/>
    <s v="Royal"/>
    <n v="1"/>
    <n v="1"/>
    <n v="1.5"/>
    <s v="green onion"/>
    <x v="93"/>
    <x v="1"/>
    <n v="1.5"/>
    <n v="0.68038855500000006"/>
    <n v="8.5000000000000006E-2"/>
    <n v="5.783302717500001E-2"/>
  </r>
  <r>
    <d v="2018-10-01T00:00:00"/>
    <s v="Royal"/>
    <n v="1"/>
    <n v="1"/>
    <n v="1.5"/>
    <s v="green onion"/>
    <x v="93"/>
    <x v="1"/>
    <n v="1.5"/>
    <n v="0.68038855500000006"/>
    <n v="8.5000000000000006E-2"/>
    <n v="5.783302717500001E-2"/>
  </r>
  <r>
    <d v="2018-10-03T00:00:00"/>
    <s v="Royal"/>
    <n v="1"/>
    <n v="1"/>
    <n v="1.5"/>
    <s v="green onion"/>
    <x v="93"/>
    <x v="1"/>
    <n v="1.5"/>
    <n v="0.68038855500000006"/>
    <n v="8.5000000000000006E-2"/>
    <n v="5.783302717500001E-2"/>
  </r>
  <r>
    <d v="2018-10-04T00:00:00"/>
    <s v="Royal"/>
    <n v="1"/>
    <n v="1"/>
    <n v="1.5"/>
    <s v="Onion  Green "/>
    <x v="93"/>
    <x v="1"/>
    <n v="1.5"/>
    <n v="0.68038855500000006"/>
    <n v="8.5000000000000006E-2"/>
    <n v="5.783302717500001E-2"/>
  </r>
  <r>
    <d v="2018-09-28T00:00:00"/>
    <s v="Royal"/>
    <n v="2"/>
    <n v="1"/>
    <n v="25"/>
    <s v="red onion"/>
    <x v="154"/>
    <x v="1"/>
    <n v="50"/>
    <n v="22.6796185"/>
    <n v="0.26900000000000002"/>
    <n v="6.1008173765000002"/>
  </r>
  <r>
    <d v="2018-10-04T00:00:00"/>
    <s v="Royal"/>
    <n v="1"/>
    <n v="1"/>
    <n v="25"/>
    <s v="Onion  Red  "/>
    <x v="154"/>
    <x v="1"/>
    <n v="25"/>
    <n v="11.33980925"/>
    <n v="0.26900000000000002"/>
    <n v="3.0504086882500001"/>
  </r>
  <r>
    <d v="2018-09-29T00:00:00"/>
    <s v="Royal"/>
    <n v="1"/>
    <n v="1"/>
    <n v="50"/>
    <s v="onion yellow"/>
    <x v="94"/>
    <x v="1"/>
    <n v="50"/>
    <n v="22.6796185"/>
    <n v="0.26900000000000002"/>
    <n v="6.1008173765000002"/>
  </r>
  <r>
    <d v="2018-09-29T00:00:00"/>
    <s v="Royal"/>
    <n v="3"/>
    <n v="1"/>
    <n v="20"/>
    <s v="yellow onion"/>
    <x v="94"/>
    <x v="1"/>
    <n v="60"/>
    <n v="27.215542200000002"/>
    <n v="0.26900000000000002"/>
    <n v="7.3209808518000008"/>
  </r>
  <r>
    <d v="2018-09-28T00:00:00"/>
    <s v="Royal"/>
    <n v="3"/>
    <n v="1"/>
    <n v="50"/>
    <s v="yellow onion"/>
    <x v="94"/>
    <x v="1"/>
    <n v="150"/>
    <n v="68.038855500000011"/>
    <n v="0.26900000000000002"/>
    <n v="18.302452129500004"/>
  </r>
  <r>
    <d v="2018-09-28T00:00:00"/>
    <s v="Royal"/>
    <n v="2"/>
    <n v="1"/>
    <n v="1.25"/>
    <s v="yellow onion"/>
    <x v="94"/>
    <x v="1"/>
    <n v="2.5"/>
    <n v="1.1339809250000001"/>
    <n v="0.26900000000000002"/>
    <n v="0.30504086882500003"/>
  </r>
  <r>
    <d v="2018-09-28T00:00:00"/>
    <s v="Royal"/>
    <n v="1"/>
    <n v="1"/>
    <n v="50"/>
    <s v="yellow onion"/>
    <x v="94"/>
    <x v="1"/>
    <n v="50"/>
    <n v="22.6796185"/>
    <n v="0.26900000000000002"/>
    <n v="6.1008173765000002"/>
  </r>
  <r>
    <d v="2018-09-29T00:00:00"/>
    <s v="Royal"/>
    <n v="3"/>
    <n v="1"/>
    <n v="20"/>
    <s v="onion yellow diced"/>
    <x v="94"/>
    <x v="1"/>
    <n v="60"/>
    <n v="27.215542200000002"/>
    <n v="0.26900000000000002"/>
    <n v="7.3209808518000008"/>
  </r>
  <r>
    <d v="2018-09-29T00:00:00"/>
    <s v="Royal"/>
    <n v="1"/>
    <n v="1"/>
    <n v="20"/>
    <s v="onion yellow sliced"/>
    <x v="94"/>
    <x v="1"/>
    <n v="20"/>
    <n v="9.0718474000000011"/>
    <n v="0.26900000000000002"/>
    <n v="2.4403269506000003"/>
  </r>
  <r>
    <d v="2018-10-03T00:00:00"/>
    <s v="Royal"/>
    <n v="1"/>
    <n v="1"/>
    <n v="50"/>
    <s v="yellow onion"/>
    <x v="94"/>
    <x v="1"/>
    <n v="50"/>
    <n v="22.6796185"/>
    <n v="0.26900000000000002"/>
    <n v="6.1008173765000002"/>
  </r>
  <r>
    <d v="2018-10-04T00:00:00"/>
    <s v="Royal"/>
    <n v="2"/>
    <n v="1"/>
    <n v="50"/>
    <s v="Onion  Yellow "/>
    <x v="94"/>
    <x v="1"/>
    <n v="100"/>
    <n v="45.359237"/>
    <n v="0.26900000000000002"/>
    <n v="12.201634753"/>
  </r>
  <r>
    <d v="2018-09-28T00:00:00"/>
    <s v="Royal"/>
    <n v="25"/>
    <n v="1"/>
    <n v="25.414928"/>
    <s v="Oranges"/>
    <x v="96"/>
    <x v="1"/>
    <n v="635.3732"/>
    <n v="288.20043562248401"/>
    <n v="0.29399999999999998"/>
    <n v="84.73092807301029"/>
  </r>
  <r>
    <d v="2018-09-29T00:00:00"/>
    <s v="Royal"/>
    <n v="40"/>
    <n v="1"/>
    <n v="25.414928"/>
    <s v="oranges"/>
    <x v="96"/>
    <x v="1"/>
    <n v="1016.59712"/>
    <n v="461.12069699597441"/>
    <n v="0.29399999999999998"/>
    <n v="135.56948491681646"/>
  </r>
  <r>
    <d v="2018-10-01T00:00:00"/>
    <s v="Royal"/>
    <n v="10"/>
    <n v="1"/>
    <n v="25.414928"/>
    <s v="oranges"/>
    <x v="96"/>
    <x v="1"/>
    <n v="254.14928"/>
    <n v="115.2801742489936"/>
    <n v="0.29399999999999998"/>
    <n v="33.892371229204116"/>
  </r>
  <r>
    <d v="2018-10-02T00:00:00"/>
    <s v="Royal"/>
    <n v="20"/>
    <n v="1"/>
    <n v="25.414928"/>
    <s v="oranges"/>
    <x v="96"/>
    <x v="1"/>
    <n v="508.29856000000001"/>
    <n v="230.56034849798721"/>
    <n v="0.29399999999999998"/>
    <n v="67.784742458408232"/>
  </r>
  <r>
    <d v="2018-10-03T00:00:00"/>
    <s v="Royal"/>
    <n v="20"/>
    <n v="1"/>
    <n v="25.414928"/>
    <s v="oranges"/>
    <x v="96"/>
    <x v="1"/>
    <n v="508.29856000000001"/>
    <n v="230.56034849798721"/>
    <n v="0.29399999999999998"/>
    <n v="67.784742458408232"/>
  </r>
  <r>
    <d v="2018-10-04T00:00:00"/>
    <s v="Royal"/>
    <n v="20"/>
    <n v="1"/>
    <n v="25.414928"/>
    <s v="oranges"/>
    <x v="96"/>
    <x v="1"/>
    <n v="508.29856000000001"/>
    <n v="230.56034849798721"/>
    <n v="0.29399999999999998"/>
    <n v="67.784742458408232"/>
  </r>
  <r>
    <d v="2018-11-30T00:00:00"/>
    <s v="Canned and dry goods"/>
    <n v="1"/>
    <n v="6"/>
    <n v="5"/>
    <s v="MIX PANCAKE BTRMLK COMPLT"/>
    <x v="97"/>
    <x v="1"/>
    <n v="30"/>
    <n v="13.607771100000001"/>
    <m/>
    <n v="0"/>
  </r>
  <r>
    <d v="2018-12-03T00:00:00"/>
    <s v="Canned and dry goods"/>
    <n v="1"/>
    <n v="6"/>
    <n v="5"/>
    <s v="MIX PANCAKE BTRMLK COMPLT"/>
    <x v="97"/>
    <x v="1"/>
    <n v="30"/>
    <n v="13.607771100000001"/>
    <m/>
    <n v="0"/>
  </r>
  <r>
    <d v="2018-09-28T00:00:00"/>
    <s v="Royal"/>
    <n v="1"/>
    <n v="1"/>
    <n v="3.75"/>
    <s v="parsley italian"/>
    <x v="98"/>
    <x v="1"/>
    <n v="3.75"/>
    <n v="1.7009713875000001"/>
    <n v="0.23200000000000001"/>
    <n v="0.39462536190000003"/>
  </r>
  <r>
    <d v="2018-10-01T00:00:00"/>
    <s v="Royal"/>
    <n v="1"/>
    <n v="1"/>
    <n v="3.75"/>
    <s v="italian parsley"/>
    <x v="98"/>
    <x v="1"/>
    <n v="3.75"/>
    <n v="1.7009713875000001"/>
    <n v="0.23200000000000001"/>
    <n v="0.39462536190000003"/>
  </r>
  <r>
    <d v="2018-11-30T00:00:00"/>
    <s v="Canned and dry goods"/>
    <n v="4"/>
    <n v="2"/>
    <n v="10"/>
    <s v="PASTA PENNE RIGATE"/>
    <x v="99"/>
    <x v="1"/>
    <n v="80"/>
    <n v="36.287389600000004"/>
    <n v="5.99"/>
    <n v="217.36146370400004"/>
  </r>
  <r>
    <d v="2018-11-30T00:00:00"/>
    <s v="Canned and dry goods"/>
    <n v="4"/>
    <n v="2"/>
    <n v="10"/>
    <s v="PASTA GEMELLI"/>
    <x v="99"/>
    <x v="1"/>
    <n v="80"/>
    <n v="36.287389600000004"/>
    <n v="5.99"/>
    <n v="217.36146370400004"/>
  </r>
  <r>
    <d v="2018-11-30T00:00:00"/>
    <s v="Canned and dry goods"/>
    <n v="4"/>
    <n v="2"/>
    <n v="10"/>
    <s v="PASTA FARFALLE"/>
    <x v="99"/>
    <x v="1"/>
    <n v="80"/>
    <n v="36.287389600000004"/>
    <n v="5.99"/>
    <n v="217.36146370400004"/>
  </r>
  <r>
    <d v="2018-11-30T00:00:00"/>
    <s v="Canned and dry goods"/>
    <n v="4"/>
    <n v="2"/>
    <n v="10"/>
    <s v="PASTA MACARONI ELBOW"/>
    <x v="99"/>
    <x v="1"/>
    <n v="80"/>
    <n v="36.287389600000004"/>
    <n v="5.99"/>
    <n v="217.36146370400004"/>
  </r>
  <r>
    <d v="2018-12-05T00:00:00"/>
    <s v="Canned and dry goods"/>
    <n v="3"/>
    <n v="2"/>
    <n v="10"/>
    <s v="PASTA PENNE RIGATE"/>
    <x v="99"/>
    <x v="1"/>
    <n v="60"/>
    <n v="27.215542200000002"/>
    <n v="5.99"/>
    <n v="163.02109777800001"/>
  </r>
  <r>
    <d v="2018-11-30T00:00:00"/>
    <s v="Canned and dry goods"/>
    <n v="1"/>
    <n v="12"/>
    <n v="1"/>
    <s v="PASTE TAHINI"/>
    <x v="100"/>
    <x v="1"/>
    <n v="12"/>
    <n v="5.4431084400000005"/>
    <n v="0.11799999999999999"/>
    <n v="0.64228679592000004"/>
  </r>
  <r>
    <d v="2018-12-05T00:00:00"/>
    <s v="Canned and dry goods"/>
    <n v="1"/>
    <n v="1"/>
    <n v="20"/>
    <s v="PEA BLACKEYE DRIED"/>
    <x v="101"/>
    <x v="1"/>
    <n v="20"/>
    <n v="9.0718474000000011"/>
    <n v="0.61699999999999999"/>
    <n v="5.5973298458000009"/>
  </r>
  <r>
    <d v="2018-09-28T00:00:00"/>
    <s v="Royal"/>
    <n v="5"/>
    <n v="1"/>
    <n v="10"/>
    <s v="snow peas"/>
    <x v="102"/>
    <x v="1"/>
    <n v="50"/>
    <n v="22.6796185"/>
    <n v="0.70099999999999996"/>
    <n v="15.8984125685"/>
  </r>
  <r>
    <d v="2018-10-03T00:00:00"/>
    <s v="Royal"/>
    <n v="3"/>
    <n v="1"/>
    <n v="10"/>
    <s v="snow peas"/>
    <x v="102"/>
    <x v="1"/>
    <n v="30"/>
    <n v="13.607771100000001"/>
    <n v="0.70099999999999996"/>
    <n v="9.5390475411000004"/>
  </r>
  <r>
    <d v="2018-11-30T00:00:00"/>
    <s v="Frozen"/>
    <n v="2"/>
    <n v="12"/>
    <n v="2.5"/>
    <s v="PEA GREEN GR A P"/>
    <x v="103"/>
    <x v="1"/>
    <n v="60"/>
    <n v="27.215542200000002"/>
    <n v="0.61699999999999999"/>
    <n v="16.791989537399999"/>
  </r>
  <r>
    <d v="2018-12-03T00:00:00"/>
    <s v="Frozen"/>
    <n v="1"/>
    <n v="12"/>
    <n v="2.5"/>
    <s v="PEA GREEN GR A P"/>
    <x v="103"/>
    <x v="1"/>
    <n v="30"/>
    <n v="13.607771100000001"/>
    <n v="0.61699999999999999"/>
    <n v="8.3959947686999996"/>
  </r>
  <r>
    <d v="2018-09-29T00:00:00"/>
    <s v="Royal"/>
    <n v="3"/>
    <n v="1"/>
    <n v="46.800000000000004"/>
    <s v="pear"/>
    <x v="155"/>
    <x v="1"/>
    <n v="140.4"/>
    <n v="63.684368748000011"/>
    <n v="0.249"/>
    <n v="15.857407818252003"/>
  </r>
  <r>
    <d v="2018-09-29T00:00:00"/>
    <s v="Royal"/>
    <n v="3"/>
    <n v="1"/>
    <n v="20"/>
    <s v="pear red"/>
    <x v="155"/>
    <x v="1"/>
    <n v="60"/>
    <n v="27.215542200000002"/>
    <n v="0.249"/>
    <n v="6.7766700078"/>
  </r>
  <r>
    <d v="2018-10-04T00:00:00"/>
    <s v="Royal"/>
    <n v="2"/>
    <n v="1"/>
    <n v="46.800000000000004"/>
    <s v="Pear "/>
    <x v="155"/>
    <x v="1"/>
    <n v="93.600000000000009"/>
    <n v="42.456245832000008"/>
    <n v="0.249"/>
    <n v="10.571605212168002"/>
  </r>
  <r>
    <d v="2018-09-29T00:00:00"/>
    <s v="Royal"/>
    <n v="2"/>
    <n v="1"/>
    <n v="6"/>
    <s v="pepper"/>
    <x v="104"/>
    <x v="1"/>
    <n v="12"/>
    <n v="5.4431084400000005"/>
    <n v="0.52500000000000002"/>
    <n v="2.8576319310000002"/>
  </r>
  <r>
    <d v="2018-10-04T00:00:00"/>
    <s v="Royal"/>
    <n v="1"/>
    <n v="1"/>
    <n v="33.333333333333336"/>
    <s v="Pepper  "/>
    <x v="104"/>
    <x v="1"/>
    <n v="33.333333333333336"/>
    <n v="15.119745666666669"/>
    <n v="0.52500000000000002"/>
    <n v="7.9378664750000016"/>
  </r>
  <r>
    <d v="2018-11-30T00:00:00"/>
    <s v="Canned and dry goods"/>
    <n v="1"/>
    <n v="12"/>
    <n v="1.75"/>
    <s v="PEPPER RED ROASTED WHOLE"/>
    <x v="104"/>
    <x v="1"/>
    <n v="21"/>
    <n v="9.5254397700000002"/>
    <n v="0.52500000000000002"/>
    <n v="5.0008558792500004"/>
  </r>
  <r>
    <d v="2018-11-30T00:00:00"/>
    <s v="Canned and dry goods"/>
    <n v="1"/>
    <n v="3"/>
    <n v="5"/>
    <s v="SPICE PEPPER BLK SHAKER GRND"/>
    <x v="105"/>
    <x v="1"/>
    <n v="15"/>
    <n v="6.8038855500000004"/>
    <n v="0.87"/>
    <n v="5.9193804285000002"/>
  </r>
  <r>
    <d v="2018-12-05T00:00:00"/>
    <s v="Canned and dry goods"/>
    <n v="1"/>
    <n v="3"/>
    <n v="5"/>
    <s v="SPICE PEPPER BLK SHAKER GRND"/>
    <x v="105"/>
    <x v="1"/>
    <n v="15"/>
    <n v="6.8038855500000004"/>
    <n v="0.87"/>
    <n v="5.9193804285000002"/>
  </r>
  <r>
    <d v="2018-09-29T00:00:00"/>
    <s v="Royal"/>
    <n v="2"/>
    <n v="1"/>
    <n v="33.333333333333336"/>
    <s v="green pepper"/>
    <x v="156"/>
    <x v="1"/>
    <n v="66.666666666666671"/>
    <n v="30.239491333333337"/>
    <n v="0.52500000000000002"/>
    <n v="15.875732950000003"/>
  </r>
  <r>
    <d v="2018-09-29T00:00:00"/>
    <s v="Royal"/>
    <n v="3"/>
    <n v="1"/>
    <n v="20"/>
    <s v="green pepper"/>
    <x v="156"/>
    <x v="1"/>
    <n v="60"/>
    <n v="27.215542200000002"/>
    <n v="0.52500000000000002"/>
    <n v="14.288159655000001"/>
  </r>
  <r>
    <d v="2018-09-28T00:00:00"/>
    <s v="Royal"/>
    <n v="2"/>
    <n v="1"/>
    <n v="33.333333333333336"/>
    <s v="green pepper"/>
    <x v="156"/>
    <x v="1"/>
    <n v="66.666666666666671"/>
    <n v="30.239491333333337"/>
    <n v="0.52500000000000002"/>
    <n v="15.875732950000003"/>
  </r>
  <r>
    <d v="2018-10-01T00:00:00"/>
    <s v="Royal"/>
    <n v="2"/>
    <n v="1"/>
    <n v="33.333333333333336"/>
    <s v="green pepper"/>
    <x v="156"/>
    <x v="1"/>
    <n v="66.666666666666671"/>
    <n v="30.239491333333337"/>
    <n v="0.52500000000000002"/>
    <n v="15.875732950000003"/>
  </r>
  <r>
    <d v="2018-10-04T00:00:00"/>
    <s v="Royal"/>
    <n v="2"/>
    <n v="1"/>
    <n v="33.333333333333336"/>
    <s v="Pepper  Green "/>
    <x v="156"/>
    <x v="1"/>
    <n v="66.666666666666671"/>
    <n v="30.239491333333337"/>
    <n v="0.52500000000000002"/>
    <n v="15.875732950000003"/>
  </r>
  <r>
    <d v="2018-11-30T00:00:00"/>
    <s v="Canned and dry goods"/>
    <n v="2"/>
    <n v="12"/>
    <n v="1.6875"/>
    <s v="PEPPER CHILI GREEN DICED"/>
    <x v="106"/>
    <x v="1"/>
    <n v="40.5"/>
    <n v="18.370490985"/>
    <n v="0.79900000000000004"/>
    <n v="14.678022297015001"/>
  </r>
  <r>
    <d v="2018-11-30T00:00:00"/>
    <s v="Canned and dry goods"/>
    <n v="2"/>
    <n v="12"/>
    <n v="0.4375"/>
    <s v="PEPPER CHIPOTLE IN ADOBO SAUCE"/>
    <x v="106"/>
    <x v="1"/>
    <n v="10.5"/>
    <n v="4.7627198850000001"/>
    <n v="0.79900000000000004"/>
    <n v="3.8054131881150002"/>
  </r>
  <r>
    <d v="2018-12-05T00:00:00"/>
    <s v="Canned and dry goods"/>
    <n v="1"/>
    <n v="4"/>
    <n v="8.35"/>
    <s v="PEPPER JALAPENO NACHO SLI"/>
    <x v="106"/>
    <x v="1"/>
    <n v="33.4"/>
    <n v="15.149985158"/>
    <n v="0.79900000000000004"/>
    <n v="12.104838141242"/>
  </r>
  <r>
    <d v="2018-11-30T00:00:00"/>
    <s v="Canned and dry goods"/>
    <n v="1"/>
    <n v="4"/>
    <n v="8.35"/>
    <s v="PEPPER JALAPENO NACHO SLI"/>
    <x v="107"/>
    <x v="1"/>
    <n v="33.4"/>
    <n v="15.149985158"/>
    <n v="0.79900000000000004"/>
    <n v="12.104838141242"/>
  </r>
  <r>
    <d v="2018-09-29T00:00:00"/>
    <s v="Royal"/>
    <n v="2"/>
    <n v="1"/>
    <n v="33.333333333333336"/>
    <s v="red pepper"/>
    <x v="157"/>
    <x v="1"/>
    <n v="66.666666666666671"/>
    <n v="30.239491333333337"/>
    <n v="0.52500000000000002"/>
    <n v="15.875732950000003"/>
  </r>
  <r>
    <d v="2018-09-28T00:00:00"/>
    <s v="Royal"/>
    <n v="1"/>
    <n v="1"/>
    <n v="33.333333333333336"/>
    <s v="red pepper"/>
    <x v="157"/>
    <x v="1"/>
    <n v="33.333333333333336"/>
    <n v="15.119745666666669"/>
    <n v="0.52500000000000002"/>
    <n v="7.9378664750000016"/>
  </r>
  <r>
    <d v="2018-09-28T00:00:00"/>
    <s v="Royal"/>
    <n v="1"/>
    <n v="1"/>
    <n v="33.333333333333336"/>
    <s v="red pepper"/>
    <x v="157"/>
    <x v="1"/>
    <n v="33.333333333333336"/>
    <n v="15.119745666666669"/>
    <n v="0.52500000000000002"/>
    <n v="7.9378664750000016"/>
  </r>
  <r>
    <d v="2018-10-01T00:00:00"/>
    <s v="Royal"/>
    <n v="2"/>
    <n v="1"/>
    <n v="33.333333333333336"/>
    <s v="red pepper"/>
    <x v="157"/>
    <x v="1"/>
    <n v="66.666666666666671"/>
    <n v="30.239491333333337"/>
    <n v="0.52500000000000002"/>
    <n v="15.875732950000003"/>
  </r>
  <r>
    <d v="2018-10-03T00:00:00"/>
    <s v="Royal"/>
    <n v="2"/>
    <n v="1"/>
    <n v="33.333333333333336"/>
    <s v="red pepper"/>
    <x v="157"/>
    <x v="1"/>
    <n v="66.666666666666671"/>
    <n v="30.239491333333337"/>
    <n v="0.52500000000000002"/>
    <n v="15.875732950000003"/>
  </r>
  <r>
    <d v="2018-09-29T00:00:00"/>
    <s v="Royal"/>
    <n v="6"/>
    <n v="1"/>
    <n v="20"/>
    <s v="pineapple crownless"/>
    <x v="108"/>
    <x v="1"/>
    <n v="120"/>
    <n v="54.431084400000003"/>
    <n v="0.91400000000000003"/>
    <n v="49.750011141600005"/>
  </r>
  <r>
    <d v="2018-09-28T00:00:00"/>
    <s v="Royal"/>
    <n v="5"/>
    <n v="1"/>
    <n v="20"/>
    <s v="pineapple crownless"/>
    <x v="108"/>
    <x v="1"/>
    <n v="100"/>
    <n v="45.359237"/>
    <n v="0.91400000000000003"/>
    <n v="41.458342618000003"/>
  </r>
  <r>
    <d v="2018-10-03T00:00:00"/>
    <s v="Royal"/>
    <n v="4"/>
    <n v="1"/>
    <n v="20"/>
    <s v="pineapple crownless"/>
    <x v="108"/>
    <x v="1"/>
    <n v="80"/>
    <n v="36.287389600000004"/>
    <n v="0.91400000000000003"/>
    <n v="33.166674094400008"/>
  </r>
  <r>
    <d v="2018-10-04T00:00:00"/>
    <s v="Royal"/>
    <n v="2"/>
    <n v="1"/>
    <n v="20"/>
    <s v="Pineapple Crownless "/>
    <x v="108"/>
    <x v="1"/>
    <n v="40"/>
    <n v="18.143694800000002"/>
    <n v="0.91400000000000003"/>
    <n v="16.583337047200004"/>
  </r>
  <r>
    <d v="2018-09-28T00:00:00"/>
    <s v="Savannah River Farms"/>
    <n v="1"/>
    <n v="1"/>
    <n v="120"/>
    <s v="pork"/>
    <x v="109"/>
    <x v="0"/>
    <n v="120"/>
    <n v="54.431084400000003"/>
    <n v="5.56"/>
    <n v="302.63682926399997"/>
  </r>
  <r>
    <d v="2018-09-28T00:00:00"/>
    <s v="Savannah River Farms"/>
    <n v="1"/>
    <n v="1"/>
    <n v="302.45999999999998"/>
    <s v="boneless butt"/>
    <x v="109"/>
    <x v="0"/>
    <n v="302.45999999999998"/>
    <n v="137.19354823019998"/>
    <n v="5.56"/>
    <n v="762.79612815991186"/>
  </r>
  <r>
    <d v="2018-09-28T00:00:00"/>
    <s v="Savannah River Farms"/>
    <n v="1"/>
    <n v="1"/>
    <n v="20"/>
    <s v="italian bulk"/>
    <x v="109"/>
    <x v="0"/>
    <n v="20"/>
    <n v="9.0718474000000011"/>
    <n v="5.56"/>
    <n v="50.439471544"/>
  </r>
  <r>
    <d v="2018-09-28T00:00:00"/>
    <s v="Savannah River Farms"/>
    <n v="1"/>
    <n v="1"/>
    <n v="80"/>
    <s v="sausage patties"/>
    <x v="109"/>
    <x v="0"/>
    <n v="80"/>
    <n v="36.287389600000004"/>
    <n v="5.56"/>
    <n v="201.757886176"/>
  </r>
  <r>
    <d v="2018-11-30T00:00:00"/>
    <s v="Meats"/>
    <n v="1"/>
    <n v="1"/>
    <n v="89.1"/>
    <s v="HAM PIT BNLS CKD"/>
    <x v="109"/>
    <x v="0"/>
    <n v="89.1"/>
    <n v="40.415080166999999"/>
    <n v="5.56"/>
    <n v="224.70784572851997"/>
  </r>
  <r>
    <d v="2018-12-05T00:00:00"/>
    <s v="Meats"/>
    <n v="1"/>
    <n v="1"/>
    <n v="29.8"/>
    <s v="HAM PIT BNLS CKD"/>
    <x v="109"/>
    <x v="0"/>
    <n v="29.8"/>
    <n v="13.517052626000002"/>
    <n v="5.56"/>
    <n v="75.154812600560007"/>
  </r>
  <r>
    <d v="2018-09-29T00:00:00"/>
    <s v="Royal"/>
    <n v="3"/>
    <n v="1"/>
    <n v="50"/>
    <s v="red potato"/>
    <x v="110"/>
    <x v="1"/>
    <n v="150"/>
    <n v="68.038855500000011"/>
    <n v="0.217"/>
    <n v="14.764431643500002"/>
  </r>
  <r>
    <d v="2018-09-28T00:00:00"/>
    <s v="Royal"/>
    <n v="3"/>
    <n v="1"/>
    <n v="50"/>
    <s v="red potato"/>
    <x v="110"/>
    <x v="1"/>
    <n v="150"/>
    <n v="68.038855500000011"/>
    <n v="0.217"/>
    <n v="14.764431643500002"/>
  </r>
  <r>
    <d v="2018-09-28T00:00:00"/>
    <s v="Royal"/>
    <n v="3"/>
    <n v="1"/>
    <n v="50"/>
    <s v="potato yukon gold"/>
    <x v="110"/>
    <x v="1"/>
    <n v="150"/>
    <n v="68.038855500000011"/>
    <n v="0.217"/>
    <n v="14.764431643500002"/>
  </r>
  <r>
    <d v="2018-09-28T00:00:00"/>
    <s v="Royal"/>
    <n v="2"/>
    <n v="1"/>
    <n v="50"/>
    <s v="fingerling potato"/>
    <x v="110"/>
    <x v="1"/>
    <n v="100"/>
    <n v="45.359237"/>
    <n v="0.217"/>
    <n v="9.8429544290000006"/>
  </r>
  <r>
    <d v="2018-10-03T00:00:00"/>
    <s v="Royal"/>
    <n v="3"/>
    <n v="1"/>
    <n v="50"/>
    <s v="potato yukon"/>
    <x v="110"/>
    <x v="1"/>
    <n v="150"/>
    <n v="68.038855500000011"/>
    <n v="0.217"/>
    <n v="14.764431643500002"/>
  </r>
  <r>
    <d v="2018-10-04T00:00:00"/>
    <s v="Royal"/>
    <n v="2"/>
    <n v="1"/>
    <n v="50"/>
    <s v="Potato   Red "/>
    <x v="110"/>
    <x v="1"/>
    <n v="100"/>
    <n v="45.359237"/>
    <n v="0.217"/>
    <n v="9.8429544290000006"/>
  </r>
  <r>
    <d v="2018-11-30T00:00:00"/>
    <s v="Frozen"/>
    <n v="4"/>
    <n v="6"/>
    <n v="6"/>
    <s v="POTATO H/BRN DICE SKIN-ON CTRY"/>
    <x v="110"/>
    <x v="1"/>
    <n v="144"/>
    <n v="65.317301279999995"/>
    <n v="0.217"/>
    <n v="14.17385437776"/>
  </r>
  <r>
    <d v="2018-11-30T00:00:00"/>
    <s v="Frozen"/>
    <n v="4"/>
    <n v="6"/>
    <n v="3"/>
    <s v="POTATO H/BRN IQF LOOSE SHRED"/>
    <x v="110"/>
    <x v="1"/>
    <n v="72"/>
    <n v="32.658650639999998"/>
    <n v="0.217"/>
    <n v="7.0869271888799998"/>
  </r>
  <r>
    <d v="2018-11-30T00:00:00"/>
    <s v="Frozen"/>
    <n v="6"/>
    <n v="6"/>
    <n v="5"/>
    <s v="POTATO FRY 3/8 COLSSL CRISP"/>
    <x v="110"/>
    <x v="1"/>
    <n v="180"/>
    <n v="81.646626600000005"/>
    <n v="0.217"/>
    <n v="17.7173179722"/>
  </r>
  <r>
    <d v="2018-12-03T00:00:00"/>
    <s v="Frozen"/>
    <n v="4"/>
    <n v="6"/>
    <n v="6"/>
    <s v="POTATO H/BRN DICE SKIN-ON CTRY"/>
    <x v="110"/>
    <x v="1"/>
    <n v="144"/>
    <n v="65.317301279999995"/>
    <n v="0.217"/>
    <n v="14.17385437776"/>
  </r>
  <r>
    <d v="2018-12-03T00:00:00"/>
    <s v="Frozen"/>
    <n v="4"/>
    <n v="6"/>
    <n v="3"/>
    <s v="POTATO H/BRN IQF LOOSE SHRED"/>
    <x v="110"/>
    <x v="1"/>
    <n v="72"/>
    <n v="32.658650639999998"/>
    <n v="0.217"/>
    <n v="7.0869271888799998"/>
  </r>
  <r>
    <d v="2018-12-03T00:00:00"/>
    <s v="Frozen"/>
    <n v="4"/>
    <n v="6"/>
    <n v="5"/>
    <s v="POTATO FRY STEAK HSE"/>
    <x v="110"/>
    <x v="1"/>
    <n v="120"/>
    <n v="54.431084400000003"/>
    <n v="0.217"/>
    <n v="11.8115453148"/>
  </r>
  <r>
    <d v="2018-12-05T00:00:00"/>
    <s v="Frozen"/>
    <n v="4"/>
    <n v="6"/>
    <n v="5"/>
    <s v="POTATO TATER PUFF"/>
    <x v="110"/>
    <x v="1"/>
    <n v="120"/>
    <n v="54.431084400000003"/>
    <n v="0.217"/>
    <n v="11.8115453148"/>
  </r>
  <r>
    <d v="2018-12-05T00:00:00"/>
    <s v="Frozen"/>
    <n v="4"/>
    <n v="6"/>
    <n v="5"/>
    <s v="POTATO FRY STEAK HSE"/>
    <x v="110"/>
    <x v="1"/>
    <n v="120"/>
    <n v="54.431084400000003"/>
    <n v="0.217"/>
    <n v="11.8115453148"/>
  </r>
  <r>
    <d v="2018-12-05T00:00:00"/>
    <s v="Frozen"/>
    <n v="8"/>
    <n v="6"/>
    <n v="5"/>
    <s v="POTATO FRY 3/8 COLSSL CRISP"/>
    <x v="110"/>
    <x v="1"/>
    <n v="240"/>
    <n v="108.86216880000001"/>
    <n v="0.217"/>
    <n v="23.6230906296"/>
  </r>
  <r>
    <d v="2018-12-03T00:00:00"/>
    <s v="Frozen"/>
    <n v="4"/>
    <n v="6"/>
    <n v="5"/>
    <s v="POTATO CHIP NAT FRY 1/8"/>
    <x v="111"/>
    <x v="1"/>
    <n v="120"/>
    <n v="54.431084400000003"/>
    <n v="1.5449999999999999"/>
    <n v="84.096025397999995"/>
  </r>
  <r>
    <d v="2018-12-05T00:00:00"/>
    <s v="Canned and dry goods"/>
    <n v="1"/>
    <n v="24"/>
    <n v="0.9375"/>
    <s v="RAISIN SEEDLESS"/>
    <x v="112"/>
    <x v="1"/>
    <n v="22.5"/>
    <n v="10.205828325000001"/>
    <n v="0.68400000000000005"/>
    <n v="6.9807865743000006"/>
  </r>
  <r>
    <d v="2018-12-05T00:00:00"/>
    <s v="Canned and dry goods"/>
    <n v="1"/>
    <n v="1"/>
    <n v="30"/>
    <s v="RAISIN SEEDLESS GOLDEN"/>
    <x v="112"/>
    <x v="1"/>
    <n v="30"/>
    <n v="13.607771100000001"/>
    <n v="0.68400000000000005"/>
    <n v="9.307715432400002"/>
  </r>
  <r>
    <d v="2018-11-30T00:00:00"/>
    <s v="Canned and dry goods"/>
    <n v="8"/>
    <n v="1"/>
    <n v="25"/>
    <s v="RICE PARBOILED"/>
    <x v="113"/>
    <x v="1"/>
    <n v="200"/>
    <n v="90.718474000000001"/>
    <n v="1.5409999999999999"/>
    <n v="139.79716843399999"/>
  </r>
  <r>
    <d v="2018-11-30T00:00:00"/>
    <s v="Canned and dry goods"/>
    <n v="4"/>
    <n v="2"/>
    <n v="5"/>
    <s v="RICE JASMINE"/>
    <x v="113"/>
    <x v="1"/>
    <n v="40"/>
    <n v="18.143694800000002"/>
    <n v="1.5409999999999999"/>
    <n v="27.959433686800001"/>
  </r>
  <r>
    <d v="2018-11-30T00:00:00"/>
    <s v="Canned and dry goods"/>
    <n v="4"/>
    <n v="1"/>
    <n v="25"/>
    <s v="RICE PARBOILED BRN WHLGN LNGRN"/>
    <x v="113"/>
    <x v="1"/>
    <n v="100"/>
    <n v="45.359237"/>
    <n v="1.5409999999999999"/>
    <n v="69.898584216999993"/>
  </r>
  <r>
    <d v="2018-11-30T00:00:00"/>
    <s v="Canned and dry goods"/>
    <n v="4"/>
    <n v="2"/>
    <n v="5"/>
    <s v="RICE BASMATI"/>
    <x v="113"/>
    <x v="1"/>
    <n v="40"/>
    <n v="18.143694800000002"/>
    <n v="1.5409999999999999"/>
    <n v="27.959433686800001"/>
  </r>
  <r>
    <d v="2018-12-03T00:00:00"/>
    <s v="Canned and dry goods"/>
    <n v="3"/>
    <n v="1"/>
    <n v="25"/>
    <s v="RICE PARBOILED"/>
    <x v="113"/>
    <x v="1"/>
    <n v="75"/>
    <n v="34.019427750000006"/>
    <n v="1.5409999999999999"/>
    <n v="52.423938162750005"/>
  </r>
  <r>
    <d v="2018-12-03T00:00:00"/>
    <s v="Canned and dry goods"/>
    <n v="3"/>
    <n v="2"/>
    <n v="5"/>
    <s v="RICE JASMINE"/>
    <x v="113"/>
    <x v="1"/>
    <n v="30"/>
    <n v="13.607771100000001"/>
    <n v="1.5409999999999999"/>
    <n v="20.969575265100001"/>
  </r>
  <r>
    <d v="2018-12-03T00:00:00"/>
    <s v="Canned and dry goods"/>
    <n v="2"/>
    <n v="1"/>
    <n v="25"/>
    <s v="RICE PARBOILED BRN WHLGN LNGRN"/>
    <x v="113"/>
    <x v="1"/>
    <n v="50"/>
    <n v="22.6796185"/>
    <n v="1.5409999999999999"/>
    <n v="34.949292108499996"/>
  </r>
  <r>
    <d v="2018-12-03T00:00:00"/>
    <s v="Canned and dry goods"/>
    <n v="1"/>
    <n v="1"/>
    <n v="50"/>
    <s v="RICE CALROSE MED GRN SUSHI"/>
    <x v="113"/>
    <x v="1"/>
    <n v="50"/>
    <n v="22.6796185"/>
    <n v="1.5409999999999999"/>
    <n v="34.949292108499996"/>
  </r>
  <r>
    <d v="2018-12-05T00:00:00"/>
    <s v="Canned and dry goods"/>
    <n v="4"/>
    <n v="1"/>
    <n v="25"/>
    <s v="RICE PARBOILED"/>
    <x v="113"/>
    <x v="1"/>
    <n v="100"/>
    <n v="45.359237"/>
    <n v="1.5409999999999999"/>
    <n v="69.898584216999993"/>
  </r>
  <r>
    <d v="2018-12-05T00:00:00"/>
    <s v="Canned and dry goods"/>
    <n v="3"/>
    <n v="1"/>
    <n v="25"/>
    <s v="RICE PARBOILED BRN WHLGN LNGRN"/>
    <x v="113"/>
    <x v="1"/>
    <n v="75"/>
    <n v="34.019427750000006"/>
    <n v="1.5409999999999999"/>
    <n v="52.423938162750005"/>
  </r>
  <r>
    <d v="2018-12-05T00:00:00"/>
    <s v="Canned and dry goods"/>
    <n v="1"/>
    <n v="1"/>
    <n v="50"/>
    <s v="RICE CALROSE MED GRN SUSHI"/>
    <x v="113"/>
    <x v="1"/>
    <n v="50"/>
    <n v="22.6796185"/>
    <n v="1.5409999999999999"/>
    <n v="34.949292108499996"/>
  </r>
  <r>
    <d v="2018-11-30T00:00:00"/>
    <s v="Canned and dry goods"/>
    <n v="1"/>
    <n v="4"/>
    <n v="7.9"/>
    <s v="OIL SESAME SEED PURE"/>
    <x v="115"/>
    <x v="1"/>
    <n v="31.6"/>
    <n v="14.333518892000003"/>
    <n v="2.3340000000000001"/>
    <n v="33.45443309392801"/>
  </r>
  <r>
    <d v="2018-09-28T00:00:00"/>
    <s v="Royal"/>
    <n v="2"/>
    <n v="1"/>
    <n v="18.16"/>
    <s v="shallots"/>
    <x v="116"/>
    <x v="1"/>
    <n v="36.32"/>
    <n v="16.474474878400002"/>
    <n v="0.27500000000000002"/>
    <n v="4.5304805915600008"/>
  </r>
  <r>
    <d v="2018-11-30T00:00:00"/>
    <s v="Dairy Products"/>
    <n v="3"/>
    <n v="1"/>
    <n v="21.5"/>
    <s v="MILK SOY VAN BAG"/>
    <x v="118"/>
    <x v="1"/>
    <n v="64.5"/>
    <n v="29.256707864999999"/>
    <n v="0.25800000000000001"/>
    <n v="7.5482306291699999"/>
  </r>
  <r>
    <d v="2018-11-30T00:00:00"/>
    <s v="Dairy Products"/>
    <n v="3"/>
    <n v="1"/>
    <n v="21.5"/>
    <s v="MILK SOY CHOC BAG"/>
    <x v="118"/>
    <x v="1"/>
    <n v="64.5"/>
    <n v="29.256707864999999"/>
    <n v="0.25800000000000001"/>
    <n v="7.5482306291699999"/>
  </r>
  <r>
    <d v="2018-11-30T00:00:00"/>
    <s v="Dairy Products"/>
    <n v="1"/>
    <n v="12"/>
    <n v="2"/>
    <s v="MILK SOY PLAIN"/>
    <x v="118"/>
    <x v="1"/>
    <n v="24"/>
    <n v="10.886216880000001"/>
    <n v="0.25800000000000001"/>
    <n v="2.8086439550400004"/>
  </r>
  <r>
    <d v="2018-12-03T00:00:00"/>
    <s v="Dairy Products"/>
    <n v="2"/>
    <n v="1"/>
    <n v="21.5"/>
    <s v="MILK SOY VAN BAG"/>
    <x v="118"/>
    <x v="1"/>
    <n v="43"/>
    <n v="19.504471909999999"/>
    <n v="0.25800000000000001"/>
    <n v="5.0321537527800002"/>
  </r>
  <r>
    <d v="2018-12-03T00:00:00"/>
    <s v="Dairy Products"/>
    <n v="1"/>
    <n v="1"/>
    <n v="21.5"/>
    <s v="MILK SOY CHOC BAG"/>
    <x v="118"/>
    <x v="1"/>
    <n v="21.5"/>
    <n v="9.7522359549999997"/>
    <n v="0.25800000000000001"/>
    <n v="2.5160768763900001"/>
  </r>
  <r>
    <d v="2018-12-05T00:00:00"/>
    <s v="Dairy Products"/>
    <n v="2"/>
    <n v="1"/>
    <n v="21.5"/>
    <s v="MILK SOY VAN BAG"/>
    <x v="118"/>
    <x v="1"/>
    <n v="43"/>
    <n v="19.504471909999999"/>
    <n v="0.25800000000000001"/>
    <n v="5.0321537527800002"/>
  </r>
  <r>
    <d v="2018-12-05T00:00:00"/>
    <s v="Dairy Products"/>
    <n v="2"/>
    <n v="1"/>
    <n v="21.5"/>
    <s v="MILK SOY CHOC BAG"/>
    <x v="118"/>
    <x v="1"/>
    <n v="43"/>
    <n v="19.504471909999999"/>
    <n v="0.25800000000000001"/>
    <n v="5.0321537527800002"/>
  </r>
  <r>
    <d v="2018-09-28T00:00:00"/>
    <s v="Royal"/>
    <n v="2"/>
    <n v="1"/>
    <n v="20"/>
    <s v="edamame beans"/>
    <x v="119"/>
    <x v="1"/>
    <n v="40"/>
    <n v="18.143694800000002"/>
    <n v="1.1539999999999999"/>
    <n v="20.9378237992"/>
  </r>
  <r>
    <d v="2018-10-04T00:00:00"/>
    <s v="Royal"/>
    <n v="1"/>
    <n v="1"/>
    <n v="20"/>
    <s v="Beans Edamame (No Shell)"/>
    <x v="119"/>
    <x v="1"/>
    <n v="20"/>
    <n v="9.0718474000000011"/>
    <n v="1.1539999999999999"/>
    <n v="10.4689118996"/>
  </r>
  <r>
    <d v="2018-12-03T00:00:00"/>
    <s v="Canned and dry goods"/>
    <n v="3"/>
    <n v="6"/>
    <n v="0.875"/>
    <s v="SPICE CUMIN GRND"/>
    <x v="120"/>
    <x v="1"/>
    <n v="15.75"/>
    <n v="7.1440798275000006"/>
    <n v="0.87"/>
    <n v="6.2153494499250002"/>
  </r>
  <r>
    <d v="2018-12-03T00:00:00"/>
    <s v="Canned and dry goods"/>
    <n v="3"/>
    <n v="6"/>
    <n v="1"/>
    <s v="SPICE PAPRIKA XFCY"/>
    <x v="120"/>
    <x v="1"/>
    <n v="18"/>
    <n v="8.1646626599999994"/>
    <n v="0.87"/>
    <n v="7.103256514199999"/>
  </r>
  <r>
    <d v="2018-12-05T00:00:00"/>
    <s v="Canned and dry goods"/>
    <n v="3"/>
    <n v="6"/>
    <n v="1.125"/>
    <s v="SPICE CHILI POWDER LT"/>
    <x v="120"/>
    <x v="1"/>
    <n v="20.25"/>
    <n v="9.1852454925"/>
    <n v="0.87"/>
    <n v="7.9911635784749997"/>
  </r>
  <r>
    <d v="2018-12-05T00:00:00"/>
    <s v="Canned and dry goods"/>
    <n v="3"/>
    <n v="6"/>
    <n v="0.875"/>
    <s v="SPICE CUMIN GRND"/>
    <x v="120"/>
    <x v="1"/>
    <n v="15.75"/>
    <n v="7.1440798275000006"/>
    <n v="0.87"/>
    <n v="6.2153494499250002"/>
  </r>
  <r>
    <d v="2018-12-05T00:00:00"/>
    <s v="Canned and dry goods"/>
    <n v="1"/>
    <n v="3"/>
    <n v="7.25"/>
    <s v="SPICE GARLIC GRANULATED"/>
    <x v="120"/>
    <x v="1"/>
    <n v="21.75"/>
    <n v="9.8656340475000004"/>
    <n v="0.87"/>
    <n v="8.5831016213249995"/>
  </r>
  <r>
    <d v="2018-12-05T00:00:00"/>
    <s v="Canned and dry goods"/>
    <n v="3"/>
    <n v="6"/>
    <n v="1.25"/>
    <s v="SPICE ONION POWDER"/>
    <x v="120"/>
    <x v="1"/>
    <n v="22.5"/>
    <n v="10.205828325000001"/>
    <n v="0.87"/>
    <n v="8.8790706427500012"/>
  </r>
  <r>
    <d v="2018-09-29T00:00:00"/>
    <s v="Royal"/>
    <n v="1"/>
    <n v="1"/>
    <n v="1.25"/>
    <s v="blackfish seasoning"/>
    <x v="121"/>
    <x v="1"/>
    <n v="1.25"/>
    <n v="0.56699046250000007"/>
    <n v="0.87"/>
    <n v="0.49328170237500008"/>
  </r>
  <r>
    <d v="2018-09-29T00:00:00"/>
    <s v="Royal"/>
    <n v="2"/>
    <n v="1"/>
    <n v="1"/>
    <s v="cumin"/>
    <x v="121"/>
    <x v="1"/>
    <n v="2"/>
    <n v="0.90718474000000004"/>
    <n v="0.87"/>
    <n v="0.78925072380000005"/>
  </r>
  <r>
    <d v="2018-10-03T00:00:00"/>
    <s v="Royal"/>
    <n v="1"/>
    <n v="1"/>
    <n v="5"/>
    <s v="paprika spice"/>
    <x v="121"/>
    <x v="1"/>
    <n v="5"/>
    <n v="2.2679618500000003"/>
    <n v="0.87"/>
    <n v="1.9731268095000003"/>
  </r>
  <r>
    <d v="2018-11-30T00:00:00"/>
    <s v="Canned and dry goods"/>
    <n v="2"/>
    <n v="6"/>
    <n v="1.125"/>
    <s v="SEASONING CAJUN"/>
    <x v="121"/>
    <x v="1"/>
    <n v="13.5"/>
    <n v="6.1234969950000009"/>
    <n v="0.87"/>
    <n v="5.3274423856500004"/>
  </r>
  <r>
    <d v="2018-11-30T00:00:00"/>
    <s v="Canned and dry goods"/>
    <n v="1"/>
    <n v="6"/>
    <n v="1"/>
    <s v="SPICE CURRY POWDER"/>
    <x v="121"/>
    <x v="1"/>
    <n v="6"/>
    <n v="2.7215542200000002"/>
    <n v="0.87"/>
    <n v="2.3677521714000003"/>
  </r>
  <r>
    <d v="2018-11-30T00:00:00"/>
    <s v="Canned and dry goods"/>
    <n v="1"/>
    <n v="3"/>
    <n v="7.25"/>
    <s v="SPICE GARLIC GRANULATED"/>
    <x v="121"/>
    <x v="1"/>
    <n v="21.75"/>
    <n v="9.8656340475000004"/>
    <n v="0.87"/>
    <n v="8.5831016213249995"/>
  </r>
  <r>
    <d v="2018-11-30T00:00:00"/>
    <s v="Canned and dry goods"/>
    <n v="1"/>
    <n v="12"/>
    <n v="3"/>
    <s v="SALT KOSHER FLAKE COARSE"/>
    <x v="121"/>
    <x v="1"/>
    <n v="36"/>
    <n v="16.329325319999999"/>
    <n v="0.87"/>
    <n v="14.206513028399998"/>
  </r>
  <r>
    <d v="2018-11-30T00:00:00"/>
    <s v="Canned and dry goods"/>
    <n v="2"/>
    <n v="6"/>
    <n v="1.5"/>
    <s v="SEASONING OLD BAY"/>
    <x v="121"/>
    <x v="1"/>
    <n v="18"/>
    <n v="8.1646626599999994"/>
    <n v="0.87"/>
    <n v="7.103256514199999"/>
  </r>
  <r>
    <d v="2018-11-30T00:00:00"/>
    <s v="Canned and dry goods"/>
    <n v="1"/>
    <n v="6"/>
    <n v="0.390625"/>
    <s v="SEASONING ITALIAN WHL"/>
    <x v="121"/>
    <x v="1"/>
    <n v="2.34375"/>
    <n v="1.0631071171875002"/>
    <n v="0.87"/>
    <n v="0.92490319195312509"/>
  </r>
  <r>
    <d v="2018-12-03T00:00:00"/>
    <s v="Canned and dry goods"/>
    <n v="2"/>
    <n v="6"/>
    <n v="1.125"/>
    <s v="SEASONING CARIBBEAN JERK"/>
    <x v="121"/>
    <x v="1"/>
    <n v="13.5"/>
    <n v="6.1234969950000009"/>
    <n v="0.87"/>
    <n v="5.3274423856500004"/>
  </r>
  <r>
    <d v="2018-12-03T00:00:00"/>
    <s v="Canned and dry goods"/>
    <n v="1"/>
    <n v="12"/>
    <n v="3"/>
    <s v="SALT KOSHER FLAKE COARSE"/>
    <x v="121"/>
    <x v="1"/>
    <n v="36"/>
    <n v="16.329325319999999"/>
    <n v="0.87"/>
    <n v="14.206513028399998"/>
  </r>
  <r>
    <d v="2018-12-05T00:00:00"/>
    <s v="Canned and dry goods"/>
    <n v="2"/>
    <n v="12"/>
    <n v="3"/>
    <s v="SALT KOSHER FLAKE COARSE"/>
    <x v="121"/>
    <x v="1"/>
    <n v="72"/>
    <n v="32.658650639999998"/>
    <n v="0.87"/>
    <n v="28.413026056799996"/>
  </r>
  <r>
    <d v="2018-09-29T00:00:00"/>
    <s v="Royal"/>
    <n v="4"/>
    <n v="1"/>
    <n v="10"/>
    <s v="spinach washed"/>
    <x v="122"/>
    <x v="1"/>
    <n v="40"/>
    <n v="18.143694800000002"/>
    <n v="0.307"/>
    <n v="5.5701143036000005"/>
  </r>
  <r>
    <d v="2018-09-28T00:00:00"/>
    <s v="Royal"/>
    <n v="6"/>
    <n v="1"/>
    <n v="10"/>
    <s v="spinach washed"/>
    <x v="122"/>
    <x v="1"/>
    <n v="60"/>
    <n v="27.215542200000002"/>
    <n v="0.307"/>
    <n v="8.3551714554000007"/>
  </r>
  <r>
    <d v="2018-10-01T00:00:00"/>
    <s v="Royal"/>
    <n v="3"/>
    <n v="1"/>
    <n v="10"/>
    <s v="spinach washed"/>
    <x v="122"/>
    <x v="1"/>
    <n v="30"/>
    <n v="13.607771100000001"/>
    <n v="0.307"/>
    <n v="4.1775857277000004"/>
  </r>
  <r>
    <d v="2018-10-03T00:00:00"/>
    <s v="Royal"/>
    <n v="3"/>
    <n v="1"/>
    <n v="10"/>
    <s v="spinach washed"/>
    <x v="122"/>
    <x v="1"/>
    <n v="30"/>
    <n v="13.607771100000001"/>
    <n v="0.307"/>
    <n v="4.1775857277000004"/>
  </r>
  <r>
    <d v="2018-09-28T00:00:00"/>
    <s v="Royal"/>
    <n v="3"/>
    <n v="1"/>
    <n v="33"/>
    <s v="yellow squash"/>
    <x v="123"/>
    <x v="1"/>
    <n v="99"/>
    <n v="44.905644630000005"/>
    <n v="1.2290000000000001"/>
    <n v="55.189037250270012"/>
  </r>
  <r>
    <d v="2018-09-28T00:00:00"/>
    <s v="Royal"/>
    <n v="3"/>
    <n v="1"/>
    <n v="22"/>
    <s v="zucchini squash"/>
    <x v="123"/>
    <x v="1"/>
    <n v="66"/>
    <n v="29.937096420000003"/>
    <n v="1.2290000000000001"/>
    <n v="36.792691500180005"/>
  </r>
  <r>
    <d v="2018-09-28T00:00:00"/>
    <s v="Royal"/>
    <n v="2"/>
    <n v="1"/>
    <n v="48.888888888888893"/>
    <s v="yellow squash"/>
    <x v="123"/>
    <x v="1"/>
    <n v="97.777777777777786"/>
    <n v="44.351253955555563"/>
    <n v="1.2290000000000001"/>
    <n v="54.507691111377788"/>
  </r>
  <r>
    <d v="2018-09-28T00:00:00"/>
    <s v="Royal"/>
    <n v="2"/>
    <n v="1"/>
    <n v="22"/>
    <s v="zucchini squash"/>
    <x v="123"/>
    <x v="1"/>
    <n v="44"/>
    <n v="19.958064280000002"/>
    <n v="1.2290000000000001"/>
    <n v="24.528461000120004"/>
  </r>
  <r>
    <d v="2018-10-01T00:00:00"/>
    <s v="Royal"/>
    <n v="2"/>
    <n v="1"/>
    <n v="20"/>
    <s v="butternut squash"/>
    <x v="123"/>
    <x v="1"/>
    <n v="40"/>
    <n v="18.143694800000002"/>
    <n v="1.2290000000000001"/>
    <n v="22.298600909200005"/>
  </r>
  <r>
    <d v="2018-10-03T00:00:00"/>
    <s v="Royal"/>
    <n v="2"/>
    <n v="1"/>
    <n v="20"/>
    <s v="squash yellow"/>
    <x v="123"/>
    <x v="1"/>
    <n v="40"/>
    <n v="18.143694800000002"/>
    <n v="1.2290000000000001"/>
    <n v="22.298600909200005"/>
  </r>
  <r>
    <d v="2018-10-03T00:00:00"/>
    <s v="Royal"/>
    <n v="4"/>
    <n v="1"/>
    <n v="20"/>
    <s v="squash zucchini"/>
    <x v="123"/>
    <x v="1"/>
    <n v="80"/>
    <n v="36.287389600000004"/>
    <n v="1.2290000000000001"/>
    <n v="44.597201818400009"/>
  </r>
  <r>
    <d v="2018-10-04T00:00:00"/>
    <s v="Royal"/>
    <n v="3"/>
    <n v="1"/>
    <n v="33"/>
    <s v="Squash  Yellow"/>
    <x v="123"/>
    <x v="1"/>
    <n v="99"/>
    <n v="44.905644630000005"/>
    <n v="1.2290000000000001"/>
    <n v="55.189037250270012"/>
  </r>
  <r>
    <d v="2018-10-04T00:00:00"/>
    <s v="Royal"/>
    <n v="2"/>
    <n v="1"/>
    <n v="22"/>
    <s v="Squash  Zucchini "/>
    <x v="123"/>
    <x v="1"/>
    <n v="44"/>
    <n v="19.958064280000002"/>
    <n v="1.2290000000000001"/>
    <n v="24.528461000120004"/>
  </r>
  <r>
    <d v="2018-09-28T00:00:00"/>
    <s v="Royal"/>
    <n v="10"/>
    <n v="1"/>
    <n v="8"/>
    <s v="strawberry "/>
    <x v="124"/>
    <x v="1"/>
    <n v="80"/>
    <n v="36.287389600000004"/>
    <n v="0.61399999999999999"/>
    <n v="22.280457214400002"/>
  </r>
  <r>
    <d v="2018-10-01T00:00:00"/>
    <s v="Royal"/>
    <n v="6"/>
    <n v="1"/>
    <n v="8"/>
    <s v="strawberry "/>
    <x v="124"/>
    <x v="1"/>
    <n v="48"/>
    <n v="21.772433760000002"/>
    <n v="0.61399999999999999"/>
    <n v="13.368274328640002"/>
  </r>
  <r>
    <d v="2018-10-03T00:00:00"/>
    <s v="Royal"/>
    <n v="4"/>
    <n v="1"/>
    <n v="8"/>
    <s v="strawberry"/>
    <x v="124"/>
    <x v="1"/>
    <n v="32"/>
    <n v="14.514955840000001"/>
    <n v="0.61399999999999999"/>
    <n v="8.9121828857600001"/>
  </r>
  <r>
    <d v="2018-10-04T00:00:00"/>
    <s v="Royal"/>
    <n v="6"/>
    <n v="1"/>
    <n v="8"/>
    <s v="Strawberry "/>
    <x v="124"/>
    <x v="1"/>
    <n v="48"/>
    <n v="21.772433760000002"/>
    <n v="0.61399999999999999"/>
    <n v="13.368274328640002"/>
  </r>
  <r>
    <d v="2018-09-29T00:00:00"/>
    <s v="Royal"/>
    <n v="1"/>
    <n v="1"/>
    <n v="11.25"/>
    <s v="strawberry puree"/>
    <x v="158"/>
    <x v="1"/>
    <n v="11.25"/>
    <n v="5.1029141625000003"/>
    <n v="1.147"/>
    <n v="5.8530425443875007"/>
  </r>
  <r>
    <d v="2018-09-29T00:00:00"/>
    <s v="Royal"/>
    <n v="10"/>
    <n v="1"/>
    <n v="8"/>
    <s v="strawbery "/>
    <x v="159"/>
    <x v="1"/>
    <n v="80"/>
    <n v="36.287389600000004"/>
    <n v="0.61399999999999999"/>
    <n v="22.280457214400002"/>
  </r>
  <r>
    <d v="2018-11-30T00:00:00"/>
    <s v="Canned and dry goods"/>
    <n v="1"/>
    <n v="1"/>
    <n v="50"/>
    <s v="SUGAR BROWN LIGHT CANE"/>
    <x v="125"/>
    <x v="1"/>
    <n v="50"/>
    <n v="22.6796185"/>
    <n v="0.7"/>
    <n v="15.87573295"/>
  </r>
  <r>
    <d v="2018-11-30T00:00:00"/>
    <s v="Canned and dry goods"/>
    <n v="2"/>
    <n v="1"/>
    <n v="25"/>
    <s v="SUGAR GRANULATED XFINE CANE"/>
    <x v="125"/>
    <x v="1"/>
    <n v="50"/>
    <n v="22.6796185"/>
    <n v="0.7"/>
    <n v="15.87573295"/>
  </r>
  <r>
    <d v="2018-12-03T00:00:00"/>
    <s v="Canned and dry goods"/>
    <n v="1"/>
    <n v="1"/>
    <n v="50"/>
    <s v="SUGAR GRANULATED XFN"/>
    <x v="125"/>
    <x v="1"/>
    <n v="50"/>
    <n v="22.6796185"/>
    <n v="0.7"/>
    <n v="15.87573295"/>
  </r>
  <r>
    <d v="2018-12-05T00:00:00"/>
    <s v="Canned and dry goods"/>
    <n v="1"/>
    <n v="1"/>
    <n v="50"/>
    <s v="SUGAR GRANULATED XFN"/>
    <x v="125"/>
    <x v="1"/>
    <n v="50"/>
    <n v="22.6796185"/>
    <n v="0.7"/>
    <n v="15.87573295"/>
  </r>
  <r>
    <d v="2018-09-28T00:00:00"/>
    <s v="Common Market"/>
    <n v="1"/>
    <n v="1"/>
    <n v="120"/>
    <s v="sweet potatoes"/>
    <x v="126"/>
    <x v="1"/>
    <n v="120"/>
    <n v="54.431084400000003"/>
    <n v="0.30199999999999999"/>
    <n v="16.438187488800001"/>
  </r>
  <r>
    <d v="2018-12-03T00:00:00"/>
    <s v="Frozen"/>
    <n v="4"/>
    <n v="5"/>
    <n v="3"/>
    <s v="POTATO SWEET THIN REG CUT 5/16"/>
    <x v="126"/>
    <x v="1"/>
    <n v="60"/>
    <n v="27.215542200000002"/>
    <n v="0.30199999999999999"/>
    <n v="8.2190937444000003"/>
  </r>
  <r>
    <d v="2018-10-01T00:00:00"/>
    <s v="Royal"/>
    <n v="2"/>
    <n v="1"/>
    <n v="12"/>
    <s v="green swiss chard"/>
    <x v="128"/>
    <x v="1"/>
    <n v="24"/>
    <n v="10.886216880000001"/>
    <n v="0.19600000000000001"/>
    <n v="2.1336985084800002"/>
  </r>
  <r>
    <d v="2018-10-01T00:00:00"/>
    <s v="Royal"/>
    <n v="1"/>
    <n v="1"/>
    <n v="12"/>
    <s v="red swiss chard"/>
    <x v="128"/>
    <x v="1"/>
    <n v="12"/>
    <n v="5.4431084400000005"/>
    <n v="0.19600000000000001"/>
    <n v="1.0668492542400001"/>
  </r>
  <r>
    <d v="2018-12-03T00:00:00"/>
    <s v="Canned and dry goods"/>
    <n v="2"/>
    <n v="4"/>
    <n v="11.01"/>
    <s v="SYRUP PANCAKE &amp;  WAFFLE"/>
    <x v="129"/>
    <x v="1"/>
    <n v="88.08"/>
    <n v="39.952415949600002"/>
    <n v="6.7539999999999996"/>
    <n v="269.83861732359838"/>
  </r>
  <r>
    <d v="2018-11-30T00:00:00"/>
    <s v="Canned and dry goods"/>
    <n v="1"/>
    <n v="4"/>
    <n v="11.01"/>
    <s v="SYRUP PANCAKE &amp;  WAFFLE"/>
    <x v="130"/>
    <x v="1"/>
    <n v="44.04"/>
    <n v="19.976207974800001"/>
    <n v="6.7539999999999996"/>
    <n v="134.91930866179919"/>
  </r>
  <r>
    <d v="2018-09-29T00:00:00"/>
    <s v="Royal"/>
    <n v="4"/>
    <n v="1"/>
    <n v="4.172698091"/>
    <s v="tofu"/>
    <x v="131"/>
    <x v="1"/>
    <n v="16.690792364"/>
    <n v="7.5708160655646637"/>
    <n v="1.6639999999999999"/>
    <n v="12.5978379330996"/>
  </r>
  <r>
    <d v="2018-09-28T00:00:00"/>
    <s v="Royal"/>
    <n v="5"/>
    <n v="1"/>
    <n v="4.172698091"/>
    <s v="tofu"/>
    <x v="131"/>
    <x v="1"/>
    <n v="20.863490455000001"/>
    <n v="9.4635200819558296"/>
    <n v="1.6639999999999999"/>
    <n v="15.747297416374499"/>
  </r>
  <r>
    <d v="2018-09-28T00:00:00"/>
    <s v="Royal"/>
    <n v="2"/>
    <n v="1"/>
    <n v="4.17"/>
    <s v="tofu"/>
    <x v="131"/>
    <x v="1"/>
    <n v="8.34"/>
    <n v="3.7829603658000002"/>
    <n v="1.6639999999999999"/>
    <n v="6.2948460486912001"/>
  </r>
  <r>
    <d v="2018-10-01T00:00:00"/>
    <s v="Royal"/>
    <n v="4"/>
    <n v="1"/>
    <n v="4.172698091"/>
    <s v="tofu"/>
    <x v="131"/>
    <x v="1"/>
    <n v="16.690792364"/>
    <n v="7.5708160655646637"/>
    <n v="1.6639999999999999"/>
    <n v="12.5978379330996"/>
  </r>
  <r>
    <d v="2018-10-02T00:00:00"/>
    <s v="Royal"/>
    <n v="2"/>
    <n v="1"/>
    <n v="4.172698091"/>
    <s v="tofu"/>
    <x v="131"/>
    <x v="1"/>
    <n v="8.345396182"/>
    <n v="3.7854080327823318"/>
    <n v="1.6639999999999999"/>
    <n v="6.2989189665497998"/>
  </r>
  <r>
    <d v="2018-10-03T00:00:00"/>
    <s v="Royal"/>
    <n v="2"/>
    <n v="1"/>
    <n v="4.172698091"/>
    <s v="tofu"/>
    <x v="131"/>
    <x v="1"/>
    <n v="8.345396182"/>
    <n v="3.7854080327823318"/>
    <n v="1.6639999999999999"/>
    <n v="6.2989189665497998"/>
  </r>
  <r>
    <d v="2018-10-04T00:00:00"/>
    <s v="Royal"/>
    <n v="4"/>
    <n v="1"/>
    <n v="4.172698091"/>
    <s v="Tofu Firm 5 Gal"/>
    <x v="131"/>
    <x v="1"/>
    <n v="16.690792364"/>
    <n v="7.5708160655646637"/>
    <n v="1.6639999999999999"/>
    <n v="12.5978379330996"/>
  </r>
  <r>
    <d v="2018-09-29T00:00:00"/>
    <s v="Royal"/>
    <n v="3"/>
    <n v="1"/>
    <n v="10"/>
    <s v="tomato diced"/>
    <x v="132"/>
    <x v="1"/>
    <n v="30"/>
    <n v="13.607771100000001"/>
    <n v="0.47"/>
    <n v="6.395652417"/>
  </r>
  <r>
    <d v="2018-09-29T00:00:00"/>
    <s v="Royal"/>
    <n v="1"/>
    <n v="1"/>
    <n v="25"/>
    <s v="tomato"/>
    <x v="132"/>
    <x v="1"/>
    <n v="25"/>
    <n v="11.33980925"/>
    <n v="0.47"/>
    <n v="5.3297103474999998"/>
  </r>
  <r>
    <d v="2018-09-29T00:00:00"/>
    <s v="Royal"/>
    <n v="8"/>
    <n v="1"/>
    <n v="10"/>
    <s v="tomato red grape"/>
    <x v="132"/>
    <x v="1"/>
    <n v="80"/>
    <n v="36.287389600000004"/>
    <n v="0.47"/>
    <n v="17.055073112000002"/>
  </r>
  <r>
    <d v="2018-09-28T00:00:00"/>
    <s v="Royal"/>
    <n v="2"/>
    <n v="1"/>
    <n v="10"/>
    <s v="tomato diced"/>
    <x v="132"/>
    <x v="1"/>
    <n v="20"/>
    <n v="9.0718474000000011"/>
    <n v="0.47"/>
    <n v="4.2637682780000006"/>
  </r>
  <r>
    <d v="2018-09-28T00:00:00"/>
    <s v="Royal"/>
    <n v="2"/>
    <n v="1"/>
    <n v="20"/>
    <s v="tomato "/>
    <x v="132"/>
    <x v="1"/>
    <n v="40"/>
    <n v="18.143694800000002"/>
    <n v="0.47"/>
    <n v="8.5275365560000012"/>
  </r>
  <r>
    <d v="2018-09-28T00:00:00"/>
    <s v="Royal"/>
    <n v="10"/>
    <n v="1"/>
    <n v="10"/>
    <s v="tomato red grape"/>
    <x v="132"/>
    <x v="1"/>
    <n v="100"/>
    <n v="45.359237"/>
    <n v="0.47"/>
    <n v="21.318841389999999"/>
  </r>
  <r>
    <d v="2018-09-28T00:00:00"/>
    <s v="Royal"/>
    <n v="1"/>
    <n v="1"/>
    <n v="23"/>
    <s v="tomato"/>
    <x v="132"/>
    <x v="1"/>
    <n v="23"/>
    <n v="10.43262451"/>
    <n v="0.47"/>
    <n v="4.9033335196999994"/>
  </r>
  <r>
    <d v="2018-09-29T00:00:00"/>
    <s v="Royal"/>
    <n v="3"/>
    <n v="1"/>
    <n v="10"/>
    <s v="tomato diced"/>
    <x v="132"/>
    <x v="1"/>
    <n v="30"/>
    <n v="13.607771100000001"/>
    <n v="0.47"/>
    <n v="6.395652417"/>
  </r>
  <r>
    <d v="2018-09-29T00:00:00"/>
    <s v="Royal"/>
    <n v="3"/>
    <n v="1"/>
    <n v="10"/>
    <s v="tomato sliced"/>
    <x v="132"/>
    <x v="1"/>
    <n v="30"/>
    <n v="13.607771100000001"/>
    <n v="0.47"/>
    <n v="6.395652417"/>
  </r>
  <r>
    <d v="2018-10-01T00:00:00"/>
    <s v="Royal"/>
    <n v="7"/>
    <n v="1"/>
    <n v="10"/>
    <s v="tomato red grape"/>
    <x v="132"/>
    <x v="1"/>
    <n v="70"/>
    <n v="31.751465900000003"/>
    <n v="0.47"/>
    <n v="14.923188973"/>
  </r>
  <r>
    <d v="2018-10-02T00:00:00"/>
    <s v="Royal"/>
    <n v="1"/>
    <n v="1"/>
    <n v="25"/>
    <s v="tomato"/>
    <x v="132"/>
    <x v="1"/>
    <n v="25"/>
    <n v="11.33980925"/>
    <n v="0.47"/>
    <n v="5.3297103474999998"/>
  </r>
  <r>
    <d v="2018-10-02T00:00:00"/>
    <s v="Royal"/>
    <n v="8"/>
    <n v="1"/>
    <n v="10"/>
    <s v="tomato grape red"/>
    <x v="132"/>
    <x v="1"/>
    <n v="80"/>
    <n v="36.287389600000004"/>
    <n v="0.47"/>
    <n v="17.055073112000002"/>
  </r>
  <r>
    <d v="2018-10-03T00:00:00"/>
    <s v="Royal"/>
    <n v="1"/>
    <n v="1"/>
    <n v="23"/>
    <s v="tomato"/>
    <x v="132"/>
    <x v="1"/>
    <n v="23"/>
    <n v="10.43262451"/>
    <n v="0.47"/>
    <n v="4.9033335196999994"/>
  </r>
  <r>
    <d v="2018-10-03T00:00:00"/>
    <s v="Royal"/>
    <n v="5"/>
    <n v="1"/>
    <n v="10"/>
    <s v="tomato grape red"/>
    <x v="132"/>
    <x v="1"/>
    <n v="50"/>
    <n v="22.6796185"/>
    <n v="0.47"/>
    <n v="10.659420695"/>
  </r>
  <r>
    <d v="2018-10-04T00:00:00"/>
    <s v="Royal"/>
    <n v="1"/>
    <n v="1"/>
    <n v="10"/>
    <s v="Pr Tomato Diced "/>
    <x v="132"/>
    <x v="1"/>
    <n v="10"/>
    <n v="4.5359237000000006"/>
    <n v="0.47"/>
    <n v="2.1318841390000003"/>
  </r>
  <r>
    <d v="2018-10-04T00:00:00"/>
    <s v="Royal"/>
    <n v="7"/>
    <n v="1"/>
    <n v="10"/>
    <s v="tomato grape red"/>
    <x v="132"/>
    <x v="1"/>
    <n v="70"/>
    <n v="31.751465900000003"/>
    <n v="0.47"/>
    <n v="14.923188973"/>
  </r>
  <r>
    <d v="2018-11-30T00:00:00"/>
    <s v="Canned and dry goods"/>
    <n v="4"/>
    <n v="6"/>
    <n v="10"/>
    <s v="TOMATO DICED IN JCE NO SALT CA"/>
    <x v="132"/>
    <x v="1"/>
    <n v="240"/>
    <n v="108.86216880000001"/>
    <n v="0.47"/>
    <n v="51.165219336"/>
  </r>
  <r>
    <d v="2018-11-30T00:00:00"/>
    <s v="Canned and dry goods"/>
    <n v="4"/>
    <n v="6"/>
    <n v="10"/>
    <s v="TOMATO CRUSHED ALL PURP FCY CA"/>
    <x v="132"/>
    <x v="1"/>
    <n v="240"/>
    <n v="108.86216880000001"/>
    <n v="0.47"/>
    <n v="51.165219336"/>
  </r>
  <r>
    <d v="2018-11-30T00:00:00"/>
    <s v="Canned and dry goods"/>
    <n v="8"/>
    <n v="6"/>
    <n v="10"/>
    <s v="TOMATO GRND PLD IN PUREE"/>
    <x v="132"/>
    <x v="1"/>
    <n v="480"/>
    <n v="217.72433760000001"/>
    <n v="0.47"/>
    <n v="102.330438672"/>
  </r>
  <r>
    <d v="2018-12-03T00:00:00"/>
    <s v="Canned and dry goods"/>
    <n v="2"/>
    <n v="6"/>
    <n v="10"/>
    <s v="TOMATO CRUSHED ALL PURP FCY CA"/>
    <x v="132"/>
    <x v="1"/>
    <n v="120"/>
    <n v="54.431084400000003"/>
    <n v="0.47"/>
    <n v="25.582609668"/>
  </r>
  <r>
    <d v="2018-12-05T00:00:00"/>
    <s v="Canned and dry goods"/>
    <n v="6"/>
    <n v="6"/>
    <n v="10"/>
    <s v="TOMATO CRUSHED ALL PURP FCY CA"/>
    <x v="132"/>
    <x v="1"/>
    <n v="360"/>
    <n v="163.29325320000001"/>
    <n v="0.47"/>
    <n v="76.747829003999996"/>
  </r>
  <r>
    <d v="2018-12-05T00:00:00"/>
    <s v="Canned and dry goods"/>
    <n v="1"/>
    <n v="6"/>
    <n v="10"/>
    <s v="TOMATO GRND PLD IN PUREE"/>
    <x v="132"/>
    <x v="1"/>
    <n v="60"/>
    <n v="27.215542200000002"/>
    <n v="0.47"/>
    <n v="12.791304834"/>
  </r>
  <r>
    <d v="2018-12-03T00:00:00"/>
    <s v="Canned and dry goods"/>
    <n v="1"/>
    <n v="6"/>
    <n v="10"/>
    <s v="TOMATO PASTE FANCY CA"/>
    <x v="133"/>
    <x v="1"/>
    <n v="60"/>
    <n v="27.215542200000002"/>
    <n v="0.11799999999999999"/>
    <n v="3.2114339796000002"/>
  </r>
  <r>
    <d v="2018-11-30T00:00:00"/>
    <s v="Frozen"/>
    <n v="2"/>
    <n v="12"/>
    <n v="3.9683219999999997"/>
    <s v="TORTILLA CORN WHT 6 IN"/>
    <x v="134"/>
    <x v="1"/>
    <n v="95.239727999999985"/>
    <n v="43.200013941675351"/>
    <n v="1.28"/>
    <n v="55.296017845344451"/>
  </r>
  <r>
    <d v="2018-11-30T00:00:00"/>
    <s v="Frozen"/>
    <n v="2"/>
    <n v="6"/>
    <n v="0.79366439999999994"/>
    <s v="WRAP TORTILLA TOMATO BASIL 12"/>
    <x v="135"/>
    <x v="1"/>
    <n v="9.5239727999999992"/>
    <n v="4.3200013941675364"/>
    <n v="1.28"/>
    <n v="5.5296017845344467"/>
  </r>
  <r>
    <d v="2018-11-30T00:00:00"/>
    <s v="Frozen"/>
    <n v="2"/>
    <n v="6"/>
    <n v="0.79366439999999994"/>
    <s v="WRAP TORTILLA SPINACH HERB 12"/>
    <x v="135"/>
    <x v="1"/>
    <n v="9.5239727999999992"/>
    <n v="4.3200013941675364"/>
    <n v="1.28"/>
    <n v="5.5296017845344467"/>
  </r>
  <r>
    <d v="2018-12-03T00:00:00"/>
    <s v="Frozen"/>
    <n v="1"/>
    <n v="24"/>
    <n v="0.79366439999999994"/>
    <s v="TORTILLA FLOUR PRESSED 6 IN"/>
    <x v="135"/>
    <x v="1"/>
    <n v="19.047945599999998"/>
    <n v="8.6400027883350727"/>
    <n v="1.28"/>
    <n v="11.059203569068893"/>
  </r>
  <r>
    <d v="2018-12-03T00:00:00"/>
    <s v="Frozen"/>
    <n v="1"/>
    <n v="6"/>
    <n v="0.79366439999999994"/>
    <s v="WRAP TORTILLA SPINACH HERB 12"/>
    <x v="135"/>
    <x v="1"/>
    <n v="4.7619863999999996"/>
    <n v="2.1600006970837682"/>
    <n v="1.28"/>
    <n v="2.7648008922672234"/>
  </r>
  <r>
    <d v="2018-11-30T00:00:00"/>
    <s v="Canned and dry goods"/>
    <n v="1"/>
    <n v="6"/>
    <n v="4.15625"/>
    <s v="TUNA CHUNK SKIP JACK FAD FREE"/>
    <x v="136"/>
    <x v="0"/>
    <n v="24.9375"/>
    <n v="11.311459726875"/>
    <n v="2.1480000000000001"/>
    <n v="24.297015493327503"/>
  </r>
  <r>
    <d v="2018-12-03T00:00:00"/>
    <s v="Canned and dry goods"/>
    <n v="1"/>
    <n v="6"/>
    <n v="4.15625"/>
    <s v="TUNA CHUNK SKIP JACK FAD FREE"/>
    <x v="136"/>
    <x v="0"/>
    <n v="24.9375"/>
    <n v="11.311459726875"/>
    <n v="2.1480000000000001"/>
    <n v="24.297015493327503"/>
  </r>
  <r>
    <d v="2018-11-30T00:00:00"/>
    <s v="Poultry"/>
    <n v="1"/>
    <n v="1"/>
    <n v="72.5"/>
    <s v="TURKEY BRST SMKD SKLS PREM"/>
    <x v="137"/>
    <x v="0"/>
    <n v="72.5"/>
    <n v="32.885446825000002"/>
    <n v="2.5710000000000002"/>
    <n v="84.548483787075014"/>
  </r>
  <r>
    <d v="2018-12-03T00:00:00"/>
    <s v="Poultry"/>
    <n v="1"/>
    <n v="1"/>
    <n v="124.53"/>
    <s v="TURKEY BRST FRCH CUT RTC"/>
    <x v="137"/>
    <x v="0"/>
    <n v="124.53"/>
    <n v="56.485857836100003"/>
    <n v="2.5710000000000002"/>
    <n v="145.22514049661311"/>
  </r>
  <r>
    <d v="2018-12-03T00:00:00"/>
    <s v="Poultry"/>
    <n v="4"/>
    <n v="160"/>
    <n v="6.25E-2"/>
    <s v="TURKEY SAUSAGE LINK RAW"/>
    <x v="137"/>
    <x v="0"/>
    <n v="40"/>
    <n v="18.143694800000002"/>
    <n v="2.5710000000000002"/>
    <n v="46.647439330800012"/>
  </r>
  <r>
    <d v="2018-12-03T00:00:00"/>
    <s v="Poultry"/>
    <n v="4"/>
    <n v="2"/>
    <n v="6"/>
    <s v="BACON TURKEY LAYFLT"/>
    <x v="137"/>
    <x v="0"/>
    <n v="48"/>
    <n v="21.772433760000002"/>
    <n v="2.5710000000000002"/>
    <n v="55.976927196960006"/>
  </r>
  <r>
    <d v="2018-12-05T00:00:00"/>
    <s v="Poultry"/>
    <n v="3"/>
    <n v="160"/>
    <n v="6.25E-2"/>
    <s v="TURKEY SAUSAGE LINK RAW"/>
    <x v="137"/>
    <x v="0"/>
    <n v="30"/>
    <n v="13.607771100000001"/>
    <n v="2.5710000000000002"/>
    <n v="34.985579498100002"/>
  </r>
  <r>
    <d v="2018-11-30T00:00:00"/>
    <s v="Canned and dry goods"/>
    <n v="1"/>
    <n v="4"/>
    <n v="8.41"/>
    <s v="VINEGAR WINE RED PLS"/>
    <x v="138"/>
    <x v="1"/>
    <n v="33.64"/>
    <n v="15.258847326800002"/>
    <n v="0.34"/>
    <n v="5.1880080911120006"/>
  </r>
  <r>
    <d v="2018-12-03T00:00:00"/>
    <s v="Canned and dry goods"/>
    <n v="1"/>
    <n v="2"/>
    <n v="11.950000000000001"/>
    <s v="VINEGAR BALSAMIC ITALY"/>
    <x v="138"/>
    <x v="1"/>
    <n v="23.900000000000002"/>
    <n v="10.840857643000001"/>
    <n v="0.34"/>
    <n v="3.6858915986200009"/>
  </r>
  <r>
    <d v="2018-12-05T00:00:00"/>
    <s v="Canned and dry goods"/>
    <n v="1"/>
    <n v="4"/>
    <n v="8.41"/>
    <s v="VINEGAR RICE WINE SEAS 4.5%"/>
    <x v="138"/>
    <x v="1"/>
    <n v="33.64"/>
    <n v="15.258847326800002"/>
    <n v="0.34"/>
    <n v="5.1880080911120006"/>
  </r>
  <r>
    <d v="2018-12-03T00:00:00"/>
    <s v="Canned and dry goods"/>
    <n v="1"/>
    <n v="6"/>
    <n v="2"/>
    <s v="QUINOA GRAIN WHT"/>
    <x v="139"/>
    <x v="1"/>
    <n v="12"/>
    <n v="5.4431084400000005"/>
    <n v="0.34699999999999998"/>
    <n v="1.88875862868"/>
  </r>
  <r>
    <d v="2018-12-03T00:00:00"/>
    <s v="Canned and dry goods"/>
    <n v="1"/>
    <n v="4"/>
    <n v="8.41"/>
    <s v="WINE COOKING BURGUNDY"/>
    <x v="140"/>
    <x v="1"/>
    <n v="33.64"/>
    <n v="15.258847326800002"/>
    <n v="0.78"/>
    <n v="11.901900914904001"/>
  </r>
  <r>
    <d v="2018-12-03T00:00:00"/>
    <s v="Canned and dry goods"/>
    <n v="1"/>
    <n v="4"/>
    <n v="8.41"/>
    <s v="WINE COOKING SAUTERNE"/>
    <x v="140"/>
    <x v="1"/>
    <n v="33.64"/>
    <n v="15.258847326800002"/>
    <n v="0.78"/>
    <n v="11.901900914904001"/>
  </r>
  <r>
    <d v="2018-12-05T00:00:00"/>
    <s v="Canned and dry goods"/>
    <n v="1"/>
    <n v="8"/>
    <n v="0.79366439999999994"/>
    <s v="WRAP TORTILLA FLOUR 12"/>
    <x v="141"/>
    <x v="1"/>
    <n v="6.3493151999999995"/>
    <n v="2.8800009294450239"/>
    <n v="1.28"/>
    <n v="3.6864011896896307"/>
  </r>
  <r>
    <d v="2018-12-05T00:00:00"/>
    <s v="Frozen"/>
    <n v="1"/>
    <n v="6"/>
    <n v="0.79366439999999994"/>
    <s v="WRAP TORTILLA SPINACH HERB 12"/>
    <x v="141"/>
    <x v="1"/>
    <n v="4.7619863999999996"/>
    <n v="2.1600006970837682"/>
    <n v="1.28"/>
    <n v="2.7648008922672234"/>
  </r>
  <r>
    <d v="2018-11-30T00:00:00"/>
    <s v="Canned and dry goods"/>
    <n v="2"/>
    <n v="12"/>
    <n v="2"/>
    <s v="YEAST ACTIVE DRY"/>
    <x v="142"/>
    <x v="1"/>
    <n v="48"/>
    <n v="21.772433760000002"/>
    <m/>
    <n v="0"/>
  </r>
  <r>
    <d v="2018-10-03T00:00:00"/>
    <s v="Royal"/>
    <n v="3"/>
    <n v="1"/>
    <n v="12"/>
    <s v="greek yogurt"/>
    <x v="143"/>
    <x v="2"/>
    <n v="36"/>
    <n v="16.329325319999999"/>
    <n v="1.33"/>
    <n v="21.718002675600001"/>
  </r>
  <r>
    <d v="2018-11-30T00:00:00"/>
    <s v="Dairy Products"/>
    <n v="10"/>
    <n v="2"/>
    <n v="6"/>
    <s v="YOGURT PLAIN GREEK BAG OIKOS"/>
    <x v="143"/>
    <x v="2"/>
    <n v="120"/>
    <n v="54.431084400000003"/>
    <n v="1.33"/>
    <n v="72.393342252000011"/>
  </r>
  <r>
    <d v="2018-11-30T00:00:00"/>
    <s v="Dairy Products"/>
    <n v="10"/>
    <n v="2"/>
    <n v="6"/>
    <s v="YOGURT VANILLA GRK BAG OIKOS"/>
    <x v="143"/>
    <x v="2"/>
    <n v="120"/>
    <n v="54.431084400000003"/>
    <n v="1.33"/>
    <n v="72.393342252000011"/>
  </r>
  <r>
    <d v="2018-12-05T00:00:00"/>
    <s v="Dairy Products"/>
    <n v="2"/>
    <n v="2"/>
    <n v="6"/>
    <s v="YOGURT VANILLA GRK BAG OIKOS"/>
    <x v="143"/>
    <x v="2"/>
    <n v="24"/>
    <n v="10.886216880000001"/>
    <n v="1.33"/>
    <n v="14.478668450400002"/>
  </r>
  <r>
    <d v="2018-11-30T00:00:00"/>
    <s v="Meats"/>
    <n v="2"/>
    <n v="2"/>
    <n v="5"/>
    <s v="PEPPERONI SLI CHRPRF 15-17 CT"/>
    <x v="0"/>
    <x v="0"/>
    <n v="20"/>
    <n v="9.0718474000000011"/>
    <n v="19.202999999999999"/>
    <n v="174.20668562220001"/>
  </r>
  <r>
    <d v="2018-12-05T00:00:00"/>
    <s v="Meats"/>
    <n v="1"/>
    <n v="2"/>
    <n v="5"/>
    <s v="PEPPERONI SLI CHRPRF 15-17 CT"/>
    <x v="0"/>
    <x v="0"/>
    <n v="10"/>
    <n v="4.5359237000000006"/>
    <n v="19.202999999999999"/>
    <n v="87.103342811100006"/>
  </r>
  <r>
    <d v="2018-10-26T00:00:00"/>
    <s v="Common Market"/>
    <n v="1"/>
    <n v="1"/>
    <n v="100"/>
    <s v="gala apples"/>
    <x v="1"/>
    <x v="1"/>
    <n v="100"/>
    <n v="45.359237"/>
    <n v="0.22800000000000001"/>
    <n v="10.341906036000001"/>
  </r>
  <r>
    <d v="2018-10-26T00:00:00"/>
    <s v="Common Market"/>
    <n v="1"/>
    <n v="1"/>
    <n v="159.6"/>
    <s v="granny smith apples"/>
    <x v="1"/>
    <x v="1"/>
    <n v="159.6"/>
    <n v="72.393342252000011"/>
    <n v="0.22800000000000001"/>
    <n v="16.505682033456004"/>
  </r>
  <r>
    <d v="2018-10-30T00:00:00"/>
    <s v="Common Market"/>
    <n v="1"/>
    <n v="1"/>
    <n v="158.4"/>
    <s v="fuji apples"/>
    <x v="1"/>
    <x v="1"/>
    <n v="158.4"/>
    <n v="71.849031408000016"/>
    <n v="0.22800000000000001"/>
    <n v="16.381579161024003"/>
  </r>
  <r>
    <d v="2018-10-30T00:00:00"/>
    <s v="Common Market"/>
    <n v="1"/>
    <n v="1"/>
    <n v="159.6"/>
    <s v="winesap apples"/>
    <x v="1"/>
    <x v="1"/>
    <n v="159.6"/>
    <n v="72.393342252000011"/>
    <n v="0.22800000000000001"/>
    <n v="16.505682033456004"/>
  </r>
  <r>
    <d v="2018-12-03T00:00:00"/>
    <s v="Canned and dry goods"/>
    <n v="1"/>
    <n v="6"/>
    <n v="10"/>
    <s v="PRESERVE APRICOT"/>
    <x v="3"/>
    <x v="1"/>
    <n v="60"/>
    <n v="27.215542200000002"/>
    <n v="3.25"/>
    <n v="88.450512150000009"/>
  </r>
  <r>
    <d v="2018-11-30T00:00:00"/>
    <s v="Canned and dry goods"/>
    <n v="2"/>
    <n v="6"/>
    <n v="6.6138700000000004"/>
    <s v="ARTICHOKE HEART QTR 100-140"/>
    <x v="4"/>
    <x v="1"/>
    <n v="79.366440000000011"/>
    <n v="36.000011618062807"/>
    <n v="0.84599999999999997"/>
    <n v="30.456009828881133"/>
  </r>
  <r>
    <d v="2018-10-29T00:00:00"/>
    <s v="Royal"/>
    <n v="6"/>
    <n v="1"/>
    <n v="11"/>
    <s v="Asparagus   Standard"/>
    <x v="6"/>
    <x v="1"/>
    <n v="66"/>
    <n v="29.937096420000003"/>
    <n v="2.1709999999999998"/>
    <n v="64.993436327820007"/>
  </r>
  <r>
    <d v="2018-10-30T00:00:00"/>
    <s v="Royal"/>
    <n v="4"/>
    <n v="1"/>
    <n v="11"/>
    <s v="Asparagus   Standard"/>
    <x v="6"/>
    <x v="1"/>
    <n v="44"/>
    <n v="19.958064280000002"/>
    <n v="2.1709999999999998"/>
    <n v="43.328957551880002"/>
  </r>
  <r>
    <d v="2018-11-30T00:00:00"/>
    <s v="Frozen"/>
    <n v="4"/>
    <n v="4"/>
    <n v="6"/>
    <s v="BANANA PLANTAIN FRZN SWEET SLI"/>
    <x v="7"/>
    <x v="1"/>
    <n v="96"/>
    <n v="43.544867520000004"/>
    <n v="0.374"/>
    <n v="16.285780452480001"/>
  </r>
  <r>
    <d v="2018-12-03T00:00:00"/>
    <s v="Frozen"/>
    <n v="5"/>
    <n v="4"/>
    <n v="6"/>
    <s v="BANANA PLANTAIN SLI SWEET"/>
    <x v="7"/>
    <x v="1"/>
    <n v="120"/>
    <n v="54.431084400000003"/>
    <n v="0.374"/>
    <n v="20.3572255656"/>
  </r>
  <r>
    <d v="2018-10-27T00:00:00"/>
    <s v="Royal"/>
    <n v="8"/>
    <n v="1"/>
    <n v="40"/>
    <s v="Bananas #4 Color"/>
    <x v="8"/>
    <x v="1"/>
    <n v="320"/>
    <n v="145.14955840000002"/>
    <n v="0.374"/>
    <n v="54.285934841600003"/>
  </r>
  <r>
    <m/>
    <s v="Royal"/>
    <n v="8"/>
    <n v="1"/>
    <n v="40"/>
    <s v="Bananas #4 Color"/>
    <x v="8"/>
    <x v="1"/>
    <n v="320"/>
    <n v="145.14955840000002"/>
    <n v="0.374"/>
    <n v="54.285934841600003"/>
  </r>
  <r>
    <m/>
    <s v="Royal"/>
    <n v="5"/>
    <n v="1"/>
    <n v="40"/>
    <s v="Bananas #4 Color"/>
    <x v="8"/>
    <x v="1"/>
    <n v="200"/>
    <n v="90.718474000000001"/>
    <n v="0.374"/>
    <n v="33.928709275999999"/>
  </r>
  <r>
    <d v="2018-10-31T00:00:00"/>
    <s v="Royal"/>
    <n v="8"/>
    <n v="1"/>
    <n v="40"/>
    <s v="Bananas #4 Color"/>
    <x v="8"/>
    <x v="1"/>
    <n v="320"/>
    <n v="145.14955840000002"/>
    <n v="0.374"/>
    <n v="54.285934841600003"/>
  </r>
  <r>
    <d v="2018-11-01T00:00:00"/>
    <s v="Royal"/>
    <n v="7"/>
    <n v="1"/>
    <n v="40"/>
    <s v="Bananas #4 Color"/>
    <x v="8"/>
    <x v="1"/>
    <n v="280"/>
    <n v="127.00586360000001"/>
    <n v="0.374"/>
    <n v="47.500192986400002"/>
  </r>
  <r>
    <d v="2018-10-26T00:00:00"/>
    <s v="Royal"/>
    <n v="8"/>
    <n v="1"/>
    <n v="40"/>
    <s v="Bananas #4 Color"/>
    <x v="8"/>
    <x v="1"/>
    <n v="320"/>
    <n v="145.14955840000002"/>
    <n v="0.374"/>
    <n v="54.285934841600003"/>
  </r>
  <r>
    <m/>
    <s v="Royal"/>
    <n v="2"/>
    <n v="1"/>
    <n v="1"/>
    <s v="Herbs Basil"/>
    <x v="9"/>
    <x v="1"/>
    <n v="2"/>
    <n v="0.90718474000000004"/>
    <n v="0.221"/>
    <n v="0.20048782754000002"/>
  </r>
  <r>
    <m/>
    <s v="Royal"/>
    <n v="2"/>
    <n v="1"/>
    <n v="1"/>
    <s v="Herbs Basil"/>
    <x v="9"/>
    <x v="1"/>
    <n v="2"/>
    <n v="0.90718474000000004"/>
    <n v="0.221"/>
    <n v="0.20048782754000002"/>
  </r>
  <r>
    <m/>
    <s v="Royal"/>
    <n v="3"/>
    <n v="1"/>
    <n v="1"/>
    <s v="Herbs Basil"/>
    <x v="9"/>
    <x v="1"/>
    <n v="3"/>
    <n v="1.3607771100000001"/>
    <n v="0.221"/>
    <n v="0.30073174131000002"/>
  </r>
  <r>
    <m/>
    <s v="Royal"/>
    <n v="3"/>
    <n v="1"/>
    <n v="1"/>
    <s v="Herbs Basil"/>
    <x v="9"/>
    <x v="1"/>
    <n v="3"/>
    <n v="1.3607771100000001"/>
    <n v="0.221"/>
    <n v="0.30073174131000002"/>
  </r>
  <r>
    <d v="2018-11-30T00:00:00"/>
    <s v="Canned and dry goods"/>
    <n v="3"/>
    <n v="6"/>
    <n v="10"/>
    <s v="BEAN BLACK LOW SODIUM"/>
    <x v="10"/>
    <x v="1"/>
    <n v="180"/>
    <n v="81.646626600000005"/>
    <n v="0.308"/>
    <n v="25.1471609928"/>
  </r>
  <r>
    <d v="2018-12-05T00:00:00"/>
    <s v="Canned and dry goods"/>
    <n v="1"/>
    <n v="6"/>
    <n v="10"/>
    <s v="BEAN BLACK LOW SODIUM"/>
    <x v="10"/>
    <x v="1"/>
    <n v="60"/>
    <n v="27.215542200000002"/>
    <n v="0.308"/>
    <n v="8.3823869976000012"/>
  </r>
  <r>
    <d v="2018-11-30T00:00:00"/>
    <s v="Canned and dry goods"/>
    <n v="2"/>
    <n v="6"/>
    <n v="10"/>
    <s v="BEAN GREAT NRTHRN FCY"/>
    <x v="13"/>
    <x v="1"/>
    <n v="120"/>
    <n v="54.431084400000003"/>
    <n v="0.308"/>
    <n v="16.764773995200002"/>
  </r>
  <r>
    <d v="2018-11-30T00:00:00"/>
    <s v="Canned and dry goods"/>
    <n v="3"/>
    <n v="6"/>
    <n v="10"/>
    <s v="BEAN KIDNEY DK RED LOW SODIUM"/>
    <x v="14"/>
    <x v="1"/>
    <n v="180"/>
    <n v="81.646626600000005"/>
    <n v="0.308"/>
    <n v="25.1471609928"/>
  </r>
  <r>
    <d v="2018-12-05T00:00:00"/>
    <s v="Canned and dry goods"/>
    <n v="1"/>
    <n v="6"/>
    <n v="10"/>
    <s v="BEAN KIDNEY LIGHT RED"/>
    <x v="14"/>
    <x v="1"/>
    <n v="60"/>
    <n v="27.215542200000002"/>
    <n v="0.308"/>
    <n v="8.3823869976000012"/>
  </r>
  <r>
    <d v="2018-12-05T00:00:00"/>
    <s v="Canned and dry goods"/>
    <n v="1"/>
    <n v="1"/>
    <n v="20"/>
    <s v="BEAN PINTO DRIED MULTI-CLEAN"/>
    <x v="15"/>
    <x v="1"/>
    <n v="20"/>
    <n v="9.0718474000000011"/>
    <n v="0.308"/>
    <n v="2.7941289992000002"/>
  </r>
  <r>
    <m/>
    <s v="Royal"/>
    <n v="4"/>
    <n v="1"/>
    <n v="10"/>
    <s v="Sugar Snap"/>
    <x v="16"/>
    <x v="1"/>
    <n v="40"/>
    <n v="18.143694800000002"/>
    <n v="0.754"/>
    <n v="13.680345879200003"/>
  </r>
  <r>
    <m/>
    <s v="Royal"/>
    <n v="5"/>
    <n v="1"/>
    <n v="10"/>
    <s v="Beans Green Tip"/>
    <x v="145"/>
    <x v="1"/>
    <n v="50"/>
    <n v="22.6796185"/>
    <n v="0.66200000000000003"/>
    <n v="15.013907447000001"/>
  </r>
  <r>
    <m/>
    <s v="Royal"/>
    <n v="2"/>
    <n v="1"/>
    <n v="10"/>
    <s v="Beans Green Tip"/>
    <x v="145"/>
    <x v="1"/>
    <n v="20"/>
    <n v="9.0718474000000011"/>
    <n v="0.66200000000000003"/>
    <n v="6.0055629788000013"/>
  </r>
  <r>
    <m/>
    <s v="Royal"/>
    <n v="5"/>
    <n v="1"/>
    <n v="10"/>
    <s v="Beans Green Tip LOCAL"/>
    <x v="145"/>
    <x v="1"/>
    <n v="50"/>
    <n v="22.6796185"/>
    <n v="0.66200000000000003"/>
    <n v="15.013907447000001"/>
  </r>
  <r>
    <m/>
    <s v="Royal"/>
    <n v="4"/>
    <n v="1"/>
    <n v="10"/>
    <s v="Beans Green Tip"/>
    <x v="145"/>
    <x v="1"/>
    <n v="40"/>
    <n v="18.143694800000002"/>
    <n v="0.66200000000000003"/>
    <n v="12.011125957600003"/>
  </r>
  <r>
    <d v="2018-11-01T00:00:00"/>
    <s v="Royal"/>
    <n v="4"/>
    <n v="1"/>
    <n v="10"/>
    <s v="green beans"/>
    <x v="145"/>
    <x v="1"/>
    <n v="40"/>
    <n v="18.143694800000002"/>
    <n v="0.66200000000000003"/>
    <n v="12.011125957600003"/>
  </r>
  <r>
    <m/>
    <s v="Royal"/>
    <n v="8"/>
    <n v="1"/>
    <n v="10"/>
    <s v="Beans Green Tip"/>
    <x v="145"/>
    <x v="1"/>
    <n v="80"/>
    <n v="36.287389600000004"/>
    <n v="0.66200000000000003"/>
    <n v="24.022251915200005"/>
  </r>
  <r>
    <d v="2018-10-26T00:00:00"/>
    <s v="Georgia Halal Meat"/>
    <n v="1"/>
    <n v="1"/>
    <n v="81.040000000000006"/>
    <s v="beef k"/>
    <x v="17"/>
    <x v="0"/>
    <n v="81.040000000000006"/>
    <n v="36.759125664800003"/>
    <n v="32.845999999999997"/>
    <n v="1207.3902415860207"/>
  </r>
  <r>
    <d v="2018-10-26T00:00:00"/>
    <s v="White Oak"/>
    <n v="1"/>
    <n v="1"/>
    <n v="120"/>
    <s v="beef patties"/>
    <x v="17"/>
    <x v="0"/>
    <n v="120"/>
    <n v="54.431084400000003"/>
    <n v="32.845999999999997"/>
    <n v="1787.8433982023998"/>
  </r>
  <r>
    <d v="2018-10-26T00:00:00"/>
    <s v="White Oak"/>
    <n v="1"/>
    <n v="1"/>
    <n v="40"/>
    <s v="beef ground"/>
    <x v="17"/>
    <x v="0"/>
    <n v="40"/>
    <n v="18.143694800000002"/>
    <n v="32.845999999999997"/>
    <n v="595.94779940080002"/>
  </r>
  <r>
    <d v="2018-10-26T00:00:00"/>
    <s v="White Oak"/>
    <n v="1"/>
    <n v="1"/>
    <n v="100"/>
    <s v="beef ground"/>
    <x v="17"/>
    <x v="0"/>
    <n v="100"/>
    <n v="45.359237"/>
    <n v="32.845999999999997"/>
    <n v="1489.8694985019999"/>
  </r>
  <r>
    <d v="2018-10-26T00:00:00"/>
    <s v="White Oak"/>
    <n v="1"/>
    <n v="1"/>
    <n v="240"/>
    <s v="beef patties"/>
    <x v="17"/>
    <x v="0"/>
    <n v="240"/>
    <n v="108.86216880000001"/>
    <n v="32.845999999999997"/>
    <n v="3575.6867964047997"/>
  </r>
  <r>
    <d v="2018-11-30T00:00:00"/>
    <s v="Meats"/>
    <n v="1"/>
    <n v="1"/>
    <n v="220.62"/>
    <s v="BEEF EYE OF RND HALAL IAP"/>
    <x v="17"/>
    <x v="0"/>
    <n v="220.62"/>
    <n v="100.0715486694"/>
    <n v="32.845999999999997"/>
    <n v="3286.9500875951121"/>
  </r>
  <r>
    <d v="2018-12-05T00:00:00"/>
    <s v="Meats"/>
    <n v="4"/>
    <n v="1"/>
    <n v="10"/>
    <s v="FRANK BEEF 8X1 F/C"/>
    <x v="17"/>
    <x v="0"/>
    <n v="40"/>
    <n v="18.143694800000002"/>
    <n v="32.845999999999997"/>
    <n v="595.94779940080002"/>
  </r>
  <r>
    <d v="2018-12-05T00:00:00"/>
    <s v="Meats"/>
    <n v="1"/>
    <n v="1"/>
    <n v="143.28"/>
    <s v="BEEF EYE OF RND HALAL IAP"/>
    <x v="17"/>
    <x v="0"/>
    <n v="143.28"/>
    <n v="64.990714773600004"/>
    <n v="32.845999999999997"/>
    <n v="2134.6850174536653"/>
  </r>
  <r>
    <m/>
    <s v="Royal"/>
    <n v="1"/>
    <n v="1"/>
    <n v="25"/>
    <s v="Beets Red"/>
    <x v="160"/>
    <x v="1"/>
    <n v="25"/>
    <n v="11.33980925"/>
    <n v="0.19400000000000001"/>
    <n v="2.1999229945000001"/>
  </r>
  <r>
    <d v="2018-11-30T00:00:00"/>
    <s v="Frozen"/>
    <n v="4"/>
    <n v="40"/>
    <n v="0.25"/>
    <s v="BURGER VEG BEYOND PATTY"/>
    <x v="18"/>
    <x v="1"/>
    <n v="40"/>
    <n v="18.143694800000002"/>
    <n v="3.5270000000000001"/>
    <n v="63.992811559600007"/>
  </r>
  <r>
    <d v="2018-11-30T00:00:00"/>
    <s v="Frozen"/>
    <n v="2"/>
    <n v="2"/>
    <n v="5"/>
    <s v="STRIP CHICKEN-FREE LTY SEASON"/>
    <x v="19"/>
    <x v="1"/>
    <n v="20"/>
    <n v="9.0718474000000011"/>
    <n v="0"/>
    <n v="0"/>
  </r>
  <r>
    <d v="2018-11-30T00:00:00"/>
    <s v="Frozen"/>
    <n v="2"/>
    <n v="210"/>
    <s v="1.0.125"/>
    <s v="DOUGH BISCUIT SOUTHERN STY MIN"/>
    <x v="20"/>
    <x v="1"/>
    <n v="0"/>
    <n v="0"/>
    <n v="2.2999999999999998"/>
    <n v="0"/>
  </r>
  <r>
    <d v="2018-11-30T00:00:00"/>
    <s v="Frozen"/>
    <n v="4"/>
    <n v="48"/>
    <n v="0.18124999999999999"/>
    <s v="BURGER BLK BEAN SPCY"/>
    <x v="21"/>
    <x v="1"/>
    <n v="34.799999999999997"/>
    <n v="15.785014475999999"/>
    <n v="6.87"/>
    <n v="108.44304945012"/>
  </r>
  <r>
    <m/>
    <s v="Royal"/>
    <n v="4"/>
    <n v="1"/>
    <n v="6"/>
    <s v="Blackberry"/>
    <x v="22"/>
    <x v="1"/>
    <n v="24"/>
    <n v="10.886216880000001"/>
    <n v="0.59899999999999998"/>
    <n v="6.5208439111200001"/>
  </r>
  <r>
    <m/>
    <s v="Royal"/>
    <n v="5"/>
    <n v="1"/>
    <n v="6"/>
    <s v="Blackberry"/>
    <x v="22"/>
    <x v="1"/>
    <n v="30"/>
    <n v="13.607771100000001"/>
    <n v="0.59899999999999998"/>
    <n v="8.151054888900001"/>
  </r>
  <r>
    <d v="2018-11-30T00:00:00"/>
    <s v="Canned and dry goods"/>
    <n v="1"/>
    <n v="1"/>
    <n v="25"/>
    <s v="BREAD CRUMB JAP PANKO TOASTED"/>
    <x v="24"/>
    <x v="1"/>
    <n v="25"/>
    <n v="11.33980925"/>
    <n v="1.28"/>
    <n v="14.514955840000001"/>
  </r>
  <r>
    <d v="2018-12-05T00:00:00"/>
    <s v="Frozen"/>
    <n v="1"/>
    <n v="10"/>
    <n v="1"/>
    <s v="BREAD FOCACCIA QTR SHEET"/>
    <x v="24"/>
    <x v="1"/>
    <n v="10"/>
    <n v="4.5359237000000006"/>
    <n v="1.28"/>
    <n v="5.8059823360000005"/>
  </r>
  <r>
    <m/>
    <s v="Royal"/>
    <n v="10"/>
    <n v="1"/>
    <n v="12"/>
    <s v="Broccoli Florets"/>
    <x v="25"/>
    <x v="1"/>
    <n v="120"/>
    <n v="54.431084400000003"/>
    <n v="0.79700000000000004"/>
    <n v="43.381574266800001"/>
  </r>
  <r>
    <m/>
    <s v="Royal"/>
    <n v="4"/>
    <n v="1"/>
    <n v="12"/>
    <s v="Broccoli Florets"/>
    <x v="25"/>
    <x v="1"/>
    <n v="48"/>
    <n v="21.772433760000002"/>
    <n v="0.79700000000000004"/>
    <n v="17.352629706720002"/>
  </r>
  <r>
    <m/>
    <s v="Royal"/>
    <n v="10"/>
    <n v="1"/>
    <n v="12"/>
    <s v="Broccoli Florets"/>
    <x v="25"/>
    <x v="1"/>
    <n v="120"/>
    <n v="54.431084400000003"/>
    <n v="0.79700000000000004"/>
    <n v="43.381574266800001"/>
  </r>
  <r>
    <m/>
    <s v="Royal"/>
    <n v="10"/>
    <n v="1"/>
    <n v="12"/>
    <s v="Broccoli Florets"/>
    <x v="25"/>
    <x v="1"/>
    <n v="120"/>
    <n v="54.431084400000003"/>
    <n v="0.79700000000000004"/>
    <n v="43.381574266800001"/>
  </r>
  <r>
    <m/>
    <s v="Royal"/>
    <n v="6"/>
    <n v="1"/>
    <n v="12"/>
    <s v="broccoli Florets"/>
    <x v="25"/>
    <x v="1"/>
    <n v="72"/>
    <n v="32.658650639999998"/>
    <n v="0.79700000000000004"/>
    <n v="26.028944560079999"/>
  </r>
  <r>
    <m/>
    <s v="Royal"/>
    <n v="10"/>
    <n v="1"/>
    <n v="12"/>
    <s v="Broccoli Florets"/>
    <x v="25"/>
    <x v="1"/>
    <n v="120"/>
    <n v="54.431084400000003"/>
    <n v="0.79700000000000004"/>
    <n v="43.381574266800001"/>
  </r>
  <r>
    <m/>
    <s v="Royal"/>
    <n v="2"/>
    <n v="1"/>
    <n v="20"/>
    <s v="Pr Brussels Sprouts Halved"/>
    <x v="148"/>
    <x v="1"/>
    <n v="40"/>
    <n v="18.143694800000002"/>
    <n v="0.49"/>
    <n v="8.8904104520000011"/>
  </r>
  <r>
    <d v="2018-12-05T00:00:00"/>
    <s v="Frozen"/>
    <n v="2"/>
    <n v="12"/>
    <n v="1.3125"/>
    <s v="BUN HOAGIE WHT 6 HNGD HARTHBK"/>
    <x v="29"/>
    <x v="1"/>
    <n v="31.5"/>
    <n v="14.288159655000001"/>
    <n v="1.28"/>
    <n v="18.288844358400002"/>
  </r>
  <r>
    <d v="2018-11-30T00:00:00"/>
    <s v="Dairy Products"/>
    <n v="2"/>
    <n v="36"/>
    <n v="1"/>
    <s v="BUTTER SOLID UNSLTD USDA AA"/>
    <x v="30"/>
    <x v="2"/>
    <n v="72"/>
    <n v="32.658650639999998"/>
    <n v="11.52"/>
    <n v="376.22765537279997"/>
  </r>
  <r>
    <m/>
    <s v="Royal"/>
    <n v="2"/>
    <n v="1"/>
    <n v="21.16"/>
    <s v="kimchi"/>
    <x v="161"/>
    <x v="1"/>
    <n v="42.32"/>
    <n v="19.196029098400004"/>
    <n v="0.13400000000000001"/>
    <n v="2.5722678991856007"/>
  </r>
  <r>
    <m/>
    <s v="Royal"/>
    <n v="3"/>
    <n v="1"/>
    <n v="45"/>
    <s v="Cabbage Green Box"/>
    <x v="31"/>
    <x v="1"/>
    <n v="135"/>
    <n v="61.23496995"/>
    <n v="0.219"/>
    <n v="13.41045841905"/>
  </r>
  <r>
    <m/>
    <s v="Royal"/>
    <n v="2"/>
    <n v="1"/>
    <n v="45"/>
    <s v="Cabbage Green Box"/>
    <x v="31"/>
    <x v="1"/>
    <n v="90"/>
    <n v="40.823313300000002"/>
    <n v="0.219"/>
    <n v="8.9403056127000013"/>
  </r>
  <r>
    <d v="2018-11-30T00:00:00"/>
    <s v="Canned and dry goods"/>
    <n v="4"/>
    <n v="1"/>
    <n v="35"/>
    <s v="OIL CANOLA PURE ZTF"/>
    <x v="32"/>
    <x v="1"/>
    <n v="140"/>
    <n v="63.502931800000006"/>
    <n v="2.6459999999999999"/>
    <n v="168.02875754280001"/>
  </r>
  <r>
    <m/>
    <s v="Royal"/>
    <n v="3"/>
    <n v="1"/>
    <n v="27"/>
    <s v="Melon   Cantaloupe  9 Ct"/>
    <x v="33"/>
    <x v="1"/>
    <n v="81"/>
    <n v="36.74098197"/>
    <n v="0.49"/>
    <n v="18.003081165299999"/>
  </r>
  <r>
    <m/>
    <s v="Royal"/>
    <n v="5"/>
    <n v="1"/>
    <n v="27"/>
    <s v="Melon   Cantaloupe  9 Ct"/>
    <x v="33"/>
    <x v="1"/>
    <n v="135"/>
    <n v="61.23496995"/>
    <n v="0.49"/>
    <n v="30.005135275499999"/>
  </r>
  <r>
    <m/>
    <s v="Royal"/>
    <n v="7"/>
    <n v="1"/>
    <n v="27"/>
    <s v="Melon   Cantaloupe  9 Ct"/>
    <x v="33"/>
    <x v="1"/>
    <n v="189"/>
    <n v="85.728957930000007"/>
    <n v="0.49"/>
    <n v="42.007189385700002"/>
  </r>
  <r>
    <m/>
    <s v="Royal"/>
    <n v="8"/>
    <n v="1"/>
    <n v="27"/>
    <s v="Melon   Cantaloupe  9 Ct"/>
    <x v="33"/>
    <x v="1"/>
    <n v="216"/>
    <n v="97.975951920000014"/>
    <n v="0.49"/>
    <n v="48.008216440800005"/>
  </r>
  <r>
    <m/>
    <s v="Royal"/>
    <n v="8"/>
    <n v="1"/>
    <n v="27"/>
    <s v="Melon  Cantaloupe"/>
    <x v="33"/>
    <x v="1"/>
    <n v="216"/>
    <n v="97.975951920000014"/>
    <n v="0.49"/>
    <n v="48.008216440800005"/>
  </r>
  <r>
    <m/>
    <s v="Royal"/>
    <n v="2"/>
    <n v="1"/>
    <n v="50"/>
    <s v="Carrot"/>
    <x v="34"/>
    <x v="1"/>
    <n v="100"/>
    <n v="45.359237"/>
    <n v="9.1999999999999998E-2"/>
    <n v="4.1730498039999997"/>
  </r>
  <r>
    <m/>
    <s v="Royal"/>
    <n v="2"/>
    <n v="1"/>
    <n v="20"/>
    <s v="Pr Carrot Shred"/>
    <x v="34"/>
    <x v="1"/>
    <n v="40"/>
    <n v="18.143694800000002"/>
    <n v="9.1999999999999998E-2"/>
    <n v="1.6692199216000001"/>
  </r>
  <r>
    <m/>
    <s v="Royal"/>
    <n v="2"/>
    <n v="1"/>
    <n v="20"/>
    <s v="Pr Carrot Stick"/>
    <x v="34"/>
    <x v="1"/>
    <n v="40"/>
    <n v="18.143694800000002"/>
    <n v="9.1999999999999998E-2"/>
    <n v="1.6692199216000001"/>
  </r>
  <r>
    <m/>
    <s v="Royal"/>
    <n v="2"/>
    <n v="1"/>
    <n v="20"/>
    <s v="Pr Carrot Shred"/>
    <x v="34"/>
    <x v="1"/>
    <n v="40"/>
    <n v="18.143694800000002"/>
    <n v="9.1999999999999998E-2"/>
    <n v="1.6692199216000001"/>
  </r>
  <r>
    <m/>
    <s v="Royal"/>
    <n v="1"/>
    <n v="1"/>
    <n v="20"/>
    <s v="Pr Carrot Shred"/>
    <x v="34"/>
    <x v="1"/>
    <n v="20"/>
    <n v="9.0718474000000011"/>
    <n v="9.1999999999999998E-2"/>
    <n v="0.83460996080000005"/>
  </r>
  <r>
    <m/>
    <s v="Royal"/>
    <n v="1"/>
    <n v="1"/>
    <n v="50"/>
    <s v="Carrot"/>
    <x v="34"/>
    <x v="1"/>
    <n v="50"/>
    <n v="22.6796185"/>
    <n v="9.1999999999999998E-2"/>
    <n v="2.0865249019999998"/>
  </r>
  <r>
    <m/>
    <s v="Royal"/>
    <n v="2"/>
    <n v="1"/>
    <n v="20"/>
    <s v="Pr Carrot Shred"/>
    <x v="34"/>
    <x v="1"/>
    <n v="40"/>
    <n v="18.143694800000002"/>
    <n v="9.1999999999999998E-2"/>
    <n v="1.6692199216000001"/>
  </r>
  <r>
    <m/>
    <s v="Royal"/>
    <n v="1"/>
    <n v="1"/>
    <n v="50"/>
    <s v="Carrot"/>
    <x v="34"/>
    <x v="1"/>
    <n v="50"/>
    <n v="22.6796185"/>
    <n v="9.1999999999999998E-2"/>
    <n v="2.0865249019999998"/>
  </r>
  <r>
    <m/>
    <s v="Royal"/>
    <n v="1"/>
    <n v="1"/>
    <n v="20"/>
    <s v="Pr Carrot Shred"/>
    <x v="34"/>
    <x v="1"/>
    <n v="20"/>
    <n v="9.0718474000000011"/>
    <n v="9.1999999999999998E-2"/>
    <n v="0.83460996080000005"/>
  </r>
  <r>
    <m/>
    <s v="Royal"/>
    <n v="1"/>
    <n v="1"/>
    <n v="50"/>
    <s v="carrot"/>
    <x v="34"/>
    <x v="1"/>
    <n v="50"/>
    <n v="22.6796185"/>
    <n v="9.1999999999999998E-2"/>
    <n v="2.0865249019999998"/>
  </r>
  <r>
    <m/>
    <s v="Royal"/>
    <n v="1"/>
    <n v="1"/>
    <n v="50"/>
    <s v="Carrot"/>
    <x v="34"/>
    <x v="1"/>
    <n v="50"/>
    <n v="22.6796185"/>
    <n v="9.1999999999999998E-2"/>
    <n v="2.0865249019999998"/>
  </r>
  <r>
    <m/>
    <s v="Royal"/>
    <n v="1"/>
    <n v="1"/>
    <n v="20"/>
    <s v="Pr Carrot Shred"/>
    <x v="34"/>
    <x v="1"/>
    <n v="20"/>
    <n v="9.0718474000000011"/>
    <n v="9.1999999999999998E-2"/>
    <n v="0.83460996080000005"/>
  </r>
  <r>
    <m/>
    <s v="Royal"/>
    <n v="3"/>
    <n v="1"/>
    <n v="12"/>
    <s v="Pr Cauliflower Florets FB"/>
    <x v="36"/>
    <x v="1"/>
    <n v="36"/>
    <n v="16.329325319999999"/>
    <n v="0.93400000000000005"/>
    <n v="15.25158984888"/>
  </r>
  <r>
    <m/>
    <s v="Royal"/>
    <n v="3"/>
    <n v="1"/>
    <n v="12"/>
    <s v="Pr Cauliflower Florets FB"/>
    <x v="36"/>
    <x v="1"/>
    <n v="36"/>
    <n v="16.329325319999999"/>
    <n v="0.93400000000000005"/>
    <n v="15.25158984888"/>
  </r>
  <r>
    <m/>
    <s v="Royal"/>
    <n v="2"/>
    <n v="1"/>
    <n v="12"/>
    <s v="Pr Cauliflower Florets"/>
    <x v="36"/>
    <x v="1"/>
    <n v="24"/>
    <n v="10.886216880000001"/>
    <n v="0.93400000000000005"/>
    <n v="10.167726565920001"/>
  </r>
  <r>
    <m/>
    <s v="Royal"/>
    <n v="4"/>
    <n v="1"/>
    <n v="12"/>
    <s v="cauliflower"/>
    <x v="36"/>
    <x v="1"/>
    <n v="48"/>
    <n v="21.772433760000002"/>
    <n v="0.93400000000000005"/>
    <n v="20.335453131840001"/>
  </r>
  <r>
    <m/>
    <s v="Royal"/>
    <n v="4"/>
    <n v="1"/>
    <n v="12"/>
    <s v="Pr Cauliflower Florets FB"/>
    <x v="36"/>
    <x v="1"/>
    <n v="48"/>
    <n v="21.772433760000002"/>
    <n v="0.93400000000000005"/>
    <n v="20.335453131840001"/>
  </r>
  <r>
    <m/>
    <s v="Royal"/>
    <n v="2"/>
    <n v="1"/>
    <n v="20"/>
    <s v="Pr Celery Sticks 4/5#"/>
    <x v="37"/>
    <x v="1"/>
    <n v="40"/>
    <n v="18.143694800000002"/>
    <n v="0.33100000000000002"/>
    <n v="6.0055629788000013"/>
  </r>
  <r>
    <m/>
    <s v="Royal"/>
    <n v="1"/>
    <n v="1"/>
    <n v="26"/>
    <s v="Celery"/>
    <x v="37"/>
    <x v="1"/>
    <n v="26"/>
    <n v="11.793401620000001"/>
    <n v="0.33100000000000002"/>
    <n v="3.9036159362200005"/>
  </r>
  <r>
    <m/>
    <s v="Royal"/>
    <n v="1"/>
    <n v="1"/>
    <n v="36"/>
    <s v="Celery"/>
    <x v="37"/>
    <x v="1"/>
    <n v="36"/>
    <n v="16.329325319999999"/>
    <n v="0.33100000000000002"/>
    <n v="5.4050066809199997"/>
  </r>
  <r>
    <d v="2018-11-30T00:00:00"/>
    <s v="Canned and dry goods"/>
    <n v="2"/>
    <n v="4"/>
    <n v="30.3125"/>
    <s v="CEREAL LUCKY CHARMS GLUTN FR"/>
    <x v="38"/>
    <x v="1"/>
    <n v="242.5"/>
    <n v="109.99614972500001"/>
    <n v="1.61"/>
    <n v="177.09380105725003"/>
  </r>
  <r>
    <d v="2018-11-30T00:00:00"/>
    <s v="Canned and dry goods"/>
    <n v="2"/>
    <n v="4"/>
    <n v="40.3125"/>
    <s v="CEREAL CINN TST CRUN BULKPAK"/>
    <x v="38"/>
    <x v="1"/>
    <n v="322.5"/>
    <n v="146.28353932500002"/>
    <n v="1.61"/>
    <n v="235.51649831325005"/>
  </r>
  <r>
    <d v="2018-12-03T00:00:00"/>
    <s v="Canned and dry goods"/>
    <n v="1"/>
    <n v="4"/>
    <n v="1.8125"/>
    <s v="CEREAL CHEERIO GLUTEN FR"/>
    <x v="38"/>
    <x v="1"/>
    <n v="7.25"/>
    <n v="3.2885446825"/>
    <n v="1.61"/>
    <n v="5.294556938825"/>
  </r>
  <r>
    <d v="2018-12-03T00:00:00"/>
    <s v="Canned and dry goods"/>
    <n v="1"/>
    <n v="4"/>
    <n v="2.5"/>
    <s v="CEREAL FROSTED FLAKES"/>
    <x v="38"/>
    <x v="1"/>
    <n v="10"/>
    <n v="4.5359237000000006"/>
    <n v="1.61"/>
    <n v="7.3028371570000017"/>
  </r>
  <r>
    <d v="2018-12-03T00:00:00"/>
    <s v="Canned and dry goods"/>
    <n v="2"/>
    <n v="4"/>
    <n v="30.3125"/>
    <s v="CEREAL LUCKY CHARMS GLUTN FR"/>
    <x v="38"/>
    <x v="1"/>
    <n v="242.5"/>
    <n v="109.99614972500001"/>
    <n v="1.61"/>
    <n v="177.09380105725003"/>
  </r>
  <r>
    <d v="2018-12-03T00:00:00"/>
    <s v="Canned and dry goods"/>
    <n v="2"/>
    <n v="4"/>
    <n v="30.3125"/>
    <s v="CEREAL COCOA PUFFS BULKPAK"/>
    <x v="38"/>
    <x v="1"/>
    <n v="242.5"/>
    <n v="109.99614972500001"/>
    <n v="1.61"/>
    <n v="177.09380105725003"/>
  </r>
  <r>
    <d v="2018-12-03T00:00:00"/>
    <s v="Canned and dry goods"/>
    <n v="1"/>
    <n v="4"/>
    <n v="3.125"/>
    <s v="CEREAL GRANOLA OATSN HNY BLKPK"/>
    <x v="38"/>
    <x v="1"/>
    <n v="12.5"/>
    <n v="5.669904625"/>
    <n v="1.61"/>
    <n v="9.1285464462500006"/>
  </r>
  <r>
    <d v="2018-12-05T00:00:00"/>
    <s v="Canned and dry goods"/>
    <n v="1"/>
    <n v="4"/>
    <n v="1.8125"/>
    <s v="CEREAL CHEERIO GLUTEN FR"/>
    <x v="38"/>
    <x v="1"/>
    <n v="7.25"/>
    <n v="3.2885446825"/>
    <n v="1.61"/>
    <n v="5.294556938825"/>
  </r>
  <r>
    <d v="2018-12-05T00:00:00"/>
    <s v="Canned and dry goods"/>
    <n v="3"/>
    <n v="4"/>
    <n v="2.5"/>
    <s v="CEREAL FROSTED FLAKES"/>
    <x v="38"/>
    <x v="1"/>
    <n v="30"/>
    <n v="13.607771100000001"/>
    <n v="1.61"/>
    <n v="21.908511471000004"/>
  </r>
  <r>
    <d v="2018-12-05T00:00:00"/>
    <s v="Canned and dry goods"/>
    <n v="3"/>
    <n v="4"/>
    <n v="30.3125"/>
    <s v="CEREAL LUCKY CHARMS GLUTN FR"/>
    <x v="38"/>
    <x v="1"/>
    <n v="363.75"/>
    <n v="164.99422458750001"/>
    <n v="1.61"/>
    <n v="265.64070158587504"/>
  </r>
  <r>
    <d v="2018-12-05T00:00:00"/>
    <s v="Canned and dry goods"/>
    <n v="1"/>
    <n v="4"/>
    <n v="30.3125"/>
    <s v="CEREAL COCOA PUFFS BULKPAK"/>
    <x v="38"/>
    <x v="1"/>
    <n v="121.25"/>
    <n v="54.998074862500005"/>
    <n v="1.61"/>
    <n v="88.546900528625017"/>
  </r>
  <r>
    <d v="2018-12-05T00:00:00"/>
    <s v="Canned and dry goods"/>
    <n v="4"/>
    <n v="4"/>
    <n v="40.3125"/>
    <s v="CEREAL CINN TST CRUN BULKPAK"/>
    <x v="38"/>
    <x v="1"/>
    <n v="645"/>
    <n v="292.56707865000004"/>
    <n v="1.61"/>
    <n v="471.03299662650011"/>
  </r>
  <r>
    <d v="2018-12-05T00:00:00"/>
    <s v="Canned and dry goods"/>
    <n v="1"/>
    <n v="4"/>
    <n v="3.125"/>
    <s v="CEREAL GRANOLA OATSN HNY BLKPK"/>
    <x v="38"/>
    <x v="1"/>
    <n v="12.5"/>
    <n v="5.669904625"/>
    <n v="1.61"/>
    <n v="9.1285464462500006"/>
  </r>
  <r>
    <d v="2018-11-30T00:00:00"/>
    <s v="Canned and dry goods"/>
    <n v="2"/>
    <n v="4"/>
    <n v="30.0625"/>
    <s v="CEREAL APPLE JACKS"/>
    <x v="39"/>
    <x v="1"/>
    <n v="240.5"/>
    <n v="109.088964985"/>
    <n v="1.61"/>
    <n v="175.63323362585001"/>
  </r>
  <r>
    <d v="2018-11-30T00:00:00"/>
    <s v="Canned and dry goods"/>
    <n v="2"/>
    <n v="4"/>
    <n v="2.5"/>
    <s v="CEREAL FROSTED FLAKES"/>
    <x v="40"/>
    <x v="1"/>
    <n v="20"/>
    <n v="9.0718474000000011"/>
    <n v="1.61"/>
    <n v="14.605674314000003"/>
  </r>
  <r>
    <d v="2018-11-30T00:00:00"/>
    <s v="Canned and dry goods"/>
    <n v="4"/>
    <n v="4"/>
    <n v="3.125"/>
    <s v="CEREAL GRANOLA OATSN HNY BLKPK"/>
    <x v="41"/>
    <x v="1"/>
    <n v="50"/>
    <n v="22.6796185"/>
    <n v="1.61"/>
    <n v="36.514185785000002"/>
  </r>
  <r>
    <d v="2018-11-30T00:00:00"/>
    <s v="Dairy Products"/>
    <n v="2"/>
    <n v="6"/>
    <n v="1"/>
    <s v="CHEESE MOZZ FRSH SLI 18 CT"/>
    <x v="42"/>
    <x v="2"/>
    <n v="12"/>
    <n v="5.4431084400000005"/>
    <n v="9.9740000000000002"/>
    <n v="54.289563580560007"/>
  </r>
  <r>
    <d v="2018-11-30T00:00:00"/>
    <s v="Dairy Products"/>
    <n v="2"/>
    <n v="6"/>
    <n v="3"/>
    <s v="CHEESE CREAM ORIG LOAF"/>
    <x v="42"/>
    <x v="2"/>
    <n v="36"/>
    <n v="16.329325319999999"/>
    <n v="9.9740000000000002"/>
    <n v="162.86869074167998"/>
  </r>
  <r>
    <d v="2018-11-30T00:00:00"/>
    <s v="Dairy Products"/>
    <n v="2"/>
    <n v="4"/>
    <n v="5"/>
    <s v="CHEESE COTTAGE SMALL CURD 4%"/>
    <x v="42"/>
    <x v="2"/>
    <n v="40"/>
    <n v="18.143694800000002"/>
    <n v="9.9740000000000002"/>
    <n v="180.96521193520002"/>
  </r>
  <r>
    <d v="2018-11-30T00:00:00"/>
    <s v="Dairy Products"/>
    <n v="15"/>
    <n v="4"/>
    <n v="5"/>
    <s v="CHEESE MOZZ FTHR SHRD WHL MILK"/>
    <x v="42"/>
    <x v="2"/>
    <n v="300"/>
    <n v="136.07771100000002"/>
    <n v="9.9740000000000002"/>
    <n v="1357.2390895140002"/>
  </r>
  <r>
    <d v="2018-11-30T00:00:00"/>
    <s v="Dairy Products"/>
    <n v="1"/>
    <n v="4"/>
    <n v="5"/>
    <s v="CHEESE AMER YEL 160 SLI"/>
    <x v="42"/>
    <x v="2"/>
    <n v="20"/>
    <n v="9.0718474000000011"/>
    <n v="9.9740000000000002"/>
    <n v="90.482605967600009"/>
  </r>
  <r>
    <d v="2018-11-30T00:00:00"/>
    <s v="Dairy Products"/>
    <n v="4"/>
    <n v="4"/>
    <n v="5"/>
    <s v="CHEESE CHDR MILD FTHR SHRD"/>
    <x v="42"/>
    <x v="2"/>
    <n v="80"/>
    <n v="36.287389600000004"/>
    <n v="9.9740000000000002"/>
    <n v="361.93042387040003"/>
  </r>
  <r>
    <d v="2018-11-30T00:00:00"/>
    <s v="Dairy Products"/>
    <n v="3"/>
    <n v="4"/>
    <n v="5"/>
    <s v="CHEESE BLUE CRUMBLE"/>
    <x v="42"/>
    <x v="2"/>
    <n v="60"/>
    <n v="27.215542200000002"/>
    <n v="9.9740000000000002"/>
    <n v="271.44781790280001"/>
  </r>
  <r>
    <d v="2018-11-30T00:00:00"/>
    <s v="Dairy Products"/>
    <n v="2"/>
    <n v="4"/>
    <n v="2.5"/>
    <s v="CHEESE SWISS SLI .0.3125"/>
    <x v="42"/>
    <x v="2"/>
    <n v="20"/>
    <n v="9.0718474000000011"/>
    <n v="9.9740000000000002"/>
    <n v="90.482605967600009"/>
  </r>
  <r>
    <d v="2018-11-30T00:00:00"/>
    <s v="Dairy Products"/>
    <n v="2"/>
    <n v="4"/>
    <n v="2.5"/>
    <s v="CHEESE PEPPER JACK SLI .70.3125"/>
    <x v="42"/>
    <x v="2"/>
    <n v="20"/>
    <n v="9.0718474000000011"/>
    <n v="9.9740000000000002"/>
    <n v="90.482605967600009"/>
  </r>
  <r>
    <d v="2018-11-30T00:00:00"/>
    <s v="Dairy Products"/>
    <n v="2"/>
    <n v="8"/>
    <n v="1.25"/>
    <s v="CHEESE CHDR MILD SLI .0.3125"/>
    <x v="42"/>
    <x v="2"/>
    <n v="20"/>
    <n v="9.0718474000000011"/>
    <n v="9.9740000000000002"/>
    <n v="90.482605967600009"/>
  </r>
  <r>
    <d v="2018-11-30T00:00:00"/>
    <s v="Dairy Products"/>
    <n v="2"/>
    <n v="4"/>
    <n v="2.5"/>
    <s v="CHEESE PROVOLONE SLI .0.3125"/>
    <x v="42"/>
    <x v="2"/>
    <n v="20"/>
    <n v="9.0718474000000011"/>
    <n v="9.9740000000000002"/>
    <n v="90.482605967600009"/>
  </r>
  <r>
    <d v="2018-11-30T00:00:00"/>
    <s v="Dairy Products"/>
    <n v="1"/>
    <n v="2"/>
    <n v="5"/>
    <s v="CHEESE PARM GRATED PURE"/>
    <x v="42"/>
    <x v="2"/>
    <n v="10"/>
    <n v="4.5359237000000006"/>
    <n v="9.9740000000000002"/>
    <n v="45.241302983800004"/>
  </r>
  <r>
    <d v="2018-11-30T00:00:00"/>
    <s v="Dairy Products"/>
    <n v="1"/>
    <n v="6"/>
    <n v="2"/>
    <s v="CHEESE PARM FANCY SHRED"/>
    <x v="42"/>
    <x v="2"/>
    <n v="12"/>
    <n v="5.4431084400000005"/>
    <n v="9.9740000000000002"/>
    <n v="54.289563580560007"/>
  </r>
  <r>
    <d v="2018-11-30T00:00:00"/>
    <s v="Dairy Products"/>
    <n v="1"/>
    <n v="6"/>
    <n v="3"/>
    <s v="CHEESE RICOTTA WHL MLK CLS"/>
    <x v="42"/>
    <x v="2"/>
    <n v="18"/>
    <n v="8.1646626599999994"/>
    <n v="9.9740000000000002"/>
    <n v="81.434345370839992"/>
  </r>
  <r>
    <d v="2018-12-03T00:00:00"/>
    <s v="Dairy Products"/>
    <n v="4"/>
    <n v="4"/>
    <n v="5"/>
    <s v="CHEESE CHDR MILD FTHR SHRD"/>
    <x v="42"/>
    <x v="2"/>
    <n v="80"/>
    <n v="36.287389600000004"/>
    <n v="9.9740000000000002"/>
    <n v="361.93042387040003"/>
  </r>
  <r>
    <d v="2018-12-03T00:00:00"/>
    <s v="Dairy Products"/>
    <n v="6"/>
    <n v="4"/>
    <n v="5"/>
    <s v="CHEESE MOZZ FTHR SHRD PART SKM"/>
    <x v="42"/>
    <x v="2"/>
    <n v="120"/>
    <n v="54.431084400000003"/>
    <n v="9.9740000000000002"/>
    <n v="542.89563580560002"/>
  </r>
  <r>
    <d v="2018-12-03T00:00:00"/>
    <s v="Dairy Products"/>
    <n v="3"/>
    <n v="2"/>
    <n v="5"/>
    <s v="CHEESE PARM GRATED PURE"/>
    <x v="42"/>
    <x v="2"/>
    <n v="30"/>
    <n v="13.607771100000001"/>
    <n v="9.9740000000000002"/>
    <n v="135.72390895140001"/>
  </r>
  <r>
    <d v="2018-12-05T00:00:00"/>
    <s v="Dairy Products"/>
    <n v="1"/>
    <n v="10"/>
    <n v="3"/>
    <s v="CHEESE CREAM LOAF"/>
    <x v="42"/>
    <x v="2"/>
    <n v="30"/>
    <n v="13.607771100000001"/>
    <n v="9.9740000000000002"/>
    <n v="135.72390895140001"/>
  </r>
  <r>
    <d v="2018-12-05T00:00:00"/>
    <s v="Dairy Products"/>
    <n v="2"/>
    <n v="4"/>
    <n v="5"/>
    <s v="CHEESE AMER YEL 160 SLI"/>
    <x v="42"/>
    <x v="2"/>
    <n v="40"/>
    <n v="18.143694800000002"/>
    <n v="9.9740000000000002"/>
    <n v="180.96521193520002"/>
  </r>
  <r>
    <d v="2018-12-05T00:00:00"/>
    <s v="Dairy Products"/>
    <n v="2"/>
    <n v="4"/>
    <n v="5"/>
    <s v="CHEESE CHDR MILD FTHR SHRD"/>
    <x v="42"/>
    <x v="2"/>
    <n v="40"/>
    <n v="18.143694800000002"/>
    <n v="9.9740000000000002"/>
    <n v="180.96521193520002"/>
  </r>
  <r>
    <d v="2018-12-05T00:00:00"/>
    <s v="Dairy Products"/>
    <n v="5"/>
    <n v="4"/>
    <n v="5"/>
    <s v="CHEESE MOZZ FTHR SHRD PART SKM"/>
    <x v="42"/>
    <x v="2"/>
    <n v="100"/>
    <n v="45.359237"/>
    <n v="9.9740000000000002"/>
    <n v="452.413029838"/>
  </r>
  <r>
    <d v="2018-12-05T00:00:00"/>
    <s v="Dairy Products"/>
    <n v="1"/>
    <n v="4"/>
    <n v="2.5"/>
    <s v="CHEESE SWISS SLI .0.3125"/>
    <x v="42"/>
    <x v="2"/>
    <n v="10"/>
    <n v="4.5359237000000006"/>
    <n v="9.9740000000000002"/>
    <n v="45.241302983800004"/>
  </r>
  <r>
    <d v="2018-12-05T00:00:00"/>
    <s v="Dairy Products"/>
    <n v="1"/>
    <n v="8"/>
    <n v="1.25"/>
    <s v="CHEESE CHDR MILD SLI .0.3125"/>
    <x v="42"/>
    <x v="2"/>
    <n v="10"/>
    <n v="4.5359237000000006"/>
    <n v="9.9740000000000002"/>
    <n v="45.241302983800004"/>
  </r>
  <r>
    <d v="2018-12-05T00:00:00"/>
    <s v="Dairy Products"/>
    <n v="2"/>
    <n v="4"/>
    <n v="2.5"/>
    <s v="CHEESE PROVOLONE SLI .0.3125"/>
    <x v="42"/>
    <x v="2"/>
    <n v="20"/>
    <n v="9.0718474000000011"/>
    <n v="9.9740000000000002"/>
    <n v="90.482605967600009"/>
  </r>
  <r>
    <m/>
    <s v="Royal"/>
    <n v="2"/>
    <n v="1"/>
    <n v="30"/>
    <s v="Cheese Mozzarella Fine Shred"/>
    <x v="150"/>
    <x v="2"/>
    <n v="60"/>
    <n v="27.215542200000002"/>
    <n v="9.9740000000000002"/>
    <n v="271.44781790280001"/>
  </r>
  <r>
    <d v="2018-10-26T00:00:00"/>
    <s v="Georgia Halal Meat"/>
    <n v="1"/>
    <n v="1"/>
    <n v="80"/>
    <s v="chicken breast"/>
    <x v="43"/>
    <x v="0"/>
    <n v="80"/>
    <n v="36.287389600000004"/>
    <n v="4.1879999999999997"/>
    <n v="151.9715876448"/>
  </r>
  <r>
    <d v="2018-10-30T00:00:00"/>
    <s v="Georgia Halal Meat"/>
    <n v="1"/>
    <n v="1"/>
    <n v="280"/>
    <s v="chicken breast"/>
    <x v="43"/>
    <x v="0"/>
    <n v="280"/>
    <n v="127.00586360000001"/>
    <n v="4.1879999999999997"/>
    <n v="531.90055675680003"/>
  </r>
  <r>
    <d v="2018-10-31T00:00:00"/>
    <s v="Inland Seafood"/>
    <n v="13"/>
    <n v="1"/>
    <n v="20"/>
    <s v="chicken breast filet"/>
    <x v="43"/>
    <x v="0"/>
    <n v="260"/>
    <n v="117.9340162"/>
    <n v="4.1879999999999997"/>
    <n v="493.90765984559999"/>
  </r>
  <r>
    <d v="2018-10-31T00:00:00"/>
    <s v="Inland Seafood"/>
    <n v="15"/>
    <n v="1"/>
    <n v="20"/>
    <s v="chicken boneless thighs"/>
    <x v="43"/>
    <x v="0"/>
    <n v="300"/>
    <n v="136.07771100000002"/>
    <n v="4.1879999999999997"/>
    <n v="569.89345366800001"/>
  </r>
  <r>
    <d v="2018-10-31T00:00:00"/>
    <s v="Inland Seafood"/>
    <n v="16"/>
    <n v="1"/>
    <n v="20"/>
    <s v="chicken bone-in thighs"/>
    <x v="43"/>
    <x v="0"/>
    <n v="320"/>
    <n v="145.14955840000002"/>
    <n v="4.1879999999999997"/>
    <n v="607.88635057919998"/>
  </r>
  <r>
    <d v="2018-10-31T00:00:00"/>
    <s v="Inland Seafood"/>
    <n v="4"/>
    <n v="1"/>
    <n v="40"/>
    <s v="chicken breast chunk"/>
    <x v="43"/>
    <x v="0"/>
    <n v="160"/>
    <n v="72.574779200000009"/>
    <n v="4.1879999999999997"/>
    <n v="303.94317528959999"/>
  </r>
  <r>
    <d v="2018-11-01T00:00:00"/>
    <s v="Inland Seafood"/>
    <n v="15"/>
    <n v="1"/>
    <n v="20"/>
    <s v="chicken breast filet"/>
    <x v="43"/>
    <x v="0"/>
    <n v="300"/>
    <n v="136.07771100000002"/>
    <n v="4.1879999999999997"/>
    <n v="569.89345366800001"/>
  </r>
  <r>
    <d v="2018-10-26T00:00:00"/>
    <s v="Inland Seafood"/>
    <n v="7"/>
    <n v="1"/>
    <n v="20"/>
    <s v="chicken cut wings"/>
    <x v="43"/>
    <x v="0"/>
    <n v="140"/>
    <n v="63.502931800000006"/>
    <n v="4.1879999999999997"/>
    <n v="265.95027837840001"/>
  </r>
  <r>
    <d v="2018-10-26T00:00:00"/>
    <s v="Inland Seafood"/>
    <n v="15"/>
    <n v="1"/>
    <n v="20"/>
    <s v="chicken breast filet"/>
    <x v="43"/>
    <x v="0"/>
    <n v="300"/>
    <n v="136.07771100000002"/>
    <n v="4.1879999999999997"/>
    <n v="569.89345366800001"/>
  </r>
  <r>
    <d v="2018-10-26T00:00:00"/>
    <s v="Inland Seafood"/>
    <n v="3"/>
    <n v="1"/>
    <n v="20"/>
    <s v="chicken breast"/>
    <x v="43"/>
    <x v="0"/>
    <n v="60"/>
    <n v="27.215542200000002"/>
    <n v="4.1879999999999997"/>
    <n v="113.9786907336"/>
  </r>
  <r>
    <d v="2018-10-29T00:00:00"/>
    <s v="Inland Seafood"/>
    <n v="15"/>
    <n v="1"/>
    <n v="20"/>
    <s v="chicken breast filet"/>
    <x v="43"/>
    <x v="0"/>
    <n v="300"/>
    <n v="136.07771100000002"/>
    <n v="4.1879999999999997"/>
    <n v="569.89345366800001"/>
  </r>
  <r>
    <d v="2018-10-29T00:00:00"/>
    <s v="Inland Seafood"/>
    <n v="15"/>
    <n v="1"/>
    <n v="20"/>
    <s v="chicken boneless thighs"/>
    <x v="43"/>
    <x v="0"/>
    <n v="300"/>
    <n v="136.07771100000002"/>
    <n v="4.1879999999999997"/>
    <n v="569.89345366800001"/>
  </r>
  <r>
    <d v="2018-10-29T00:00:00"/>
    <s v="Inland Seafood"/>
    <n v="3"/>
    <n v="1"/>
    <n v="40"/>
    <s v="chicken breast chunk"/>
    <x v="43"/>
    <x v="0"/>
    <n v="120"/>
    <n v="54.431084400000003"/>
    <n v="4.1879999999999997"/>
    <n v="227.95738146720001"/>
  </r>
  <r>
    <d v="2018-10-29T00:00:00"/>
    <s v="Inland Seafood"/>
    <n v="16"/>
    <n v="1"/>
    <n v="20"/>
    <s v="chicken bone-in thighs"/>
    <x v="43"/>
    <x v="0"/>
    <n v="320"/>
    <n v="145.14955840000002"/>
    <n v="4.1879999999999997"/>
    <n v="607.88635057919998"/>
  </r>
  <r>
    <d v="2018-10-30T00:00:00"/>
    <s v="Inland Seafood"/>
    <n v="15"/>
    <n v="1"/>
    <n v="20"/>
    <s v="chicken breast filet"/>
    <x v="43"/>
    <x v="0"/>
    <n v="300"/>
    <n v="136.07771100000002"/>
    <n v="4.1879999999999997"/>
    <n v="569.89345366800001"/>
  </r>
  <r>
    <d v="2018-11-30T00:00:00"/>
    <s v="Canned and dry goods"/>
    <n v="8"/>
    <n v="6"/>
    <n v="10"/>
    <s v="BEAN GARBANZO LOW SODIUM"/>
    <x v="44"/>
    <x v="1"/>
    <n v="480"/>
    <n v="217.72433760000001"/>
    <n v="0.49099999999999999"/>
    <n v="106.9026497616"/>
  </r>
  <r>
    <d v="2018-12-05T00:00:00"/>
    <s v="Canned and dry goods"/>
    <n v="3"/>
    <n v="6"/>
    <n v="10"/>
    <s v="BEAN GARBANZO LOW SODIUM"/>
    <x v="44"/>
    <x v="1"/>
    <n v="180"/>
    <n v="81.646626600000005"/>
    <n v="0.49099999999999999"/>
    <n v="40.088493660600001"/>
  </r>
  <r>
    <d v="2018-11-30T00:00:00"/>
    <s v="Frozen"/>
    <n v="11"/>
    <n v="100"/>
    <n v="0.16250000000000001"/>
    <s v="CHURRO PRFRD MEXICAN PASTRY"/>
    <x v="46"/>
    <x v="1"/>
    <n v="178.75"/>
    <n v="81.079636137500003"/>
    <n v="1.2"/>
    <n v="97.295563365000007"/>
  </r>
  <r>
    <m/>
    <s v="Royal"/>
    <n v="1"/>
    <n v="1"/>
    <n v="5.25"/>
    <s v="Cilantro"/>
    <x v="47"/>
    <x v="1"/>
    <n v="5.25"/>
    <n v="2.3813599425"/>
    <n v="0.26100000000000001"/>
    <n v="0.62153494499250006"/>
  </r>
  <r>
    <m/>
    <s v="Royal"/>
    <n v="1"/>
    <n v="1"/>
    <n v="5.25"/>
    <s v="Cilantro"/>
    <x v="47"/>
    <x v="1"/>
    <n v="5.25"/>
    <n v="2.3813599425"/>
    <n v="0.26100000000000001"/>
    <n v="0.62153494499250006"/>
  </r>
  <r>
    <m/>
    <s v="Royal"/>
    <n v="1"/>
    <n v="1"/>
    <n v="0.875"/>
    <s v="cinammon"/>
    <x v="162"/>
    <x v="1"/>
    <n v="0.875"/>
    <n v="0.39689332375000003"/>
    <n v="0.87"/>
    <n v="0.3452971916625"/>
  </r>
  <r>
    <d v="2018-12-05T00:00:00"/>
    <s v="Canned and dry goods"/>
    <n v="1"/>
    <n v="6"/>
    <s v="50 CT"/>
    <s v="COCOA MIX INDIV"/>
    <x v="48"/>
    <x v="1"/>
    <n v="0"/>
    <n v="0"/>
    <n v="33.646999999999998"/>
    <n v="0"/>
  </r>
  <r>
    <d v="2018-10-30T00:00:00"/>
    <s v="Café Campesino"/>
    <n v="1"/>
    <n v="1"/>
    <n v="5"/>
    <s v="cofee decaf "/>
    <x v="163"/>
    <x v="1"/>
    <n v="5"/>
    <n v="2.2679618500000003"/>
    <n v="6.2789999999999999"/>
    <n v="14.240532456150001"/>
  </r>
  <r>
    <d v="2018-10-30T00:00:00"/>
    <s v="Café Campesino"/>
    <n v="1"/>
    <n v="1"/>
    <n v="10"/>
    <s v="coffee medium blend"/>
    <x v="164"/>
    <x v="1"/>
    <n v="10"/>
    <n v="4.5359237000000006"/>
    <n v="6.2789999999999999"/>
    <n v="28.481064912300003"/>
  </r>
  <r>
    <m/>
    <s v="Royal"/>
    <n v="4"/>
    <n v="1"/>
    <n v="10"/>
    <s v="Pr Collards Cleaned-Chopped"/>
    <x v="151"/>
    <x v="1"/>
    <n v="40"/>
    <n v="18.143694800000002"/>
    <n v="0.20599999999999999"/>
    <n v="3.7376011288000002"/>
  </r>
  <r>
    <m/>
    <s v="Royal"/>
    <n v="3"/>
    <n v="1"/>
    <n v="10"/>
    <s v="Pr Collards Cleaned-Chopped LOCAL"/>
    <x v="151"/>
    <x v="1"/>
    <n v="30"/>
    <n v="13.607771100000001"/>
    <n v="0.20599999999999999"/>
    <n v="2.8032008465999998"/>
  </r>
  <r>
    <d v="2018-11-30T00:00:00"/>
    <s v="Canned and dry goods"/>
    <n v="4"/>
    <n v="2"/>
    <n v="14.385"/>
    <s v="KETCHUP FANCY POUCH DISPENSER"/>
    <x v="50"/>
    <x v="1"/>
    <n v="115.08"/>
    <n v="52.199409939600002"/>
    <n v="3.33"/>
    <n v="173.82403509886802"/>
  </r>
  <r>
    <d v="2018-12-03T00:00:00"/>
    <s v="Canned and dry goods"/>
    <n v="1"/>
    <n v="6"/>
    <n v="7.125"/>
    <s v="KETCHUP POUCH-PK FCY (= 6/10)"/>
    <x v="50"/>
    <x v="1"/>
    <n v="42.75"/>
    <n v="19.391073817500001"/>
    <n v="3.33"/>
    <n v="64.572275812275009"/>
  </r>
  <r>
    <d v="2018-12-05T00:00:00"/>
    <s v="Canned and dry goods"/>
    <n v="2"/>
    <n v="6"/>
    <n v="7.125"/>
    <s v="KETCHUP POUCH-PK FCY (= 6/10)"/>
    <x v="50"/>
    <x v="1"/>
    <n v="85.5"/>
    <n v="38.782147635000001"/>
    <n v="3.33"/>
    <n v="129.14455162455002"/>
  </r>
  <r>
    <d v="2018-11-30T00:00:00"/>
    <s v="Canned and dry goods"/>
    <n v="2"/>
    <n v="2"/>
    <n v="6.5625"/>
    <s v="MUSTARD DIJON PLS JUG"/>
    <x v="50"/>
    <x v="1"/>
    <n v="26.25"/>
    <n v="11.9067997125"/>
    <n v="3.33"/>
    <n v="39.649643042625001"/>
  </r>
  <r>
    <d v="2018-12-05T00:00:00"/>
    <s v="Canned and dry goods"/>
    <n v="1"/>
    <n v="4"/>
    <n v="6.5625"/>
    <s v="MUSTARD YELLOW PLS JUG"/>
    <x v="50"/>
    <x v="1"/>
    <n v="26.25"/>
    <n v="11.9067997125"/>
    <n v="3.33"/>
    <n v="39.649643042625001"/>
  </r>
  <r>
    <d v="2018-11-30T00:00:00"/>
    <s v="Canned and dry goods"/>
    <n v="1"/>
    <n v="6"/>
    <n v="5"/>
    <s v="SAUCE HOISIN"/>
    <x v="50"/>
    <x v="1"/>
    <n v="30"/>
    <n v="13.607771100000001"/>
    <n v="3.33"/>
    <n v="45.313877763000001"/>
  </r>
  <r>
    <d v="2018-12-03T00:00:00"/>
    <s v="Canned and dry goods"/>
    <n v="1"/>
    <n v="4"/>
    <n v="11.480799999999999"/>
    <s v="SAUCE SOY SWEET"/>
    <x v="50"/>
    <x v="1"/>
    <n v="45.923199999999994"/>
    <n v="20.830413125983998"/>
    <n v="3.33"/>
    <n v="69.365275709526713"/>
  </r>
  <r>
    <d v="2018-12-03T00:00:00"/>
    <s v="Canned and dry goods"/>
    <n v="1"/>
    <n v="12"/>
    <n v="1.5625"/>
    <s v="SAUCE CHILI SWEET THAI"/>
    <x v="50"/>
    <x v="1"/>
    <n v="18.75"/>
    <n v="8.5048569375000014"/>
    <n v="3.33"/>
    <n v="28.321173601875007"/>
  </r>
  <r>
    <d v="2018-12-03T00:00:00"/>
    <s v="Canned and dry goods"/>
    <n v="1"/>
    <n v="4"/>
    <n v="11.480799999999999"/>
    <s v="SAUCE SOY LESS SODIUM"/>
    <x v="50"/>
    <x v="1"/>
    <n v="45.923199999999994"/>
    <n v="20.830413125983998"/>
    <n v="3.33"/>
    <n v="69.365275709526713"/>
  </r>
  <r>
    <d v="2018-12-03T00:00:00"/>
    <s v="Canned and dry goods"/>
    <n v="2"/>
    <n v="4"/>
    <n v="13.198399999999998"/>
    <s v="SAUCE PEPPER CAYENNE RED HOT"/>
    <x v="50"/>
    <x v="1"/>
    <n v="105.58719999999998"/>
    <n v="47.893548289663997"/>
    <n v="3.33"/>
    <n v="159.48551580458113"/>
  </r>
  <r>
    <d v="2018-12-05T00:00:00"/>
    <s v="Canned and dry goods"/>
    <n v="1"/>
    <n v="24"/>
    <n v="0.3125"/>
    <s v="SAUCE PEPPER CAYENNE RED HOT"/>
    <x v="50"/>
    <x v="1"/>
    <n v="7.5"/>
    <n v="3.4019427750000002"/>
    <n v="3.33"/>
    <n v="11.32846944075"/>
  </r>
  <r>
    <d v="2018-12-05T00:00:00"/>
    <s v="Canned and dry goods"/>
    <n v="1"/>
    <n v="24"/>
    <n v="0.375"/>
    <s v="SAUCE HOT"/>
    <x v="50"/>
    <x v="1"/>
    <n v="9"/>
    <n v="4.0823313299999997"/>
    <n v="3.33"/>
    <n v="13.594163328899999"/>
  </r>
  <r>
    <d v="2018-12-05T00:00:00"/>
    <s v="Canned and dry goods"/>
    <n v="1"/>
    <n v="12"/>
    <n v="1.5625"/>
    <s v="SAUCE CHILI SWEET THAI"/>
    <x v="50"/>
    <x v="1"/>
    <n v="18.75"/>
    <n v="8.5048569375000014"/>
    <n v="3.33"/>
    <n v="28.321173601875007"/>
  </r>
  <r>
    <d v="2018-12-05T00:00:00"/>
    <s v="Canned and dry goods"/>
    <n v="1"/>
    <n v="12"/>
    <n v="10.4375"/>
    <s v="SAUCE CHILI SRIRACHA"/>
    <x v="50"/>
    <x v="1"/>
    <n v="125.25"/>
    <n v="56.812444342500001"/>
    <n v="3.33"/>
    <n v="189.18543966052502"/>
  </r>
  <r>
    <d v="2018-11-30T00:00:00"/>
    <s v="Canned and dry goods"/>
    <n v="4"/>
    <n v="4"/>
    <n v="7.79"/>
    <s v="MAYONNAISE REAL"/>
    <x v="51"/>
    <x v="2"/>
    <n v="124.64"/>
    <n v="56.535752996799999"/>
    <n v="3.33"/>
    <n v="188.26405747934399"/>
  </r>
  <r>
    <d v="2018-12-05T00:00:00"/>
    <s v="Canned and dry goods"/>
    <n v="3"/>
    <n v="4"/>
    <n v="7.79"/>
    <s v="MAYONNAISE REAL"/>
    <x v="51"/>
    <x v="2"/>
    <n v="93.48"/>
    <n v="42.4018147476"/>
    <n v="3.33"/>
    <n v="141.19804310950801"/>
  </r>
  <r>
    <d v="2018-12-03T00:00:00"/>
    <s v="Frozen"/>
    <n v="3"/>
    <n v="1"/>
    <n v="30"/>
    <s v="CORN WHL KERNEL"/>
    <x v="52"/>
    <x v="1"/>
    <n v="90"/>
    <n v="40.823313300000002"/>
    <n v="0.75700000000000001"/>
    <n v="30.903248168100003"/>
  </r>
  <r>
    <d v="2018-12-05T00:00:00"/>
    <s v="Frozen"/>
    <n v="1"/>
    <n v="1"/>
    <n v="30"/>
    <s v="CORN WHL KERNEL"/>
    <x v="52"/>
    <x v="1"/>
    <n v="30"/>
    <n v="13.607771100000001"/>
    <n v="0.75700000000000001"/>
    <n v="10.3010827227"/>
  </r>
  <r>
    <d v="2018-11-30T00:00:00"/>
    <s v="Meats"/>
    <n v="12"/>
    <n v="1"/>
    <n v="10"/>
    <s v="CORN DOG ALL MEAT MINI 240/.67"/>
    <x v="53"/>
    <x v="0"/>
    <n v="120"/>
    <n v="54.431084400000003"/>
    <n v="32.845999999999997"/>
    <n v="1787.8433982023998"/>
  </r>
  <r>
    <d v="2018-12-05T00:00:00"/>
    <s v="Canned and dry goods"/>
    <n v="1"/>
    <n v="12"/>
    <s v="12 CT"/>
    <s v="CEREAL HOT GRITS QUICK"/>
    <x v="54"/>
    <x v="1"/>
    <n v="0"/>
    <n v="0"/>
    <n v="0.55000000000000004"/>
    <n v="0"/>
  </r>
  <r>
    <d v="2018-12-03T00:00:00"/>
    <s v="Canned and dry goods"/>
    <n v="1"/>
    <n v="1"/>
    <n v="25"/>
    <s v="CORN MEAL WHITE"/>
    <x v="54"/>
    <x v="1"/>
    <n v="25"/>
    <n v="11.33980925"/>
    <n v="0.55000000000000004"/>
    <n v="6.2368950875000007"/>
  </r>
  <r>
    <d v="2018-12-03T00:00:00"/>
    <s v="Canned and dry goods"/>
    <n v="1"/>
    <n v="6"/>
    <n v="5"/>
    <s v="MIX CORNBREAD SOTHRN STY CMPLT"/>
    <x v="54"/>
    <x v="1"/>
    <n v="30"/>
    <n v="13.607771100000001"/>
    <n v="0.55000000000000004"/>
    <n v="7.4842741050000008"/>
  </r>
  <r>
    <d v="2018-12-05T00:00:00"/>
    <s v="Canned and dry goods"/>
    <n v="1"/>
    <n v="24"/>
    <n v="1"/>
    <s v="CORN STARCH"/>
    <x v="55"/>
    <x v="1"/>
    <n v="24"/>
    <n v="10.886216880000001"/>
    <n v="0.76"/>
    <n v="8.2735248288000012"/>
  </r>
  <r>
    <d v="2018-11-30T00:00:00"/>
    <s v="Canned and dry goods"/>
    <n v="2"/>
    <n v="24"/>
    <n v="1"/>
    <s v="CORN STARCH"/>
    <x v="55"/>
    <x v="1"/>
    <n v="48"/>
    <n v="21.772433760000002"/>
    <n v="0.76"/>
    <n v="16.547049657600002"/>
  </r>
  <r>
    <d v="2018-12-05T00:00:00"/>
    <s v="Canned and dry goods"/>
    <n v="1"/>
    <n v="500"/>
    <s v="2pk"/>
    <s v="CRACKER SALTINE ZESTA"/>
    <x v="57"/>
    <x v="1"/>
    <n v="0"/>
    <n v="0"/>
    <n v="2.5299999999999998"/>
    <n v="0"/>
  </r>
  <r>
    <d v="2018-12-05T00:00:00"/>
    <s v="Canned and dry goods"/>
    <n v="1"/>
    <n v="150"/>
    <n v="3.125E-2"/>
    <s v="CRACKER OYSTER DOTS"/>
    <x v="57"/>
    <x v="1"/>
    <n v="4.6875"/>
    <n v="2.1262142343750003"/>
    <n v="2.5299999999999998"/>
    <n v="5.3793220129687507"/>
  </r>
  <r>
    <d v="2018-12-03T00:00:00"/>
    <s v="Canned and dry goods"/>
    <n v="1"/>
    <n v="1"/>
    <n v="10"/>
    <s v="CRANBERRY DRIED CRAISINS"/>
    <x v="58"/>
    <x v="1"/>
    <n v="10"/>
    <n v="4.5359237000000006"/>
    <n v="1.4179999999999999"/>
    <n v="6.4319398066000009"/>
  </r>
  <r>
    <d v="2018-11-30T00:00:00"/>
    <s v="Dairy Products"/>
    <n v="1"/>
    <n v="1"/>
    <n v="2"/>
    <s v="CREAM SOUR SEL 13%"/>
    <x v="59"/>
    <x v="2"/>
    <n v="2"/>
    <n v="0.90718474000000004"/>
    <n v="5.32"/>
    <n v="4.8262228168000005"/>
  </r>
  <r>
    <d v="2018-12-05T00:00:00"/>
    <s v="Dairy Products"/>
    <n v="1"/>
    <n v="1"/>
    <n v="2"/>
    <s v="CREAM SOUR SEL 13%"/>
    <x v="59"/>
    <x v="2"/>
    <n v="2"/>
    <n v="0.90718474000000004"/>
    <n v="5.32"/>
    <n v="4.8262228168000005"/>
  </r>
  <r>
    <m/>
    <s v="Royal"/>
    <n v="1"/>
    <n v="1"/>
    <n v="55.555555555555557"/>
    <s v="Cucumber LOCAL"/>
    <x v="60"/>
    <x v="1"/>
    <n v="55.555555555555557"/>
    <n v="25.199576111111114"/>
    <n v="0.40899999999999997"/>
    <n v="10.306626629444445"/>
  </r>
  <r>
    <m/>
    <s v="Royal"/>
    <n v="1"/>
    <n v="1"/>
    <n v="55.555555555555557"/>
    <s v="Cucumber LOCAL"/>
    <x v="60"/>
    <x v="1"/>
    <n v="55.555555555555557"/>
    <n v="25.199576111111114"/>
    <n v="0.40899999999999997"/>
    <n v="10.306626629444445"/>
  </r>
  <r>
    <m/>
    <s v="Royal"/>
    <n v="1"/>
    <n v="1"/>
    <n v="55.555555555555557"/>
    <s v="Cucumber LOCAL"/>
    <x v="60"/>
    <x v="1"/>
    <n v="55.555555555555557"/>
    <n v="25.199576111111114"/>
    <n v="0.40899999999999997"/>
    <n v="10.306626629444445"/>
  </r>
  <r>
    <m/>
    <s v="Royal"/>
    <n v="2"/>
    <n v="1"/>
    <n v="55.555555555555557"/>
    <s v="IDP Cucumber 1 1/9 Bushel LOCAL"/>
    <x v="60"/>
    <x v="1"/>
    <n v="111.11111111111111"/>
    <n v="50.399152222222227"/>
    <n v="0.40899999999999997"/>
    <n v="20.613253258888889"/>
  </r>
  <r>
    <m/>
    <s v="Royal"/>
    <n v="1"/>
    <n v="1"/>
    <n v="55.555555555555557"/>
    <s v="IDP Cucumber 1 1/9 Bushel LOCAL"/>
    <x v="60"/>
    <x v="1"/>
    <n v="55.555555555555557"/>
    <n v="25.199576111111114"/>
    <n v="0.40899999999999997"/>
    <n v="10.306626629444445"/>
  </r>
  <r>
    <m/>
    <s v="Royal"/>
    <n v="2"/>
    <n v="1"/>
    <n v="55.555555555555557"/>
    <s v="Cucumber LOCAL"/>
    <x v="60"/>
    <x v="1"/>
    <n v="111.11111111111111"/>
    <n v="50.399152222222227"/>
    <n v="0.40899999999999997"/>
    <n v="20.613253258888889"/>
  </r>
  <r>
    <d v="2018-12-05T00:00:00"/>
    <s v="Canned and dry goods"/>
    <n v="2"/>
    <n v="4"/>
    <n v="8.35"/>
    <s v="PICKLE SLI DILL HAM SC 1/8 PLS"/>
    <x v="60"/>
    <x v="1"/>
    <n v="66.8"/>
    <n v="30.299970316"/>
    <n v="0.40899999999999997"/>
    <n v="12.392687859243999"/>
  </r>
  <r>
    <m/>
    <s v="Royal"/>
    <n v="1"/>
    <n v="1"/>
    <n v="1"/>
    <s v="curry masala"/>
    <x v="165"/>
    <x v="1"/>
    <n v="1"/>
    <n v="0.45359237000000002"/>
    <n v="3.33"/>
    <n v="1.5104625921000001"/>
  </r>
  <r>
    <d v="2018-11-30T00:00:00"/>
    <s v="Dairy Products"/>
    <n v="12"/>
    <n v="2"/>
    <n v="20"/>
    <s v="EGG LIQ WHL CAGE FREE W/CITRIC"/>
    <x v="62"/>
    <x v="2"/>
    <n v="480"/>
    <n v="217.72433760000001"/>
    <n v="3.754"/>
    <n v="817.33716335040003"/>
  </r>
  <r>
    <d v="2018-11-30T00:00:00"/>
    <s v="Dairy Products"/>
    <n v="1"/>
    <n v="15"/>
    <n v="2"/>
    <s v="EGG WHITE CAGE FREE LIQ"/>
    <x v="62"/>
    <x v="2"/>
    <n v="30"/>
    <n v="13.607771100000001"/>
    <n v="3.754"/>
    <n v="51.083572709400002"/>
  </r>
  <r>
    <d v="2018-11-30T00:00:00"/>
    <s v="Dairy Products"/>
    <n v="2"/>
    <n v="15"/>
    <n v="1.5"/>
    <s v="EGG SHELL CG FR LG HFAC GR A"/>
    <x v="62"/>
    <x v="2"/>
    <n v="45"/>
    <n v="20.411656650000001"/>
    <n v="3.754"/>
    <n v="76.62535906410001"/>
  </r>
  <r>
    <d v="2018-12-03T00:00:00"/>
    <s v="Dairy Products"/>
    <n v="13"/>
    <n v="2"/>
    <n v="20"/>
    <s v="EGG LIQ WHL CAGE FREE W/CITRIC"/>
    <x v="62"/>
    <x v="2"/>
    <n v="520"/>
    <n v="235.8680324"/>
    <n v="3.754"/>
    <n v="885.44859362960005"/>
  </r>
  <r>
    <d v="2018-12-03T00:00:00"/>
    <s v="Dairy Products"/>
    <n v="2"/>
    <n v="15"/>
    <n v="2"/>
    <s v="EGG WHITE CAGE FREE LIQ"/>
    <x v="62"/>
    <x v="2"/>
    <n v="60"/>
    <n v="27.215542200000002"/>
    <n v="3.754"/>
    <n v="102.1671454188"/>
  </r>
  <r>
    <d v="2018-12-05T00:00:00"/>
    <s v="Dairy Products"/>
    <n v="8"/>
    <n v="2"/>
    <n v="20"/>
    <s v="EGG LIQ WHL CAGE FREE W/CITRIC"/>
    <x v="62"/>
    <x v="2"/>
    <n v="320"/>
    <n v="145.14955840000002"/>
    <n v="3.754"/>
    <n v="544.89144223360006"/>
  </r>
  <r>
    <d v="2018-12-05T00:00:00"/>
    <s v="Dairy Products"/>
    <n v="2"/>
    <n v="15"/>
    <n v="2"/>
    <s v="EGG WHITE CAGE FREE LIQ"/>
    <x v="62"/>
    <x v="2"/>
    <n v="60"/>
    <n v="27.215542200000002"/>
    <n v="3.754"/>
    <n v="102.1671454188"/>
  </r>
  <r>
    <d v="2018-12-05T00:00:00"/>
    <s v="Dairy Products"/>
    <n v="4"/>
    <n v="15"/>
    <n v="1.5"/>
    <s v="EGG SHELL CG FR LG HFAC GR A"/>
    <x v="62"/>
    <x v="2"/>
    <n v="90"/>
    <n v="40.823313300000002"/>
    <n v="3.754"/>
    <n v="153.25071812820002"/>
  </r>
  <r>
    <m/>
    <s v="Royal"/>
    <n v="2"/>
    <n v="1"/>
    <n v="38.888888888888893"/>
    <s v="Eggplant   Choice LOCAL"/>
    <x v="63"/>
    <x v="1"/>
    <n v="77.777777777777786"/>
    <n v="35.27940655555556"/>
    <n v="0.52600000000000002"/>
    <n v="18.556967848222225"/>
  </r>
  <r>
    <m/>
    <s v="Royal"/>
    <n v="1"/>
    <n v="1"/>
    <n v="38.888888888888893"/>
    <s v="Eggplant   Choice LOCAL"/>
    <x v="63"/>
    <x v="1"/>
    <n v="38.888888888888893"/>
    <n v="17.63970327777778"/>
    <n v="0.52600000000000002"/>
    <n v="9.2784839241111126"/>
  </r>
  <r>
    <m/>
    <s v="Royal"/>
    <n v="2"/>
    <n v="1"/>
    <n v="38.888888888888893"/>
    <s v="Eggplant   Choice LOCAL"/>
    <x v="63"/>
    <x v="1"/>
    <n v="77.777777777777786"/>
    <n v="35.27940655555556"/>
    <n v="0.52600000000000002"/>
    <n v="18.556967848222225"/>
  </r>
  <r>
    <m/>
    <s v="Royal"/>
    <n v="1"/>
    <n v="1"/>
    <n v="38.888888888888893"/>
    <s v="Eggplant   Choice LOCAL"/>
    <x v="63"/>
    <x v="1"/>
    <n v="38.888888888888893"/>
    <n v="17.63970327777778"/>
    <n v="0.52600000000000002"/>
    <n v="9.2784839241111126"/>
  </r>
  <r>
    <m/>
    <s v="Royal"/>
    <n v="2"/>
    <n v="1"/>
    <n v="38.888888888888893"/>
    <s v="Eggplant   Choice LOCAL"/>
    <x v="63"/>
    <x v="1"/>
    <n v="77.777777777777786"/>
    <n v="35.27940655555556"/>
    <n v="0.52600000000000002"/>
    <n v="18.556967848222225"/>
  </r>
  <r>
    <m/>
    <s v="Royal"/>
    <n v="1"/>
    <n v="1"/>
    <n v="38.888888888888893"/>
    <s v="Eggplant  Choice LOCAL"/>
    <x v="63"/>
    <x v="1"/>
    <n v="38.888888888888893"/>
    <n v="17.63970327777778"/>
    <n v="0.52600000000000002"/>
    <n v="9.2784839241111126"/>
  </r>
  <r>
    <d v="2018-11-30T00:00:00"/>
    <s v="Seafood"/>
    <n v="6"/>
    <n v="1"/>
    <n v="10"/>
    <s v="POLLOCK FLT IQF 4-6OZ CHN"/>
    <x v="64"/>
    <x v="0"/>
    <n v="60"/>
    <n v="27.215542200000002"/>
    <n v="3.0209999999999999"/>
    <n v="82.218152986199996"/>
  </r>
  <r>
    <d v="2018-11-30T00:00:00"/>
    <s v="Seafood"/>
    <n v="8"/>
    <n v="1"/>
    <n v="10"/>
    <s v="COD LOIN 4OZ IQF MSC"/>
    <x v="64"/>
    <x v="0"/>
    <n v="80"/>
    <n v="36.287389600000004"/>
    <n v="3.0209999999999999"/>
    <n v="109.6242039816"/>
  </r>
  <r>
    <d v="2018-12-03T00:00:00"/>
    <s v="Seafood"/>
    <n v="10"/>
    <n v="1"/>
    <n v="10"/>
    <s v="POLLOCK FLT IQF 4-6OZ CHN"/>
    <x v="64"/>
    <x v="0"/>
    <n v="100"/>
    <n v="45.359237"/>
    <n v="3.0209999999999999"/>
    <n v="137.030254977"/>
  </r>
  <r>
    <d v="2018-12-03T00:00:00"/>
    <s v="Seafood"/>
    <n v="5"/>
    <n v="1"/>
    <n v="10"/>
    <s v="COD LOIN 4OZ IQF MSC"/>
    <x v="64"/>
    <x v="0"/>
    <n v="50"/>
    <n v="22.6796185"/>
    <n v="3.0209999999999999"/>
    <n v="68.515127488499999"/>
  </r>
  <r>
    <d v="2018-12-03T00:00:00"/>
    <s v="Seafood"/>
    <n v="4"/>
    <n v="1"/>
    <n v="15"/>
    <s v="PANGASIUS FILLET IQF 3-0.3125"/>
    <x v="64"/>
    <x v="0"/>
    <n v="60"/>
    <n v="27.215542200000002"/>
    <n v="3.0209999999999999"/>
    <n v="82.218152986199996"/>
  </r>
  <r>
    <d v="2018-12-05T00:00:00"/>
    <s v="Seafood"/>
    <n v="1"/>
    <n v="1"/>
    <n v="10"/>
    <s v="POLLOCK FLT IQF 4-6OZ CHN"/>
    <x v="64"/>
    <x v="0"/>
    <n v="10"/>
    <n v="4.5359237000000006"/>
    <n v="3.0209999999999999"/>
    <n v="13.703025497700001"/>
  </r>
  <r>
    <d v="2018-12-05T00:00:00"/>
    <s v="Seafood"/>
    <n v="8"/>
    <n v="1"/>
    <n v="15"/>
    <s v="PANGASIUS FILLET IQF 3-0.3125"/>
    <x v="64"/>
    <x v="0"/>
    <n v="120"/>
    <n v="54.431084400000003"/>
    <n v="3.0209999999999999"/>
    <n v="164.43630597239999"/>
  </r>
  <r>
    <d v="2018-11-30T00:00:00"/>
    <s v="Canned and dry goods"/>
    <n v="6"/>
    <n v="1"/>
    <n v="50"/>
    <s v="FLOUR HI-GLUTEN ALL TRUMP"/>
    <x v="65"/>
    <x v="1"/>
    <n v="300"/>
    <n v="136.07771100000002"/>
    <n v="0.35799999999999998"/>
    <n v="48.715820538000003"/>
  </r>
  <r>
    <d v="2018-11-30T00:00:00"/>
    <s v="Canned and dry goods"/>
    <n v="4"/>
    <n v="1"/>
    <n v="25"/>
    <s v="FLOUR H&amp; R ALL PURP ENRICH BLCH"/>
    <x v="65"/>
    <x v="1"/>
    <n v="100"/>
    <n v="45.359237"/>
    <n v="0.35799999999999998"/>
    <n v="16.238606846"/>
  </r>
  <r>
    <d v="2018-12-03T00:00:00"/>
    <s v="Canned and dry goods"/>
    <n v="1"/>
    <n v="1"/>
    <n v="50"/>
    <s v="FLOUR HI-GLUTEN ALL TRUMP"/>
    <x v="65"/>
    <x v="1"/>
    <n v="50"/>
    <n v="22.6796185"/>
    <n v="0.35799999999999998"/>
    <n v="8.1193034229999999"/>
  </r>
  <r>
    <d v="2018-12-05T00:00:00"/>
    <s v="Canned and dry goods"/>
    <n v="5"/>
    <n v="1"/>
    <n v="50"/>
    <s v="FLOUR HI-GLUTEN ALL TRUMP"/>
    <x v="65"/>
    <x v="1"/>
    <n v="250"/>
    <n v="113.3980925"/>
    <n v="0.35799999999999998"/>
    <n v="40.596517114999997"/>
  </r>
  <r>
    <m/>
    <s v="Royal"/>
    <n v="1"/>
    <n v="1"/>
    <n v="18.16"/>
    <s v="Garlic   Peeled Choice (U.S. GROWN)"/>
    <x v="66"/>
    <x v="1"/>
    <n v="18.16"/>
    <n v="8.2372374392000012"/>
    <n v="0.74299999999999999"/>
    <n v="6.1202674173256009"/>
  </r>
  <r>
    <m/>
    <s v="Royal"/>
    <n v="1"/>
    <n v="1"/>
    <n v="18.16"/>
    <s v="Garlic   Peeled Choice (U.S. GROWN)"/>
    <x v="66"/>
    <x v="1"/>
    <n v="18.16"/>
    <n v="8.2372374392000012"/>
    <n v="0.74299999999999999"/>
    <n v="6.1202674173256009"/>
  </r>
  <r>
    <m/>
    <s v="Royal"/>
    <n v="1"/>
    <n v="1"/>
    <n v="18.16"/>
    <s v="Garlic  Peeled Choice (U.S. GROWN)"/>
    <x v="66"/>
    <x v="1"/>
    <n v="18.16"/>
    <n v="8.2372374392000012"/>
    <n v="0.74299999999999999"/>
    <n v="6.1202674173256009"/>
  </r>
  <r>
    <m/>
    <s v="Royal"/>
    <n v="2"/>
    <n v="1"/>
    <n v="25"/>
    <s v="root ginger"/>
    <x v="67"/>
    <x v="1"/>
    <n v="50"/>
    <n v="22.6796185"/>
    <n v="0.95"/>
    <n v="21.545637575000001"/>
  </r>
  <r>
    <m/>
    <s v="Royal"/>
    <n v="5"/>
    <n v="1"/>
    <n v="18"/>
    <s v="Grape   Red"/>
    <x v="68"/>
    <x v="1"/>
    <n v="90"/>
    <n v="40.823313300000002"/>
    <n v="0.47799999999999998"/>
    <n v="19.513543757400001"/>
  </r>
  <r>
    <m/>
    <s v="Royal"/>
    <n v="2"/>
    <n v="1"/>
    <n v="18"/>
    <s v="Grape   Red"/>
    <x v="68"/>
    <x v="1"/>
    <n v="36"/>
    <n v="16.329325319999999"/>
    <n v="0.47799999999999998"/>
    <n v="7.8054175029599993"/>
  </r>
  <r>
    <m/>
    <s v="Royal"/>
    <n v="3"/>
    <n v="1"/>
    <n v="18"/>
    <s v="Grape   Red"/>
    <x v="68"/>
    <x v="1"/>
    <n v="54"/>
    <n v="24.493987980000004"/>
    <n v="0.47799999999999998"/>
    <n v="11.708126254440002"/>
  </r>
  <r>
    <m/>
    <s v="Royal"/>
    <n v="3"/>
    <n v="1"/>
    <n v="18"/>
    <s v="Grape   Red"/>
    <x v="68"/>
    <x v="1"/>
    <n v="54"/>
    <n v="24.493987980000004"/>
    <n v="0.47799999999999998"/>
    <n v="11.708126254440002"/>
  </r>
  <r>
    <m/>
    <s v="Royal"/>
    <n v="8"/>
    <n v="1"/>
    <n v="18"/>
    <s v="Grape  Red"/>
    <x v="68"/>
    <x v="1"/>
    <n v="144"/>
    <n v="65.317301279999995"/>
    <n v="0.47799999999999998"/>
    <n v="31.221670011839997"/>
  </r>
  <r>
    <d v="2018-11-30T00:00:00"/>
    <s v="Canned and dry goods"/>
    <n v="2"/>
    <n v="8"/>
    <n v="5"/>
    <s v="CEREAL HOT GRITS QUICK"/>
    <x v="70"/>
    <x v="1"/>
    <n v="80"/>
    <n v="36.287389600000004"/>
    <n v="0.55000000000000004"/>
    <n v="19.958064280000006"/>
  </r>
  <r>
    <d v="2018-10-26T00:00:00"/>
    <s v="Mayfield Dairy"/>
    <n v="36"/>
    <n v="1"/>
    <n v="2.0499999999999998"/>
    <s v="1qt h and h"/>
    <x v="72"/>
    <x v="2"/>
    <n v="73.8"/>
    <n v="33.475116906000004"/>
    <n v="3.2614999999999998"/>
    <n v="109.179093788919"/>
  </r>
  <r>
    <d v="2018-10-29T00:00:00"/>
    <s v="Mayfield Dairy"/>
    <n v="24"/>
    <n v="1"/>
    <n v="2.0499999999999998"/>
    <s v="1qt h and h"/>
    <x v="72"/>
    <x v="2"/>
    <n v="49.199999999999996"/>
    <n v="22.316744604"/>
    <n v="3.2614999999999998"/>
    <n v="72.786062525945994"/>
  </r>
  <r>
    <d v="2018-10-31T00:00:00"/>
    <s v="Mayfield Dairy"/>
    <n v="12"/>
    <n v="1"/>
    <n v="2.0499999999999998"/>
    <s v="1qt h and h"/>
    <x v="72"/>
    <x v="2"/>
    <n v="24.599999999999998"/>
    <n v="11.158372302"/>
    <n v="3.2614999999999998"/>
    <n v="36.393031262972997"/>
  </r>
  <r>
    <d v="2018-10-31T00:00:00"/>
    <s v="Mayfield Dairy"/>
    <n v="24"/>
    <n v="1"/>
    <n v="1.06"/>
    <s v="1qt heavy whipping cream"/>
    <x v="166"/>
    <x v="2"/>
    <n v="25.44"/>
    <n v="11.539389892800003"/>
    <n v="3.2614999999999998"/>
    <n v="37.635720135367208"/>
  </r>
  <r>
    <m/>
    <s v="Royal"/>
    <n v="1"/>
    <n v="1"/>
    <n v="1"/>
    <s v="Herbs Oregano"/>
    <x v="152"/>
    <x v="1"/>
    <n v="1"/>
    <n v="0.45359237000000002"/>
    <n v="0.221"/>
    <n v="0.10024391377000001"/>
  </r>
  <r>
    <m/>
    <s v="Royal"/>
    <n v="1"/>
    <n v="1"/>
    <n v="1"/>
    <s v="Herbs Rosemary"/>
    <x v="152"/>
    <x v="1"/>
    <n v="1"/>
    <n v="0.45359237000000002"/>
    <n v="0.221"/>
    <n v="0.10024391377000001"/>
  </r>
  <r>
    <m/>
    <s v="Royal"/>
    <n v="1"/>
    <n v="1"/>
    <n v="1"/>
    <s v="Herbs Thyme"/>
    <x v="152"/>
    <x v="1"/>
    <n v="1"/>
    <n v="0.45359237000000002"/>
    <n v="0.221"/>
    <n v="0.10024391377000001"/>
  </r>
  <r>
    <m/>
    <s v="Royal"/>
    <n v="1"/>
    <n v="1"/>
    <n v="1"/>
    <s v="Herbs Oregano"/>
    <x v="152"/>
    <x v="1"/>
    <n v="1"/>
    <n v="0.45359237000000002"/>
    <n v="0.221"/>
    <n v="0.10024391377000001"/>
  </r>
  <r>
    <m/>
    <s v="Royal"/>
    <n v="2"/>
    <n v="1"/>
    <n v="0.25"/>
    <s v="Herbs Mint 1/4#"/>
    <x v="152"/>
    <x v="1"/>
    <n v="0.5"/>
    <n v="0.22679618500000001"/>
    <n v="0.221"/>
    <n v="5.0121956885000006E-2"/>
  </r>
  <r>
    <m/>
    <s v="Royal"/>
    <n v="5"/>
    <n v="1"/>
    <n v="18"/>
    <s v="Honey Bears Wildflw 24/12oz Georgia"/>
    <x v="75"/>
    <x v="1"/>
    <n v="90"/>
    <n v="40.823313300000002"/>
    <n v="2.44"/>
    <n v="99.608884451999998"/>
  </r>
  <r>
    <d v="2018-12-03T00:00:00"/>
    <s v="Canned and dry goods"/>
    <n v="1"/>
    <n v="6"/>
    <n v="5"/>
    <s v="HONEY LIGHT AMBER"/>
    <x v="75"/>
    <x v="1"/>
    <n v="30"/>
    <n v="13.607771100000001"/>
    <n v="2.44"/>
    <n v="33.202961483999999"/>
  </r>
  <r>
    <d v="2018-12-05T00:00:00"/>
    <s v="Canned and dry goods"/>
    <n v="1"/>
    <n v="6"/>
    <n v="5"/>
    <s v="HONEY LIGHT AMBER"/>
    <x v="75"/>
    <x v="1"/>
    <n v="30"/>
    <n v="13.607771100000001"/>
    <n v="2.44"/>
    <n v="33.202961483999999"/>
  </r>
  <r>
    <m/>
    <s v="Royal"/>
    <n v="5"/>
    <n v="1"/>
    <n v="32"/>
    <s v="Melon   Honeydew 8ct"/>
    <x v="76"/>
    <x v="1"/>
    <n v="160"/>
    <n v="72.574779200000009"/>
    <n v="0.28399999999999997"/>
    <n v="20.611237292800002"/>
  </r>
  <r>
    <m/>
    <s v="Royal"/>
    <n v="8"/>
    <n v="1"/>
    <n v="32"/>
    <s v="Melon   Honeydew 8ct"/>
    <x v="76"/>
    <x v="1"/>
    <n v="256"/>
    <n v="116.11964672000001"/>
    <n v="0.28399999999999997"/>
    <n v="32.977979668479996"/>
  </r>
  <r>
    <m/>
    <s v="Royal"/>
    <n v="5"/>
    <n v="1"/>
    <n v="32"/>
    <s v="Melon   Honeydew 8ct"/>
    <x v="76"/>
    <x v="1"/>
    <n v="160"/>
    <n v="72.574779200000009"/>
    <n v="0.28399999999999997"/>
    <n v="20.611237292800002"/>
  </r>
  <r>
    <m/>
    <s v="Royal"/>
    <n v="5"/>
    <n v="1"/>
    <n v="32"/>
    <s v="Melon   Honeydew 8ct"/>
    <x v="76"/>
    <x v="1"/>
    <n v="160"/>
    <n v="72.574779200000009"/>
    <n v="0.28399999999999997"/>
    <n v="20.611237292800002"/>
  </r>
  <r>
    <m/>
    <s v="Royal"/>
    <n v="8"/>
    <n v="1"/>
    <n v="32"/>
    <s v="Melon  Honeydew 8ct"/>
    <x v="76"/>
    <x v="1"/>
    <n v="256"/>
    <n v="116.11964672000001"/>
    <n v="0.28399999999999997"/>
    <n v="32.977979668479996"/>
  </r>
  <r>
    <d v="2018-10-31T00:00:00"/>
    <s v="Honeysuckle Gelato"/>
    <n v="1"/>
    <n v="1"/>
    <n v="50"/>
    <s v="vanilla"/>
    <x v="77"/>
    <x v="2"/>
    <n v="50"/>
    <n v="22.6796185"/>
    <n v="3.84"/>
    <n v="87.089735039999994"/>
  </r>
  <r>
    <d v="2018-10-31T00:00:00"/>
    <s v="Honeysuckle Gelato"/>
    <n v="1"/>
    <n v="1"/>
    <n v="50"/>
    <s v="dark chocolate "/>
    <x v="77"/>
    <x v="2"/>
    <n v="50"/>
    <n v="22.6796185"/>
    <n v="3.84"/>
    <n v="87.089735039999994"/>
  </r>
  <r>
    <d v="2018-10-31T00:00:00"/>
    <s v="Honeysuckle Gelato"/>
    <n v="1"/>
    <n v="1"/>
    <n v="50"/>
    <s v="cinnamon roll"/>
    <x v="77"/>
    <x v="2"/>
    <n v="50"/>
    <n v="22.6796185"/>
    <n v="3.84"/>
    <n v="87.089735039999994"/>
  </r>
  <r>
    <d v="2018-11-30T00:00:00"/>
    <s v="Dairy Products"/>
    <n v="4"/>
    <n v="1"/>
    <n v="25.799999999999997"/>
    <s v="ICE CREAM VAN BEAN"/>
    <x v="77"/>
    <x v="2"/>
    <n v="103.19999999999999"/>
    <n v="46.810732584"/>
    <n v="3.84"/>
    <n v="179.75321312256"/>
  </r>
  <r>
    <d v="2018-11-30T00:00:00"/>
    <s v="Dairy Products"/>
    <n v="4"/>
    <n v="1"/>
    <n v="25.799999999999997"/>
    <s v="ICE CREAM CHOC"/>
    <x v="77"/>
    <x v="2"/>
    <n v="103.19999999999999"/>
    <n v="46.810732584"/>
    <n v="3.84"/>
    <n v="179.75321312256"/>
  </r>
  <r>
    <d v="2018-11-30T00:00:00"/>
    <s v="Dairy Products"/>
    <n v="4"/>
    <n v="1"/>
    <n v="25.799999999999997"/>
    <s v="ICE CREAM BIRTHDAY CAKE"/>
    <x v="77"/>
    <x v="2"/>
    <n v="103.19999999999999"/>
    <n v="46.810732584"/>
    <n v="3.84"/>
    <n v="179.75321312256"/>
  </r>
  <r>
    <d v="2018-12-05T00:00:00"/>
    <s v="Dairy Products"/>
    <n v="2"/>
    <n v="1"/>
    <n v="25.799999999999997"/>
    <s v="ICE CREAM COOKIES &amp;  CRM"/>
    <x v="77"/>
    <x v="2"/>
    <n v="51.599999999999994"/>
    <n v="23.405366292"/>
    <n v="3.84"/>
    <n v="89.876606561279999"/>
  </r>
  <r>
    <d v="2018-12-05T00:00:00"/>
    <s v="Dairy Products"/>
    <n v="2"/>
    <n v="1"/>
    <n v="25.799999999999997"/>
    <s v="ICE CREAM JUST PEACHY"/>
    <x v="77"/>
    <x v="2"/>
    <n v="51.599999999999994"/>
    <n v="23.405366292"/>
    <n v="3.84"/>
    <n v="89.876606561279999"/>
  </r>
  <r>
    <d v="2018-12-05T00:00:00"/>
    <s v="Dairy Products"/>
    <n v="3"/>
    <n v="1"/>
    <n v="25.799999999999997"/>
    <s v="ICE CREAM STWBRY"/>
    <x v="77"/>
    <x v="2"/>
    <n v="77.399999999999991"/>
    <n v="35.108049437999995"/>
    <n v="3.84"/>
    <n v="134.81490984191998"/>
  </r>
  <r>
    <d v="2018-12-05T00:00:00"/>
    <s v="Dairy Products"/>
    <n v="3"/>
    <n v="1"/>
    <n v="25.799999999999997"/>
    <s v="ICE CREAM CHOC"/>
    <x v="77"/>
    <x v="2"/>
    <n v="77.399999999999991"/>
    <n v="35.108049437999995"/>
    <n v="3.84"/>
    <n v="134.81490984191998"/>
  </r>
  <r>
    <d v="2018-12-05T00:00:00"/>
    <s v="Dairy Products"/>
    <n v="3"/>
    <n v="1"/>
    <n v="25.799999999999997"/>
    <s v="ICE CREAM FRCH VAN"/>
    <x v="77"/>
    <x v="2"/>
    <n v="77.399999999999991"/>
    <n v="35.108049437999995"/>
    <n v="3.84"/>
    <n v="134.81490984191998"/>
  </r>
  <r>
    <d v="2018-11-30T00:00:00"/>
    <s v="Canned and dry goods"/>
    <n v="1"/>
    <n v="6"/>
    <n v="4"/>
    <s v="JELLY GRAPE"/>
    <x v="78"/>
    <x v="1"/>
    <n v="24"/>
    <n v="10.886216880000001"/>
    <n v="3.25"/>
    <n v="35.380204860000006"/>
  </r>
  <r>
    <d v="2018-12-05T00:00:00"/>
    <s v="Canned and dry goods"/>
    <n v="1"/>
    <n v="6"/>
    <n v="4"/>
    <s v="JELLY GRAPE"/>
    <x v="78"/>
    <x v="1"/>
    <n v="24"/>
    <n v="10.886216880000001"/>
    <n v="3.25"/>
    <n v="35.380204860000006"/>
  </r>
  <r>
    <m/>
    <s v="Royal"/>
    <n v="2"/>
    <n v="1"/>
    <n v="10"/>
    <s v="Pr Kale Chopped &amp; Cleaned NL LOCAL"/>
    <x v="79"/>
    <x v="1"/>
    <n v="20"/>
    <n v="9.0718474000000011"/>
    <n v="0.193"/>
    <n v="1.7508665482000003"/>
  </r>
  <r>
    <d v="2018-10-26T00:00:00"/>
    <s v="Georgia Halal Meat"/>
    <n v="1"/>
    <n v="1"/>
    <n v="140.66"/>
    <s v="lamb bot"/>
    <x v="80"/>
    <x v="0"/>
    <n v="140.66"/>
    <n v="63.8023027642"/>
    <n v="34.744999999999997"/>
    <n v="2216.8110095421289"/>
  </r>
  <r>
    <d v="2018-10-26T00:00:00"/>
    <s v="Georgia Halal Meat"/>
    <n v="1"/>
    <n v="1"/>
    <n v="200"/>
    <s v="leg of lamb "/>
    <x v="80"/>
    <x v="0"/>
    <n v="200"/>
    <n v="90.718474000000001"/>
    <n v="34.744999999999997"/>
    <n v="3152.01337913"/>
  </r>
  <r>
    <m/>
    <s v="Royal"/>
    <n v="6"/>
    <n v="1"/>
    <n v="25.44"/>
    <s v="Juice Lemon Qt 12/1"/>
    <x v="82"/>
    <x v="1"/>
    <n v="152.64000000000001"/>
    <n v="69.236339356800002"/>
    <n v="0.33200000000000002"/>
    <n v="22.986464666457604"/>
  </r>
  <r>
    <m/>
    <s v="Royal"/>
    <n v="1"/>
    <n v="1"/>
    <n v="10"/>
    <s v="Lettuce Green Leaf Filet"/>
    <x v="167"/>
    <x v="1"/>
    <n v="10"/>
    <n v="4.5359237000000006"/>
    <n v="0.22"/>
    <n v="0.99790321400000015"/>
  </r>
  <r>
    <m/>
    <s v="Royal"/>
    <n v="1"/>
    <n v="1"/>
    <n v="10"/>
    <s v="Lettuce Green Leaf Filet"/>
    <x v="168"/>
    <x v="1"/>
    <n v="10"/>
    <n v="4.5359237000000006"/>
    <n v="0.22"/>
    <n v="0.99790321400000015"/>
  </r>
  <r>
    <m/>
    <s v="Royal"/>
    <n v="1"/>
    <n v="1"/>
    <n v="10"/>
    <s v="Lettuce Green Leaf Filet"/>
    <x v="168"/>
    <x v="1"/>
    <n v="10"/>
    <n v="4.5359237000000006"/>
    <n v="0.22"/>
    <n v="0.99790321400000015"/>
  </r>
  <r>
    <d v="2018-10-26T00:00:00"/>
    <s v="Mayfield Dairy"/>
    <n v="12"/>
    <n v="1"/>
    <n v="43"/>
    <s v="5gl homo disp"/>
    <x v="86"/>
    <x v="2"/>
    <n v="516"/>
    <n v="234.05366291999999"/>
    <n v="1.23"/>
    <n v="287.88600539160001"/>
  </r>
  <r>
    <d v="2018-10-26T00:00:00"/>
    <s v="Mayfield Dairy"/>
    <n v="4"/>
    <n v="1"/>
    <n v="43"/>
    <s v="5gl 2%"/>
    <x v="86"/>
    <x v="2"/>
    <n v="172"/>
    <n v="78.017887639999998"/>
    <n v="1.23"/>
    <n v="95.962001797200003"/>
  </r>
  <r>
    <d v="2018-10-26T00:00:00"/>
    <s v="Mayfield Dairy"/>
    <n v="6"/>
    <n v="1"/>
    <n v="43"/>
    <s v="5gl skim"/>
    <x v="86"/>
    <x v="2"/>
    <n v="258"/>
    <n v="117.02683146"/>
    <n v="1.23"/>
    <n v="143.9430026958"/>
  </r>
  <r>
    <d v="2018-10-26T00:00:00"/>
    <s v="Mayfield Dairy"/>
    <n v="6"/>
    <n v="1"/>
    <n v="43"/>
    <s v="5gl true moo choc"/>
    <x v="86"/>
    <x v="2"/>
    <n v="258"/>
    <n v="117.02683146"/>
    <n v="1.23"/>
    <n v="143.9430026958"/>
  </r>
  <r>
    <d v="2018-10-26T00:00:00"/>
    <s v="Mayfield Dairy"/>
    <n v="4"/>
    <n v="1"/>
    <n v="8.6"/>
    <s v="1gl buttermilk"/>
    <x v="86"/>
    <x v="2"/>
    <n v="34.4"/>
    <n v="15.603577528000001"/>
    <n v="1.23"/>
    <n v="19.192400359440001"/>
  </r>
  <r>
    <d v="2018-10-29T00:00:00"/>
    <s v="Mayfield Dairy"/>
    <n v="12"/>
    <n v="1"/>
    <n v="43"/>
    <s v="5gl homo disp"/>
    <x v="86"/>
    <x v="2"/>
    <n v="516"/>
    <n v="234.05366291999999"/>
    <n v="1.23"/>
    <n v="287.88600539160001"/>
  </r>
  <r>
    <d v="2018-10-29T00:00:00"/>
    <s v="Mayfield Dairy"/>
    <n v="6"/>
    <n v="1"/>
    <n v="43"/>
    <s v="5gl 2%"/>
    <x v="86"/>
    <x v="2"/>
    <n v="258"/>
    <n v="117.02683146"/>
    <n v="1.23"/>
    <n v="143.9430026958"/>
  </r>
  <r>
    <d v="2018-10-29T00:00:00"/>
    <s v="Mayfield Dairy"/>
    <n v="6"/>
    <n v="1"/>
    <n v="43"/>
    <s v="5gl skim"/>
    <x v="86"/>
    <x v="2"/>
    <n v="258"/>
    <n v="117.02683146"/>
    <n v="1.23"/>
    <n v="143.9430026958"/>
  </r>
  <r>
    <d v="2018-10-29T00:00:00"/>
    <s v="Mayfield Dairy"/>
    <n v="6"/>
    <n v="1"/>
    <n v="43"/>
    <s v="5gl true moo choc"/>
    <x v="86"/>
    <x v="2"/>
    <n v="258"/>
    <n v="117.02683146"/>
    <n v="1.23"/>
    <n v="143.9430026958"/>
  </r>
  <r>
    <d v="2018-10-29T00:00:00"/>
    <s v="Mayfield Dairy"/>
    <n v="4"/>
    <n v="1"/>
    <n v="8.6"/>
    <s v="1gl buttermilk"/>
    <x v="86"/>
    <x v="2"/>
    <n v="34.4"/>
    <n v="15.603577528000001"/>
    <n v="1.23"/>
    <n v="19.192400359440001"/>
  </r>
  <r>
    <d v="2018-10-31T00:00:00"/>
    <s v="Mayfield Dairy"/>
    <n v="10"/>
    <n v="1"/>
    <n v="43"/>
    <s v="5gl homo disp"/>
    <x v="86"/>
    <x v="2"/>
    <n v="430"/>
    <n v="195.04471910000001"/>
    <n v="1.23"/>
    <n v="239.90500449300001"/>
  </r>
  <r>
    <d v="2018-10-31T00:00:00"/>
    <s v="Mayfield Dairy"/>
    <n v="10"/>
    <n v="1"/>
    <n v="43"/>
    <s v="5gl 2%"/>
    <x v="86"/>
    <x v="2"/>
    <n v="430"/>
    <n v="195.04471910000001"/>
    <n v="1.23"/>
    <n v="239.90500449300001"/>
  </r>
  <r>
    <d v="2018-10-31T00:00:00"/>
    <s v="Mayfield Dairy"/>
    <n v="4"/>
    <n v="1"/>
    <n v="43"/>
    <s v="5gl true moo choc"/>
    <x v="86"/>
    <x v="2"/>
    <n v="172"/>
    <n v="78.017887639999998"/>
    <n v="1.23"/>
    <n v="95.962001797200003"/>
  </r>
  <r>
    <d v="2018-12-03T00:00:00"/>
    <s v="Dairy Products"/>
    <n v="1"/>
    <n v="20"/>
    <n v="0.5"/>
    <s v="MILK NFAT 100% LACT CAL ENRCHD"/>
    <x v="86"/>
    <x v="2"/>
    <n v="10"/>
    <n v="4.5359237000000006"/>
    <n v="1.23"/>
    <n v="5.5791861510000009"/>
  </r>
  <r>
    <d v="2018-11-30T00:00:00"/>
    <s v="Canned and dry goods"/>
    <n v="1"/>
    <n v="4"/>
    <n v="11.89"/>
    <s v="MOLASSES UNSULFURED"/>
    <x v="87"/>
    <x v="1"/>
    <n v="47.56"/>
    <n v="21.572853117200001"/>
    <n v="0.48799999999999999"/>
    <n v="10.5275523211936"/>
  </r>
  <r>
    <m/>
    <s v="Royal"/>
    <n v="10"/>
    <n v="1"/>
    <n v="5"/>
    <s v="Mushroom"/>
    <x v="88"/>
    <x v="1"/>
    <n v="50"/>
    <n v="22.6796185"/>
    <n v="3.093"/>
    <n v="70.148060020499997"/>
  </r>
  <r>
    <m/>
    <s v="Royal"/>
    <n v="4"/>
    <n v="1"/>
    <n v="5"/>
    <s v="Mushroom"/>
    <x v="88"/>
    <x v="1"/>
    <n v="20"/>
    <n v="9.0718474000000011"/>
    <n v="3.093"/>
    <n v="28.059224008200005"/>
  </r>
  <r>
    <m/>
    <s v="Royal"/>
    <n v="10"/>
    <n v="1"/>
    <n v="5"/>
    <s v="Mushroom"/>
    <x v="88"/>
    <x v="1"/>
    <n v="50"/>
    <n v="22.6796185"/>
    <n v="3.093"/>
    <n v="70.148060020499997"/>
  </r>
  <r>
    <m/>
    <s v="Royal"/>
    <n v="8"/>
    <n v="1"/>
    <n v="5"/>
    <s v="Mushroom"/>
    <x v="88"/>
    <x v="1"/>
    <n v="40"/>
    <n v="18.143694800000002"/>
    <n v="3.093"/>
    <n v="56.118448016400009"/>
  </r>
  <r>
    <m/>
    <s v="Royal"/>
    <n v="10"/>
    <n v="1"/>
    <n v="5"/>
    <s v="Mushroom"/>
    <x v="88"/>
    <x v="1"/>
    <n v="50"/>
    <n v="22.6796185"/>
    <n v="3.093"/>
    <n v="70.148060020499997"/>
  </r>
  <r>
    <m/>
    <s v="Royal"/>
    <n v="10"/>
    <n v="1"/>
    <n v="5"/>
    <s v="Mushroom"/>
    <x v="88"/>
    <x v="1"/>
    <n v="50"/>
    <n v="22.6796185"/>
    <n v="3.093"/>
    <n v="70.148060020499997"/>
  </r>
  <r>
    <m/>
    <s v="Royal"/>
    <n v="10"/>
    <n v="1"/>
    <n v="5"/>
    <s v="Mushroom   Sliced Thick 5# LOCAL"/>
    <x v="88"/>
    <x v="1"/>
    <n v="50"/>
    <n v="22.6796185"/>
    <n v="3.093"/>
    <n v="70.148060020499997"/>
  </r>
  <r>
    <d v="2018-12-03T00:00:00"/>
    <s v="Canned and dry goods"/>
    <n v="3"/>
    <n v="4"/>
    <n v="5"/>
    <s v="NOODLE YAKI SOBA"/>
    <x v="89"/>
    <x v="1"/>
    <n v="60"/>
    <n v="27.215542200000002"/>
    <n v="5.99"/>
    <n v="163.02109777800001"/>
  </r>
  <r>
    <d v="2018-12-05T00:00:00"/>
    <s v="Canned and dry goods"/>
    <n v="3"/>
    <n v="4"/>
    <n v="5"/>
    <s v="NOODLE YAKI SOBA"/>
    <x v="89"/>
    <x v="1"/>
    <n v="60"/>
    <n v="27.215542200000002"/>
    <n v="5.99"/>
    <n v="163.02109777800001"/>
  </r>
  <r>
    <d v="2018-12-03T00:00:00"/>
    <s v="Frozen"/>
    <n v="3"/>
    <n v="4"/>
    <n v="5"/>
    <s v="NOODLE LO MEIN"/>
    <x v="89"/>
    <x v="1"/>
    <n v="60"/>
    <n v="27.215542200000002"/>
    <n v="5.99"/>
    <n v="163.02109777800001"/>
  </r>
  <r>
    <d v="2018-12-03T00:00:00"/>
    <s v="Canned and dry goods"/>
    <n v="6"/>
    <n v="4"/>
    <n v="7.9"/>
    <s v="OIL CANOLA"/>
    <x v="90"/>
    <x v="1"/>
    <n v="189.60000000000002"/>
    <n v="86.001113352000019"/>
    <n v="2.6459999999999999"/>
    <n v="227.55894592939205"/>
  </r>
  <r>
    <d v="2018-12-05T00:00:00"/>
    <s v="Canned and dry goods"/>
    <n v="3"/>
    <n v="1"/>
    <n v="35"/>
    <s v="OIL CANOLA PURE ZTF"/>
    <x v="90"/>
    <x v="1"/>
    <n v="105"/>
    <n v="47.627198849999999"/>
    <n v="2.6459999999999999"/>
    <n v="126.02156815709999"/>
  </r>
  <r>
    <d v="2018-12-05T00:00:00"/>
    <s v="Canned and dry goods"/>
    <n v="6"/>
    <n v="4"/>
    <n v="7.9"/>
    <s v="OIL CANOLA"/>
    <x v="90"/>
    <x v="1"/>
    <n v="189.60000000000002"/>
    <n v="86.001113352000019"/>
    <n v="2.6459999999999999"/>
    <n v="227.55894592939205"/>
  </r>
  <r>
    <d v="2018-11-30T00:00:00"/>
    <s v="Canned and dry goods"/>
    <n v="6"/>
    <n v="4"/>
    <n v="7.9"/>
    <s v="OIL CANOLA"/>
    <x v="90"/>
    <x v="1"/>
    <n v="189.60000000000002"/>
    <n v="86.001113352000019"/>
    <n v="2.6459999999999999"/>
    <n v="227.55894592939205"/>
  </r>
  <r>
    <d v="2018-12-05T00:00:00"/>
    <s v="Canned and dry goods"/>
    <n v="1"/>
    <n v="6"/>
    <n v="10"/>
    <s v="OLIVE RIPE SLICED"/>
    <x v="91"/>
    <x v="1"/>
    <n v="60"/>
    <n v="27.215542200000002"/>
    <n v="3.206"/>
    <n v="87.253028293200003"/>
  </r>
  <r>
    <m/>
    <s v="Royal"/>
    <n v="3"/>
    <n v="1"/>
    <n v="20"/>
    <s v="Pr Onion  Yel  Diced 1/4&quot;"/>
    <x v="92"/>
    <x v="1"/>
    <n v="60"/>
    <n v="27.215542200000002"/>
    <n v="0.26900000000000002"/>
    <n v="7.3209808518000008"/>
  </r>
  <r>
    <m/>
    <s v="Royal"/>
    <n v="1"/>
    <n v="1"/>
    <n v="20"/>
    <s v="Pr Onion  Yel  Diced 1/4&quot;"/>
    <x v="92"/>
    <x v="1"/>
    <n v="20"/>
    <n v="9.0718474000000011"/>
    <n v="0.26900000000000002"/>
    <n v="2.4403269506000003"/>
  </r>
  <r>
    <m/>
    <s v="Royal"/>
    <n v="1"/>
    <n v="1"/>
    <n v="20"/>
    <s v="Pr Onion  Yel  Diced 1/4&quot;"/>
    <x v="92"/>
    <x v="1"/>
    <n v="20"/>
    <n v="9.0718474000000011"/>
    <n v="0.26900000000000002"/>
    <n v="2.4403269506000003"/>
  </r>
  <r>
    <m/>
    <s v="Royal"/>
    <n v="1"/>
    <n v="1"/>
    <n v="25"/>
    <s v="Onion   Red"/>
    <x v="92"/>
    <x v="1"/>
    <n v="25"/>
    <n v="11.33980925"/>
    <n v="0.26900000000000002"/>
    <n v="3.0504086882500001"/>
  </r>
  <r>
    <m/>
    <s v="Royal"/>
    <n v="1"/>
    <n v="1"/>
    <n v="25"/>
    <s v="Onion   Red"/>
    <x v="92"/>
    <x v="1"/>
    <n v="25"/>
    <n v="11.33980925"/>
    <n v="0.26900000000000002"/>
    <n v="3.0504086882500001"/>
  </r>
  <r>
    <m/>
    <s v="Royal"/>
    <n v="1"/>
    <n v="1"/>
    <n v="25"/>
    <s v="Onion   Red"/>
    <x v="92"/>
    <x v="1"/>
    <n v="25"/>
    <n v="11.33980925"/>
    <n v="0.26900000000000002"/>
    <n v="3.0504086882500001"/>
  </r>
  <r>
    <m/>
    <s v="Royal"/>
    <n v="1"/>
    <n v="1"/>
    <n v="25"/>
    <s v="Onion   Red"/>
    <x v="92"/>
    <x v="1"/>
    <n v="25"/>
    <n v="11.33980925"/>
    <n v="0.26900000000000002"/>
    <n v="3.0504086882500001"/>
  </r>
  <r>
    <m/>
    <s v="Royal"/>
    <n v="1"/>
    <n v="1"/>
    <n v="25"/>
    <s v="Onion  Red   Jumbo"/>
    <x v="92"/>
    <x v="1"/>
    <n v="25"/>
    <n v="11.33980925"/>
    <n v="0.26900000000000002"/>
    <n v="3.0504086882500001"/>
  </r>
  <r>
    <m/>
    <s v="Royal"/>
    <n v="2"/>
    <n v="1"/>
    <n v="50"/>
    <s v="Onion   Yellow Jumbo"/>
    <x v="92"/>
    <x v="1"/>
    <n v="100"/>
    <n v="45.359237"/>
    <n v="0.26900000000000002"/>
    <n v="12.201634753"/>
  </r>
  <r>
    <m/>
    <s v="Royal"/>
    <n v="1"/>
    <n v="1"/>
    <n v="50"/>
    <s v="Onion   Yellow Jumbo"/>
    <x v="92"/>
    <x v="1"/>
    <n v="50"/>
    <n v="22.6796185"/>
    <n v="0.26900000000000002"/>
    <n v="6.1008173765000002"/>
  </r>
  <r>
    <m/>
    <s v="Royal"/>
    <n v="2"/>
    <n v="1"/>
    <n v="50"/>
    <s v="Onion   Yellow Jumbo"/>
    <x v="92"/>
    <x v="1"/>
    <n v="100"/>
    <n v="45.359237"/>
    <n v="0.26900000000000002"/>
    <n v="12.201634753"/>
  </r>
  <r>
    <m/>
    <s v="Royal"/>
    <n v="2"/>
    <n v="1"/>
    <n v="50"/>
    <s v="Onion   Yellow Jumbo"/>
    <x v="92"/>
    <x v="1"/>
    <n v="100"/>
    <n v="45.359237"/>
    <n v="0.26900000000000002"/>
    <n v="12.201634753"/>
  </r>
  <r>
    <m/>
    <s v="Royal"/>
    <n v="2"/>
    <n v="1"/>
    <n v="50"/>
    <s v="Onion   Yellow Jumbo"/>
    <x v="92"/>
    <x v="1"/>
    <n v="100"/>
    <n v="45.359237"/>
    <n v="0.26900000000000002"/>
    <n v="12.201634753"/>
  </r>
  <r>
    <m/>
    <s v="Royal"/>
    <n v="1"/>
    <n v="1"/>
    <n v="20"/>
    <s v="Pr Onion  Yel  Diced 1/4&quot;"/>
    <x v="92"/>
    <x v="1"/>
    <n v="20"/>
    <n v="9.0718474000000011"/>
    <n v="0.26900000000000002"/>
    <n v="2.4403269506000003"/>
  </r>
  <r>
    <m/>
    <s v="Royal"/>
    <n v="1"/>
    <n v="1"/>
    <n v="50"/>
    <s v="Onion  Yellow Jumbo"/>
    <x v="92"/>
    <x v="1"/>
    <n v="50"/>
    <n v="22.6796185"/>
    <n v="0.26900000000000002"/>
    <n v="6.1008173765000002"/>
  </r>
  <r>
    <m/>
    <s v="Royal"/>
    <n v="2"/>
    <n v="1"/>
    <n v="20"/>
    <s v="yellow onion"/>
    <x v="92"/>
    <x v="1"/>
    <n v="40"/>
    <n v="18.143694800000002"/>
    <n v="0.26900000000000002"/>
    <n v="4.8806539012000005"/>
  </r>
  <r>
    <m/>
    <s v="Royal"/>
    <n v="1"/>
    <n v="1"/>
    <n v="1.5"/>
    <s v="Onion   Green Iceless"/>
    <x v="93"/>
    <x v="1"/>
    <n v="1.5"/>
    <n v="0.68038855500000006"/>
    <n v="8.5000000000000006E-2"/>
    <n v="5.783302717500001E-2"/>
  </r>
  <r>
    <m/>
    <s v="Royal"/>
    <n v="1"/>
    <n v="1"/>
    <n v="1.5"/>
    <s v="Onion   Green Iceless"/>
    <x v="93"/>
    <x v="1"/>
    <n v="1.5"/>
    <n v="0.68038855500000006"/>
    <n v="8.5000000000000006E-2"/>
    <n v="5.783302717500001E-2"/>
  </r>
  <r>
    <m/>
    <s v="Royal"/>
    <n v="2"/>
    <n v="1"/>
    <n v="1.5"/>
    <s v="Onion   Green Iceless"/>
    <x v="93"/>
    <x v="1"/>
    <n v="3"/>
    <n v="1.3607771100000001"/>
    <n v="8.5000000000000006E-2"/>
    <n v="0.11566605435000002"/>
  </r>
  <r>
    <d v="2018-10-27T00:00:00"/>
    <s v="Royal"/>
    <n v="28"/>
    <n v="1"/>
    <n v="25.414928"/>
    <s v="oranges"/>
    <x v="96"/>
    <x v="1"/>
    <n v="711.61798399999998"/>
    <n v="322.78448789718209"/>
    <n v="0.29399999999999998"/>
    <n v="94.898639441771522"/>
  </r>
  <r>
    <d v="2018-10-29T00:00:00"/>
    <s v="Royal"/>
    <n v="25"/>
    <n v="1"/>
    <n v="25.414928"/>
    <s v="oranges"/>
    <x v="96"/>
    <x v="1"/>
    <n v="635.3732"/>
    <n v="288.20043562248401"/>
    <n v="0.29399999999999998"/>
    <n v="84.73092807301029"/>
  </r>
  <r>
    <d v="2018-10-30T00:00:00"/>
    <s v="Royal"/>
    <n v="25"/>
    <n v="1"/>
    <n v="25.414928"/>
    <s v="oranges"/>
    <x v="96"/>
    <x v="1"/>
    <n v="635.3732"/>
    <n v="288.20043562248401"/>
    <n v="0.29399999999999998"/>
    <n v="84.73092807301029"/>
  </r>
  <r>
    <d v="2018-10-31T00:00:00"/>
    <s v="Royal"/>
    <n v="17"/>
    <n v="1"/>
    <n v="25.414928"/>
    <s v="oranges"/>
    <x v="96"/>
    <x v="1"/>
    <n v="432.05377599999997"/>
    <n v="195.9762962232891"/>
    <n v="0.29399999999999998"/>
    <n v="57.617031089646993"/>
  </r>
  <r>
    <d v="2018-11-01T00:00:00"/>
    <s v="Royal"/>
    <n v="16"/>
    <n v="1"/>
    <n v="25.414928"/>
    <s v="oranges"/>
    <x v="96"/>
    <x v="1"/>
    <n v="406.638848"/>
    <n v="184.44827879838977"/>
    <n v="0.29399999999999998"/>
    <n v="54.227793966726587"/>
  </r>
  <r>
    <d v="2018-10-26T00:00:00"/>
    <s v="Royal"/>
    <n v="25"/>
    <n v="1"/>
    <n v="25.414928"/>
    <s v="oranges"/>
    <x v="96"/>
    <x v="1"/>
    <n v="635.3732"/>
    <n v="288.20043562248401"/>
    <n v="0.29399999999999998"/>
    <n v="84.73092807301029"/>
  </r>
  <r>
    <d v="2018-11-30T00:00:00"/>
    <s v="Canned and dry goods"/>
    <n v="1"/>
    <n v="6"/>
    <n v="5"/>
    <s v="MIX PANCAKE BTRMLK COMPLT"/>
    <x v="97"/>
    <x v="1"/>
    <n v="30"/>
    <n v="13.607771100000001"/>
    <m/>
    <n v="0"/>
  </r>
  <r>
    <d v="2018-12-03T00:00:00"/>
    <s v="Canned and dry goods"/>
    <n v="1"/>
    <n v="6"/>
    <n v="5"/>
    <s v="MIX PANCAKE BTRMLK COMPLT"/>
    <x v="97"/>
    <x v="1"/>
    <n v="30"/>
    <n v="13.607771100000001"/>
    <m/>
    <n v="0"/>
  </r>
  <r>
    <m/>
    <s v="Royal"/>
    <n v="1"/>
    <n v="1"/>
    <n v="3.75"/>
    <s v="Parsley  Italian"/>
    <x v="98"/>
    <x v="1"/>
    <n v="3.75"/>
    <n v="1.7009713875000001"/>
    <n v="0.23200000000000001"/>
    <n v="0.39462536190000003"/>
  </r>
  <r>
    <m/>
    <s v="Royal"/>
    <n v="1"/>
    <n v="1"/>
    <n v="3.75"/>
    <s v="Parsley  Italian"/>
    <x v="98"/>
    <x v="1"/>
    <n v="3.75"/>
    <n v="1.7009713875000001"/>
    <n v="0.23200000000000001"/>
    <n v="0.39462536190000003"/>
  </r>
  <r>
    <d v="2018-11-30T00:00:00"/>
    <s v="Canned and dry goods"/>
    <n v="4"/>
    <n v="2"/>
    <n v="10"/>
    <s v="PASTA PENNE RIGATE"/>
    <x v="99"/>
    <x v="1"/>
    <n v="80"/>
    <n v="36.287389600000004"/>
    <n v="5.99"/>
    <n v="217.36146370400004"/>
  </r>
  <r>
    <d v="2018-11-30T00:00:00"/>
    <s v="Canned and dry goods"/>
    <n v="4"/>
    <n v="2"/>
    <n v="10"/>
    <s v="PASTA GEMELLI"/>
    <x v="99"/>
    <x v="1"/>
    <n v="80"/>
    <n v="36.287389600000004"/>
    <n v="5.99"/>
    <n v="217.36146370400004"/>
  </r>
  <r>
    <d v="2018-11-30T00:00:00"/>
    <s v="Canned and dry goods"/>
    <n v="4"/>
    <n v="2"/>
    <n v="10"/>
    <s v="PASTA FARFALLE"/>
    <x v="99"/>
    <x v="1"/>
    <n v="80"/>
    <n v="36.287389600000004"/>
    <n v="5.99"/>
    <n v="217.36146370400004"/>
  </r>
  <r>
    <d v="2018-11-30T00:00:00"/>
    <s v="Canned and dry goods"/>
    <n v="4"/>
    <n v="2"/>
    <n v="10"/>
    <s v="PASTA MACARONI ELBOW"/>
    <x v="99"/>
    <x v="1"/>
    <n v="80"/>
    <n v="36.287389600000004"/>
    <n v="5.99"/>
    <n v="217.36146370400004"/>
  </r>
  <r>
    <d v="2018-12-05T00:00:00"/>
    <s v="Canned and dry goods"/>
    <n v="3"/>
    <n v="2"/>
    <n v="10"/>
    <s v="PASTA PENNE RIGATE"/>
    <x v="99"/>
    <x v="1"/>
    <n v="60"/>
    <n v="27.215542200000002"/>
    <n v="5.99"/>
    <n v="163.02109777800001"/>
  </r>
  <r>
    <d v="2018-11-30T00:00:00"/>
    <s v="Canned and dry goods"/>
    <n v="1"/>
    <n v="12"/>
    <n v="1"/>
    <s v="PASTE TAHINI"/>
    <x v="100"/>
    <x v="1"/>
    <n v="12"/>
    <n v="5.4431084400000005"/>
    <n v="0.11799999999999999"/>
    <n v="0.64228679592000004"/>
  </r>
  <r>
    <d v="2018-12-05T00:00:00"/>
    <s v="Canned and dry goods"/>
    <n v="1"/>
    <n v="1"/>
    <n v="20"/>
    <s v="PEA BLACKEYE DRIED"/>
    <x v="101"/>
    <x v="1"/>
    <n v="20"/>
    <n v="9.0718474000000011"/>
    <n v="0.61699999999999999"/>
    <n v="5.5973298458000009"/>
  </r>
  <r>
    <m/>
    <s v="Royal"/>
    <n v="1"/>
    <n v="1"/>
    <n v="20"/>
    <s v="Peas  Green Frozen"/>
    <x v="169"/>
    <x v="1"/>
    <n v="20"/>
    <n v="9.0718474000000011"/>
    <n v="0.61699999999999999"/>
    <n v="5.5973298458000009"/>
  </r>
  <r>
    <m/>
    <s v="Royal"/>
    <n v="1"/>
    <n v="1"/>
    <n v="10"/>
    <s v="Peas  Snow"/>
    <x v="102"/>
    <x v="1"/>
    <n v="10"/>
    <n v="4.5359237000000006"/>
    <n v="0.70099999999999996"/>
    <n v="3.1796825137"/>
  </r>
  <r>
    <m/>
    <s v="Royal"/>
    <n v="4"/>
    <n v="1"/>
    <n v="10"/>
    <s v="Peas  Snow"/>
    <x v="102"/>
    <x v="1"/>
    <n v="40"/>
    <n v="18.143694800000002"/>
    <n v="0.70099999999999996"/>
    <n v="12.7187300548"/>
  </r>
  <r>
    <m/>
    <s v="Royal"/>
    <n v="3"/>
    <n v="1"/>
    <n v="10"/>
    <s v="Peas Snow"/>
    <x v="102"/>
    <x v="1"/>
    <n v="30"/>
    <n v="13.607771100000001"/>
    <n v="0.70099999999999996"/>
    <n v="9.5390475411000004"/>
  </r>
  <r>
    <d v="2018-11-30T00:00:00"/>
    <s v="Frozen"/>
    <n v="2"/>
    <n v="12"/>
    <n v="2.5"/>
    <s v="PEA GREEN GR A P"/>
    <x v="103"/>
    <x v="1"/>
    <n v="60"/>
    <n v="27.215542200000002"/>
    <n v="0.61699999999999999"/>
    <n v="16.791989537399999"/>
  </r>
  <r>
    <d v="2018-12-03T00:00:00"/>
    <s v="Frozen"/>
    <n v="1"/>
    <n v="12"/>
    <n v="2.5"/>
    <s v="PEA GREEN GR A P"/>
    <x v="103"/>
    <x v="1"/>
    <n v="30"/>
    <n v="13.607771100000001"/>
    <n v="0.61699999999999999"/>
    <n v="8.3959947686999996"/>
  </r>
  <r>
    <m/>
    <s v="Royal"/>
    <n v="1"/>
    <n v="1"/>
    <n v="10"/>
    <s v="IQF Peaches Sliced"/>
    <x v="170"/>
    <x v="1"/>
    <n v="10"/>
    <n v="4.5359237000000006"/>
    <n v="0.27400000000000002"/>
    <n v="1.2428430938000004"/>
  </r>
  <r>
    <m/>
    <s v="Royal"/>
    <n v="2"/>
    <n v="1"/>
    <n v="46.800000000000004"/>
    <s v="Pear 100-120 Ct"/>
    <x v="155"/>
    <x v="1"/>
    <n v="93.600000000000009"/>
    <n v="42.456245832000008"/>
    <n v="0.249"/>
    <n v="10.571605212168002"/>
  </r>
  <r>
    <m/>
    <s v="Royal"/>
    <n v="2"/>
    <n v="1"/>
    <n v="20"/>
    <s v="Pr Pepper  Green Diced 1/4&quot;"/>
    <x v="104"/>
    <x v="1"/>
    <n v="40"/>
    <n v="18.143694800000002"/>
    <n v="0.52500000000000002"/>
    <n v="9.525439770000002"/>
  </r>
  <r>
    <d v="2018-11-30T00:00:00"/>
    <s v="Canned and dry goods"/>
    <n v="1"/>
    <n v="12"/>
    <n v="1.75"/>
    <s v="PEPPER RED ROASTED WHOLE"/>
    <x v="104"/>
    <x v="1"/>
    <n v="21"/>
    <n v="9.5254397700000002"/>
    <n v="0.52500000000000002"/>
    <n v="5.0008558792500004"/>
  </r>
  <r>
    <d v="2018-11-30T00:00:00"/>
    <s v="Canned and dry goods"/>
    <n v="1"/>
    <n v="3"/>
    <n v="5"/>
    <s v="SPICE PEPPER BLK SHAKER GRND"/>
    <x v="105"/>
    <x v="1"/>
    <n v="15"/>
    <n v="6.8038855500000004"/>
    <n v="0.87"/>
    <n v="5.9193804285000002"/>
  </r>
  <r>
    <d v="2018-12-05T00:00:00"/>
    <s v="Canned and dry goods"/>
    <n v="1"/>
    <n v="3"/>
    <n v="5"/>
    <s v="SPICE PEPPER BLK SHAKER GRND"/>
    <x v="105"/>
    <x v="1"/>
    <n v="15"/>
    <n v="6.8038855500000004"/>
    <n v="0.87"/>
    <n v="5.9193804285000002"/>
  </r>
  <r>
    <m/>
    <s v="Royal"/>
    <n v="2"/>
    <n v="1"/>
    <n v="33.333333333333336"/>
    <s v="Pepper   Green  Large LOCAL"/>
    <x v="156"/>
    <x v="1"/>
    <n v="66.666666666666671"/>
    <n v="30.239491333333337"/>
    <n v="0.52500000000000002"/>
    <n v="15.875732950000003"/>
  </r>
  <r>
    <m/>
    <s v="Royal"/>
    <n v="1"/>
    <n v="1"/>
    <n v="33.333333333333336"/>
    <s v="Pepper   Green  Large LOCAL"/>
    <x v="156"/>
    <x v="1"/>
    <n v="33.333333333333336"/>
    <n v="15.119745666666669"/>
    <n v="0.52500000000000002"/>
    <n v="7.9378664750000016"/>
  </r>
  <r>
    <m/>
    <s v="Royal"/>
    <n v="2"/>
    <n v="1"/>
    <n v="33.333333333333336"/>
    <s v="Pepper   Green  Large LOCAL"/>
    <x v="156"/>
    <x v="1"/>
    <n v="66.666666666666671"/>
    <n v="30.239491333333337"/>
    <n v="0.52500000000000002"/>
    <n v="15.875732950000003"/>
  </r>
  <r>
    <m/>
    <s v="Royal"/>
    <n v="2"/>
    <n v="1"/>
    <n v="33.333333333333336"/>
    <s v="Pepper   Green  Large LOCAL"/>
    <x v="156"/>
    <x v="1"/>
    <n v="66.666666666666671"/>
    <n v="30.239491333333337"/>
    <n v="0.52500000000000002"/>
    <n v="15.875732950000003"/>
  </r>
  <r>
    <m/>
    <s v="Royal"/>
    <n v="2"/>
    <n v="1"/>
    <n v="33.333333333333336"/>
    <s v="Pepper   Green  Large LOCAL"/>
    <x v="156"/>
    <x v="1"/>
    <n v="66.666666666666671"/>
    <n v="30.239491333333337"/>
    <n v="0.52500000000000002"/>
    <n v="15.875732950000003"/>
  </r>
  <r>
    <m/>
    <s v="Royal"/>
    <n v="2"/>
    <n v="1"/>
    <n v="33.333333333333336"/>
    <s v="Pepper  Green Large LOCAL"/>
    <x v="156"/>
    <x v="1"/>
    <n v="66.666666666666671"/>
    <n v="30.239491333333337"/>
    <n v="0.52500000000000002"/>
    <n v="15.875732950000003"/>
  </r>
  <r>
    <m/>
    <s v="Royal"/>
    <n v="2"/>
    <n v="1"/>
    <n v="20"/>
    <s v="green pepper"/>
    <x v="156"/>
    <x v="1"/>
    <n v="40"/>
    <n v="18.143694800000002"/>
    <n v="0.52500000000000002"/>
    <n v="9.525439770000002"/>
  </r>
  <r>
    <d v="2018-11-30T00:00:00"/>
    <s v="Canned and dry goods"/>
    <n v="2"/>
    <n v="12"/>
    <n v="1.6875"/>
    <s v="PEPPER CHILI GREEN DICED"/>
    <x v="106"/>
    <x v="1"/>
    <n v="40.5"/>
    <n v="18.370490985"/>
    <n v="0.79900000000000004"/>
    <n v="14.678022297015001"/>
  </r>
  <r>
    <d v="2018-11-30T00:00:00"/>
    <s v="Canned and dry goods"/>
    <n v="2"/>
    <n v="12"/>
    <n v="0.4375"/>
    <s v="PEPPER CHIPOTLE IN ADOBO SAUCE"/>
    <x v="106"/>
    <x v="1"/>
    <n v="10.5"/>
    <n v="4.7627198850000001"/>
    <n v="0.79900000000000004"/>
    <n v="3.8054131881150002"/>
  </r>
  <r>
    <d v="2018-12-05T00:00:00"/>
    <s v="Canned and dry goods"/>
    <n v="1"/>
    <n v="4"/>
    <n v="8.35"/>
    <s v="PEPPER JALAPENO NACHO SLI"/>
    <x v="106"/>
    <x v="1"/>
    <n v="33.4"/>
    <n v="15.149985158"/>
    <n v="0.79900000000000004"/>
    <n v="12.104838141242"/>
  </r>
  <r>
    <d v="2018-11-30T00:00:00"/>
    <s v="Canned and dry goods"/>
    <n v="1"/>
    <n v="4"/>
    <n v="8.35"/>
    <s v="PEPPER JALAPENO NACHO SLI"/>
    <x v="107"/>
    <x v="1"/>
    <n v="33.4"/>
    <n v="15.149985158"/>
    <n v="0.79900000000000004"/>
    <n v="12.104838141242"/>
  </r>
  <r>
    <m/>
    <s v="Royal"/>
    <n v="1"/>
    <n v="1"/>
    <n v="33.333333333333336"/>
    <s v="Pepper   Red"/>
    <x v="157"/>
    <x v="1"/>
    <n v="33.333333333333336"/>
    <n v="15.119745666666669"/>
    <n v="0.52500000000000002"/>
    <n v="7.9378664750000016"/>
  </r>
  <r>
    <m/>
    <s v="Royal"/>
    <n v="1"/>
    <n v="1"/>
    <n v="33.333333333333336"/>
    <s v="Pepper   Red"/>
    <x v="157"/>
    <x v="1"/>
    <n v="33.333333333333336"/>
    <n v="15.119745666666669"/>
    <n v="0.52500000000000002"/>
    <n v="7.9378664750000016"/>
  </r>
  <r>
    <m/>
    <s v="Royal"/>
    <n v="1"/>
    <n v="1"/>
    <n v="33.333333333333336"/>
    <s v="Pepper   Red"/>
    <x v="157"/>
    <x v="1"/>
    <n v="33.333333333333336"/>
    <n v="15.119745666666669"/>
    <n v="0.52500000000000002"/>
    <n v="7.9378664750000016"/>
  </r>
  <r>
    <m/>
    <s v="Royal"/>
    <n v="2"/>
    <n v="1"/>
    <n v="33.333333333333336"/>
    <s v="Pepper  Red"/>
    <x v="157"/>
    <x v="1"/>
    <n v="66.666666666666671"/>
    <n v="30.239491333333337"/>
    <n v="0.52500000000000002"/>
    <n v="15.875732950000003"/>
  </r>
  <r>
    <m/>
    <s v="Royal"/>
    <n v="3"/>
    <n v="1"/>
    <n v="20"/>
    <s v="Pineapple Crownless 8-11ct"/>
    <x v="108"/>
    <x v="1"/>
    <n v="60"/>
    <n v="27.215542200000002"/>
    <n v="0.91400000000000003"/>
    <n v="24.875005570800003"/>
  </r>
  <r>
    <m/>
    <s v="Royal"/>
    <n v="7"/>
    <n v="1"/>
    <n v="20"/>
    <s v="Pineapple Crownless 8-11ct"/>
    <x v="108"/>
    <x v="1"/>
    <n v="140"/>
    <n v="63.502931800000006"/>
    <n v="0.91400000000000003"/>
    <n v="58.041679665200007"/>
  </r>
  <r>
    <m/>
    <s v="Royal"/>
    <n v="8"/>
    <n v="1"/>
    <n v="20"/>
    <s v="Pineapple Crownless 8-110"/>
    <x v="108"/>
    <x v="1"/>
    <n v="160"/>
    <n v="72.574779200000009"/>
    <n v="0.91400000000000003"/>
    <n v="66.333348188800016"/>
  </r>
  <r>
    <d v="2018-10-26T00:00:00"/>
    <s v="Savannah River Farms"/>
    <n v="1"/>
    <n v="1"/>
    <n v="100"/>
    <s v="bacon"/>
    <x v="109"/>
    <x v="0"/>
    <n v="100"/>
    <n v="45.359237"/>
    <n v="5.56"/>
    <n v="252.19735771999999"/>
  </r>
  <r>
    <d v="2018-10-26T00:00:00"/>
    <s v="Savannah River Farms"/>
    <n v="1"/>
    <n v="1"/>
    <n v="40"/>
    <s v="cured bacon ends and pieces"/>
    <x v="109"/>
    <x v="0"/>
    <n v="40"/>
    <n v="18.143694800000002"/>
    <n v="5.56"/>
    <n v="100.878943088"/>
  </r>
  <r>
    <d v="2018-10-26T00:00:00"/>
    <s v="Savannah River Farms"/>
    <n v="1"/>
    <n v="1"/>
    <n v="100"/>
    <s v="sausage patties"/>
    <x v="109"/>
    <x v="0"/>
    <n v="100"/>
    <n v="45.359237"/>
    <n v="5.56"/>
    <n v="252.19735771999999"/>
  </r>
  <r>
    <d v="2018-10-26T00:00:00"/>
    <s v="Savannah River Farms"/>
    <n v="1"/>
    <n v="1"/>
    <n v="40"/>
    <s v="zesty italian links"/>
    <x v="109"/>
    <x v="0"/>
    <n v="40"/>
    <n v="18.143694800000002"/>
    <n v="5.56"/>
    <n v="100.878943088"/>
  </r>
  <r>
    <d v="2018-10-26T00:00:00"/>
    <s v="Savannah River Farms"/>
    <n v="1"/>
    <n v="1"/>
    <n v="303.95"/>
    <s v="boneless pork loin"/>
    <x v="109"/>
    <x v="0"/>
    <n v="303.95"/>
    <n v="137.8694008615"/>
    <n v="5.56"/>
    <n v="766.55386878993988"/>
  </r>
  <r>
    <d v="2018-10-26T00:00:00"/>
    <s v="Savannah River Farms"/>
    <n v="1"/>
    <n v="1"/>
    <n v="307.60000000000002"/>
    <s v="pork shoulder"/>
    <x v="109"/>
    <x v="0"/>
    <n v="307.60000000000002"/>
    <n v="139.52501301200002"/>
    <n v="5.56"/>
    <n v="775.75907234672002"/>
  </r>
  <r>
    <d v="2018-10-26T00:00:00"/>
    <s v="Savannah River Farms"/>
    <n v="1"/>
    <n v="1"/>
    <n v="60"/>
    <s v="bratwurst links"/>
    <x v="109"/>
    <x v="0"/>
    <n v="60"/>
    <n v="27.215542200000002"/>
    <n v="5.56"/>
    <n v="151.31841463199999"/>
  </r>
  <r>
    <d v="2018-10-26T00:00:00"/>
    <s v="Savannah River Farms"/>
    <n v="1"/>
    <n v="1"/>
    <n v="20"/>
    <s v="chorizo bulk"/>
    <x v="109"/>
    <x v="0"/>
    <n v="20"/>
    <n v="9.0718474000000011"/>
    <n v="5.56"/>
    <n v="50.439471544"/>
  </r>
  <r>
    <d v="2018-11-30T00:00:00"/>
    <s v="Meats"/>
    <n v="1"/>
    <n v="1"/>
    <n v="89.1"/>
    <s v="HAM PIT BNLS CKD"/>
    <x v="109"/>
    <x v="0"/>
    <n v="89.1"/>
    <n v="40.415080166999999"/>
    <n v="5.56"/>
    <n v="224.70784572851997"/>
  </r>
  <r>
    <d v="2018-12-05T00:00:00"/>
    <s v="Meats"/>
    <n v="1"/>
    <n v="1"/>
    <n v="29.8"/>
    <s v="HAM PIT BNLS CKD"/>
    <x v="109"/>
    <x v="0"/>
    <n v="29.8"/>
    <n v="13.517052626000002"/>
    <n v="5.56"/>
    <n v="75.154812600560007"/>
  </r>
  <r>
    <m/>
    <s v="Royal"/>
    <n v="1"/>
    <n v="1"/>
    <n v="50"/>
    <s v="Potato    Red  A"/>
    <x v="110"/>
    <x v="1"/>
    <n v="50"/>
    <n v="22.6796185"/>
    <n v="0.217"/>
    <n v="4.9214772145000003"/>
  </r>
  <r>
    <m/>
    <s v="Royal"/>
    <n v="1"/>
    <n v="1"/>
    <n v="50"/>
    <s v="Potato"/>
    <x v="110"/>
    <x v="1"/>
    <n v="50"/>
    <n v="22.6796185"/>
    <n v="0.217"/>
    <n v="4.9214772145000003"/>
  </r>
  <r>
    <m/>
    <s v="Royal"/>
    <n v="4"/>
    <n v="1"/>
    <n v="50"/>
    <s v="Potato    Red  A"/>
    <x v="110"/>
    <x v="1"/>
    <n v="200"/>
    <n v="90.718474000000001"/>
    <n v="0.217"/>
    <n v="19.685908858000001"/>
  </r>
  <r>
    <m/>
    <s v="Royal"/>
    <n v="3"/>
    <n v="1"/>
    <n v="50"/>
    <s v="Potato    Red  A"/>
    <x v="110"/>
    <x v="1"/>
    <n v="150"/>
    <n v="68.038855500000011"/>
    <n v="0.217"/>
    <n v="14.764431643500002"/>
  </r>
  <r>
    <m/>
    <s v="Royal"/>
    <n v="3"/>
    <n v="1"/>
    <n v="40"/>
    <s v="Potato    Sweet Jumbo LOCAL"/>
    <x v="110"/>
    <x v="1"/>
    <n v="120"/>
    <n v="54.431084400000003"/>
    <n v="0.217"/>
    <n v="11.8115453148"/>
  </r>
  <r>
    <m/>
    <s v="Royal"/>
    <n v="6"/>
    <n v="1"/>
    <n v="50"/>
    <s v="Potato    Red  A"/>
    <x v="110"/>
    <x v="1"/>
    <n v="300"/>
    <n v="136.07771100000002"/>
    <n v="0.217"/>
    <n v="29.528863287000004"/>
  </r>
  <r>
    <m/>
    <s v="Royal"/>
    <n v="4"/>
    <n v="1"/>
    <n v="50"/>
    <s v="Potato"/>
    <x v="110"/>
    <x v="1"/>
    <n v="200"/>
    <n v="90.718474000000001"/>
    <n v="0.217"/>
    <n v="19.685908858000001"/>
  </r>
  <r>
    <m/>
    <s v="Royal"/>
    <n v="4"/>
    <n v="1"/>
    <n v="50"/>
    <s v="Potato"/>
    <x v="110"/>
    <x v="1"/>
    <n v="200"/>
    <n v="90.718474000000001"/>
    <n v="0.217"/>
    <n v="19.685908858000001"/>
  </r>
  <r>
    <m/>
    <s v="Royal"/>
    <n v="2"/>
    <n v="1"/>
    <n v="50"/>
    <s v="Potato"/>
    <x v="110"/>
    <x v="1"/>
    <n v="100"/>
    <n v="45.359237"/>
    <n v="0.217"/>
    <n v="9.8429544290000006"/>
  </r>
  <r>
    <d v="2018-11-30T00:00:00"/>
    <s v="Frozen"/>
    <n v="4"/>
    <n v="6"/>
    <n v="6"/>
    <s v="POTATO H/BRN DICE SKIN-ON CTRY"/>
    <x v="110"/>
    <x v="1"/>
    <n v="144"/>
    <n v="65.317301279999995"/>
    <n v="0.217"/>
    <n v="14.17385437776"/>
  </r>
  <r>
    <d v="2018-11-30T00:00:00"/>
    <s v="Frozen"/>
    <n v="4"/>
    <n v="6"/>
    <n v="3"/>
    <s v="POTATO H/BRN IQF LOOSE SHRED"/>
    <x v="110"/>
    <x v="1"/>
    <n v="72"/>
    <n v="32.658650639999998"/>
    <n v="0.217"/>
    <n v="7.0869271888799998"/>
  </r>
  <r>
    <d v="2018-11-30T00:00:00"/>
    <s v="Frozen"/>
    <n v="6"/>
    <n v="6"/>
    <n v="5"/>
    <s v="POTATO FRY 3/8 COLSSL CRISP"/>
    <x v="110"/>
    <x v="1"/>
    <n v="180"/>
    <n v="81.646626600000005"/>
    <n v="0.217"/>
    <n v="17.7173179722"/>
  </r>
  <r>
    <d v="2018-12-03T00:00:00"/>
    <s v="Frozen"/>
    <n v="4"/>
    <n v="6"/>
    <n v="6"/>
    <s v="POTATO H/BRN DICE SKIN-ON CTRY"/>
    <x v="110"/>
    <x v="1"/>
    <n v="144"/>
    <n v="65.317301279999995"/>
    <n v="0.217"/>
    <n v="14.17385437776"/>
  </r>
  <r>
    <d v="2018-12-03T00:00:00"/>
    <s v="Frozen"/>
    <n v="4"/>
    <n v="6"/>
    <n v="3"/>
    <s v="POTATO H/BRN IQF LOOSE SHRED"/>
    <x v="110"/>
    <x v="1"/>
    <n v="72"/>
    <n v="32.658650639999998"/>
    <n v="0.217"/>
    <n v="7.0869271888799998"/>
  </r>
  <r>
    <d v="2018-12-03T00:00:00"/>
    <s v="Frozen"/>
    <n v="4"/>
    <n v="6"/>
    <n v="5"/>
    <s v="POTATO FRY STEAK HSE"/>
    <x v="110"/>
    <x v="1"/>
    <n v="120"/>
    <n v="54.431084400000003"/>
    <n v="0.217"/>
    <n v="11.8115453148"/>
  </r>
  <r>
    <d v="2018-12-05T00:00:00"/>
    <s v="Frozen"/>
    <n v="4"/>
    <n v="6"/>
    <n v="5"/>
    <s v="POTATO TATER PUFF"/>
    <x v="110"/>
    <x v="1"/>
    <n v="120"/>
    <n v="54.431084400000003"/>
    <n v="0.217"/>
    <n v="11.8115453148"/>
  </r>
  <r>
    <d v="2018-12-05T00:00:00"/>
    <s v="Frozen"/>
    <n v="4"/>
    <n v="6"/>
    <n v="5"/>
    <s v="POTATO FRY STEAK HSE"/>
    <x v="110"/>
    <x v="1"/>
    <n v="120"/>
    <n v="54.431084400000003"/>
    <n v="0.217"/>
    <n v="11.8115453148"/>
  </r>
  <r>
    <d v="2018-12-05T00:00:00"/>
    <s v="Frozen"/>
    <n v="8"/>
    <n v="6"/>
    <n v="5"/>
    <s v="POTATO FRY 3/8 COLSSL CRISP"/>
    <x v="110"/>
    <x v="1"/>
    <n v="240"/>
    <n v="108.86216880000001"/>
    <n v="0.217"/>
    <n v="23.6230906296"/>
  </r>
  <r>
    <d v="2018-12-03T00:00:00"/>
    <s v="Frozen"/>
    <n v="4"/>
    <n v="6"/>
    <n v="5"/>
    <s v="POTATO CHIP NAT FRY 1/8"/>
    <x v="111"/>
    <x v="1"/>
    <n v="120"/>
    <n v="54.431084400000003"/>
    <n v="1.5449999999999999"/>
    <n v="84.096025397999995"/>
  </r>
  <r>
    <d v="2018-12-05T00:00:00"/>
    <s v="Canned and dry goods"/>
    <n v="1"/>
    <n v="24"/>
    <n v="0.9375"/>
    <s v="RAISIN SEEDLESS"/>
    <x v="112"/>
    <x v="1"/>
    <n v="22.5"/>
    <n v="10.205828325000001"/>
    <n v="0.68400000000000005"/>
    <n v="6.9807865743000006"/>
  </r>
  <r>
    <d v="2018-12-05T00:00:00"/>
    <s v="Canned and dry goods"/>
    <n v="1"/>
    <n v="1"/>
    <n v="30"/>
    <s v="RAISIN SEEDLESS GOLDEN"/>
    <x v="112"/>
    <x v="1"/>
    <n v="30"/>
    <n v="13.607771100000001"/>
    <n v="0.68400000000000005"/>
    <n v="9.307715432400002"/>
  </r>
  <r>
    <d v="2018-11-30T00:00:00"/>
    <s v="Canned and dry goods"/>
    <n v="8"/>
    <n v="1"/>
    <n v="25"/>
    <s v="RICE PARBOILED"/>
    <x v="113"/>
    <x v="1"/>
    <n v="200"/>
    <n v="90.718474000000001"/>
    <n v="1.5409999999999999"/>
    <n v="139.79716843399999"/>
  </r>
  <r>
    <d v="2018-11-30T00:00:00"/>
    <s v="Canned and dry goods"/>
    <n v="4"/>
    <n v="2"/>
    <n v="5"/>
    <s v="RICE JASMINE"/>
    <x v="113"/>
    <x v="1"/>
    <n v="40"/>
    <n v="18.143694800000002"/>
    <n v="1.5409999999999999"/>
    <n v="27.959433686800001"/>
  </r>
  <r>
    <d v="2018-11-30T00:00:00"/>
    <s v="Canned and dry goods"/>
    <n v="4"/>
    <n v="1"/>
    <n v="25"/>
    <s v="RICE PARBOILED BRN WHLGN LNGRN"/>
    <x v="113"/>
    <x v="1"/>
    <n v="100"/>
    <n v="45.359237"/>
    <n v="1.5409999999999999"/>
    <n v="69.898584216999993"/>
  </r>
  <r>
    <d v="2018-11-30T00:00:00"/>
    <s v="Canned and dry goods"/>
    <n v="4"/>
    <n v="2"/>
    <n v="5"/>
    <s v="RICE BASMATI"/>
    <x v="113"/>
    <x v="1"/>
    <n v="40"/>
    <n v="18.143694800000002"/>
    <n v="1.5409999999999999"/>
    <n v="27.959433686800001"/>
  </r>
  <r>
    <d v="2018-12-03T00:00:00"/>
    <s v="Canned and dry goods"/>
    <n v="3"/>
    <n v="1"/>
    <n v="25"/>
    <s v="RICE PARBOILED"/>
    <x v="113"/>
    <x v="1"/>
    <n v="75"/>
    <n v="34.019427750000006"/>
    <n v="1.5409999999999999"/>
    <n v="52.423938162750005"/>
  </r>
  <r>
    <d v="2018-12-03T00:00:00"/>
    <s v="Canned and dry goods"/>
    <n v="3"/>
    <n v="2"/>
    <n v="5"/>
    <s v="RICE JASMINE"/>
    <x v="113"/>
    <x v="1"/>
    <n v="30"/>
    <n v="13.607771100000001"/>
    <n v="1.5409999999999999"/>
    <n v="20.969575265100001"/>
  </r>
  <r>
    <d v="2018-12-03T00:00:00"/>
    <s v="Canned and dry goods"/>
    <n v="2"/>
    <n v="1"/>
    <n v="25"/>
    <s v="RICE PARBOILED BRN WHLGN LNGRN"/>
    <x v="113"/>
    <x v="1"/>
    <n v="50"/>
    <n v="22.6796185"/>
    <n v="1.5409999999999999"/>
    <n v="34.949292108499996"/>
  </r>
  <r>
    <d v="2018-12-03T00:00:00"/>
    <s v="Canned and dry goods"/>
    <n v="1"/>
    <n v="1"/>
    <n v="50"/>
    <s v="RICE CALROSE MED GRN SUSHI"/>
    <x v="113"/>
    <x v="1"/>
    <n v="50"/>
    <n v="22.6796185"/>
    <n v="1.5409999999999999"/>
    <n v="34.949292108499996"/>
  </r>
  <r>
    <d v="2018-12-05T00:00:00"/>
    <s v="Canned and dry goods"/>
    <n v="4"/>
    <n v="1"/>
    <n v="25"/>
    <s v="RICE PARBOILED"/>
    <x v="113"/>
    <x v="1"/>
    <n v="100"/>
    <n v="45.359237"/>
    <n v="1.5409999999999999"/>
    <n v="69.898584216999993"/>
  </r>
  <r>
    <d v="2018-12-05T00:00:00"/>
    <s v="Canned and dry goods"/>
    <n v="3"/>
    <n v="1"/>
    <n v="25"/>
    <s v="RICE PARBOILED BRN WHLGN LNGRN"/>
    <x v="113"/>
    <x v="1"/>
    <n v="75"/>
    <n v="34.019427750000006"/>
    <n v="1.5409999999999999"/>
    <n v="52.423938162750005"/>
  </r>
  <r>
    <d v="2018-12-05T00:00:00"/>
    <s v="Canned and dry goods"/>
    <n v="1"/>
    <n v="1"/>
    <n v="50"/>
    <s v="RICE CALROSE MED GRN SUSHI"/>
    <x v="113"/>
    <x v="1"/>
    <n v="50"/>
    <n v="22.6796185"/>
    <n v="1.5409999999999999"/>
    <n v="34.949292108499996"/>
  </r>
  <r>
    <m/>
    <s v="Royal"/>
    <n v="2"/>
    <n v="1"/>
    <n v="48"/>
    <s v="Romaine  Hearts  (FB)"/>
    <x v="171"/>
    <x v="1"/>
    <n v="96"/>
    <n v="43.544867520000004"/>
    <n v="0.158"/>
    <n v="6.8800890681600011"/>
  </r>
  <r>
    <m/>
    <s v="Royal"/>
    <n v="2"/>
    <n v="1"/>
    <n v="48"/>
    <s v="Romaine  Hearts"/>
    <x v="171"/>
    <x v="1"/>
    <n v="96"/>
    <n v="43.544867520000004"/>
    <n v="0.158"/>
    <n v="6.8800890681600011"/>
  </r>
  <r>
    <m/>
    <s v="Royal"/>
    <n v="3"/>
    <n v="1"/>
    <n v="48"/>
    <s v="Romaine  Hearts"/>
    <x v="171"/>
    <x v="1"/>
    <n v="144"/>
    <n v="65.317301279999995"/>
    <n v="0.158"/>
    <n v="10.320133602239999"/>
  </r>
  <r>
    <m/>
    <s v="Royal"/>
    <n v="2"/>
    <n v="1"/>
    <n v="48"/>
    <s v="Romaine  Hearts  (FB)"/>
    <x v="171"/>
    <x v="1"/>
    <n v="96"/>
    <n v="43.544867520000004"/>
    <n v="0.158"/>
    <n v="6.8800890681600011"/>
  </r>
  <r>
    <m/>
    <s v="Royal"/>
    <n v="3"/>
    <n v="1"/>
    <n v="48"/>
    <s v="Romaine  Hearts  (FB)"/>
    <x v="171"/>
    <x v="1"/>
    <n v="144"/>
    <n v="65.317301279999995"/>
    <n v="0.158"/>
    <n v="10.320133602239999"/>
  </r>
  <r>
    <m/>
    <s v="Royal"/>
    <n v="4"/>
    <n v="1"/>
    <n v="48"/>
    <s v="Romaine  Hearts"/>
    <x v="171"/>
    <x v="1"/>
    <n v="192"/>
    <n v="87.089735040000008"/>
    <n v="0.158"/>
    <n v="13.760178136320002"/>
  </r>
  <r>
    <d v="2018-11-30T00:00:00"/>
    <s v="Canned and dry goods"/>
    <n v="1"/>
    <n v="4"/>
    <n v="7.9"/>
    <s v="OIL SESAME SEED PURE"/>
    <x v="115"/>
    <x v="1"/>
    <n v="31.6"/>
    <n v="14.333518892000003"/>
    <n v="2.3340000000000001"/>
    <n v="33.45443309392801"/>
  </r>
  <r>
    <d v="2018-10-31T00:00:00"/>
    <s v="Honeysuckle Gelato"/>
    <n v="1"/>
    <n v="1"/>
    <n v="100"/>
    <s v="mango sorbet (50L but need 2s of fruit per liter of sorbet, so you need 100lbs for 50L)"/>
    <x v="117"/>
    <x v="1"/>
    <n v="100"/>
    <n v="45.359237"/>
    <n v="0.63900000000000001"/>
    <n v="28.984552443000002"/>
  </r>
  <r>
    <d v="2018-11-30T00:00:00"/>
    <s v="Dairy Products"/>
    <n v="3"/>
    <n v="1"/>
    <n v="21.5"/>
    <s v="MILK SOY VAN BAG"/>
    <x v="118"/>
    <x v="1"/>
    <n v="64.5"/>
    <n v="29.256707864999999"/>
    <n v="0.25800000000000001"/>
    <n v="7.5482306291699999"/>
  </r>
  <r>
    <d v="2018-11-30T00:00:00"/>
    <s v="Dairy Products"/>
    <n v="3"/>
    <n v="1"/>
    <n v="21.5"/>
    <s v="MILK SOY CHOC BAG"/>
    <x v="118"/>
    <x v="1"/>
    <n v="64.5"/>
    <n v="29.256707864999999"/>
    <n v="0.25800000000000001"/>
    <n v="7.5482306291699999"/>
  </r>
  <r>
    <d v="2018-11-30T00:00:00"/>
    <s v="Dairy Products"/>
    <n v="1"/>
    <n v="12"/>
    <n v="2"/>
    <s v="MILK SOY PLAIN"/>
    <x v="118"/>
    <x v="1"/>
    <n v="24"/>
    <n v="10.886216880000001"/>
    <n v="0.25800000000000001"/>
    <n v="2.8086439550400004"/>
  </r>
  <r>
    <d v="2018-12-03T00:00:00"/>
    <s v="Dairy Products"/>
    <n v="2"/>
    <n v="1"/>
    <n v="21.5"/>
    <s v="MILK SOY VAN BAG"/>
    <x v="118"/>
    <x v="1"/>
    <n v="43"/>
    <n v="19.504471909999999"/>
    <n v="0.25800000000000001"/>
    <n v="5.0321537527800002"/>
  </r>
  <r>
    <d v="2018-12-03T00:00:00"/>
    <s v="Dairy Products"/>
    <n v="1"/>
    <n v="1"/>
    <n v="21.5"/>
    <s v="MILK SOY CHOC BAG"/>
    <x v="118"/>
    <x v="1"/>
    <n v="21.5"/>
    <n v="9.7522359549999997"/>
    <n v="0.25800000000000001"/>
    <n v="2.5160768763900001"/>
  </r>
  <r>
    <d v="2018-12-05T00:00:00"/>
    <s v="Dairy Products"/>
    <n v="2"/>
    <n v="1"/>
    <n v="21.5"/>
    <s v="MILK SOY VAN BAG"/>
    <x v="118"/>
    <x v="1"/>
    <n v="43"/>
    <n v="19.504471909999999"/>
    <n v="0.25800000000000001"/>
    <n v="5.0321537527800002"/>
  </r>
  <r>
    <d v="2018-12-05T00:00:00"/>
    <s v="Dairy Products"/>
    <n v="2"/>
    <n v="1"/>
    <n v="21.5"/>
    <s v="MILK SOY CHOC BAG"/>
    <x v="118"/>
    <x v="1"/>
    <n v="43"/>
    <n v="19.504471909999999"/>
    <n v="0.25800000000000001"/>
    <n v="5.0321537527800002"/>
  </r>
  <r>
    <m/>
    <s v="Royal"/>
    <n v="1"/>
    <n v="1"/>
    <n v="20"/>
    <s v="Beans Edamame (No Shell)"/>
    <x v="172"/>
    <x v="1"/>
    <n v="20"/>
    <n v="9.0718474000000011"/>
    <n v="1.1539999999999999"/>
    <n v="10.4689118996"/>
  </r>
  <r>
    <m/>
    <s v="Royal"/>
    <n v="1"/>
    <n v="1"/>
    <n v="20"/>
    <s v="Beans Edamame (No Shell)"/>
    <x v="172"/>
    <x v="1"/>
    <n v="20"/>
    <n v="9.0718474000000011"/>
    <n v="1.1539999999999999"/>
    <n v="10.4689118996"/>
  </r>
  <r>
    <m/>
    <s v="Royal"/>
    <n v="3"/>
    <n v="1"/>
    <n v="20"/>
    <s v="Beans Edamame (No Shell)"/>
    <x v="172"/>
    <x v="1"/>
    <n v="60"/>
    <n v="27.215542200000002"/>
    <n v="1.1539999999999999"/>
    <n v="31.406735698799999"/>
  </r>
  <r>
    <d v="2018-12-03T00:00:00"/>
    <s v="Canned and dry goods"/>
    <n v="3"/>
    <n v="6"/>
    <n v="0.875"/>
    <s v="SPICE CUMIN GRND"/>
    <x v="120"/>
    <x v="1"/>
    <n v="15.75"/>
    <n v="7.1440798275000006"/>
    <n v="0.87"/>
    <n v="6.2153494499250002"/>
  </r>
  <r>
    <d v="2018-12-03T00:00:00"/>
    <s v="Canned and dry goods"/>
    <n v="3"/>
    <n v="6"/>
    <n v="1"/>
    <s v="SPICE PAPRIKA XFCY"/>
    <x v="120"/>
    <x v="1"/>
    <n v="18"/>
    <n v="8.1646626599999994"/>
    <n v="0.87"/>
    <n v="7.103256514199999"/>
  </r>
  <r>
    <d v="2018-12-05T00:00:00"/>
    <s v="Canned and dry goods"/>
    <n v="3"/>
    <n v="6"/>
    <n v="1.125"/>
    <s v="SPICE CHILI POWDER LT"/>
    <x v="120"/>
    <x v="1"/>
    <n v="20.25"/>
    <n v="9.1852454925"/>
    <n v="0.87"/>
    <n v="7.9911635784749997"/>
  </r>
  <r>
    <d v="2018-12-05T00:00:00"/>
    <s v="Canned and dry goods"/>
    <n v="3"/>
    <n v="6"/>
    <n v="0.875"/>
    <s v="SPICE CUMIN GRND"/>
    <x v="120"/>
    <x v="1"/>
    <n v="15.75"/>
    <n v="7.1440798275000006"/>
    <n v="0.87"/>
    <n v="6.2153494499250002"/>
  </r>
  <r>
    <d v="2018-12-05T00:00:00"/>
    <s v="Canned and dry goods"/>
    <n v="1"/>
    <n v="3"/>
    <n v="7.25"/>
    <s v="SPICE GARLIC GRANULATED"/>
    <x v="120"/>
    <x v="1"/>
    <n v="21.75"/>
    <n v="9.8656340475000004"/>
    <n v="0.87"/>
    <n v="8.5831016213249995"/>
  </r>
  <r>
    <d v="2018-12-05T00:00:00"/>
    <s v="Canned and dry goods"/>
    <n v="3"/>
    <n v="6"/>
    <n v="1.25"/>
    <s v="SPICE ONION POWDER"/>
    <x v="120"/>
    <x v="1"/>
    <n v="22.5"/>
    <n v="10.205828325000001"/>
    <n v="0.87"/>
    <n v="8.8790706427500012"/>
  </r>
  <r>
    <m/>
    <s v="Royal"/>
    <n v="1"/>
    <n v="1"/>
    <n v="1.25"/>
    <s v="S-Caribbean Jerk Seas 20oz 8294"/>
    <x v="173"/>
    <x v="1"/>
    <n v="1.25"/>
    <n v="0.56699046250000007"/>
    <n v="0.87"/>
    <n v="0.49328170237500008"/>
  </r>
  <r>
    <d v="2018-11-30T00:00:00"/>
    <s v="Canned and dry goods"/>
    <n v="2"/>
    <n v="6"/>
    <n v="1.125"/>
    <s v="SEASONING CAJUN"/>
    <x v="121"/>
    <x v="1"/>
    <n v="13.5"/>
    <n v="6.1234969950000009"/>
    <n v="0.87"/>
    <n v="5.3274423856500004"/>
  </r>
  <r>
    <d v="2018-11-30T00:00:00"/>
    <s v="Canned and dry goods"/>
    <n v="1"/>
    <n v="6"/>
    <n v="1"/>
    <s v="SPICE CURRY POWDER"/>
    <x v="121"/>
    <x v="1"/>
    <n v="6"/>
    <n v="2.7215542200000002"/>
    <n v="0.87"/>
    <n v="2.3677521714000003"/>
  </r>
  <r>
    <d v="2018-11-30T00:00:00"/>
    <s v="Canned and dry goods"/>
    <n v="1"/>
    <n v="3"/>
    <n v="7.25"/>
    <s v="SPICE GARLIC GRANULATED"/>
    <x v="121"/>
    <x v="1"/>
    <n v="21.75"/>
    <n v="9.8656340475000004"/>
    <n v="0.87"/>
    <n v="8.5831016213249995"/>
  </r>
  <r>
    <d v="2018-11-30T00:00:00"/>
    <s v="Canned and dry goods"/>
    <n v="1"/>
    <n v="12"/>
    <n v="3"/>
    <s v="SALT KOSHER FLAKE COARSE"/>
    <x v="121"/>
    <x v="1"/>
    <n v="36"/>
    <n v="16.329325319999999"/>
    <n v="0.87"/>
    <n v="14.206513028399998"/>
  </r>
  <r>
    <d v="2018-11-30T00:00:00"/>
    <s v="Canned and dry goods"/>
    <n v="2"/>
    <n v="6"/>
    <n v="1.5"/>
    <s v="SEASONING OLD BAY"/>
    <x v="121"/>
    <x v="1"/>
    <n v="18"/>
    <n v="8.1646626599999994"/>
    <n v="0.87"/>
    <n v="7.103256514199999"/>
  </r>
  <r>
    <d v="2018-11-30T00:00:00"/>
    <s v="Canned and dry goods"/>
    <n v="1"/>
    <n v="6"/>
    <n v="0.390625"/>
    <s v="SEASONING ITALIAN WHL"/>
    <x v="121"/>
    <x v="1"/>
    <n v="2.34375"/>
    <n v="1.0631071171875002"/>
    <n v="0.87"/>
    <n v="0.92490319195312509"/>
  </r>
  <r>
    <d v="2018-12-03T00:00:00"/>
    <s v="Canned and dry goods"/>
    <n v="2"/>
    <n v="6"/>
    <n v="1.125"/>
    <s v="SEASONING CARIBBEAN JERK"/>
    <x v="121"/>
    <x v="1"/>
    <n v="13.5"/>
    <n v="6.1234969950000009"/>
    <n v="0.87"/>
    <n v="5.3274423856500004"/>
  </r>
  <r>
    <d v="2018-12-03T00:00:00"/>
    <s v="Canned and dry goods"/>
    <n v="1"/>
    <n v="12"/>
    <n v="3"/>
    <s v="SALT KOSHER FLAKE COARSE"/>
    <x v="121"/>
    <x v="1"/>
    <n v="36"/>
    <n v="16.329325319999999"/>
    <n v="0.87"/>
    <n v="14.206513028399998"/>
  </r>
  <r>
    <d v="2018-12-05T00:00:00"/>
    <s v="Canned and dry goods"/>
    <n v="2"/>
    <n v="12"/>
    <n v="3"/>
    <s v="SALT KOSHER FLAKE COARSE"/>
    <x v="121"/>
    <x v="1"/>
    <n v="72"/>
    <n v="32.658650639999998"/>
    <n v="0.87"/>
    <n v="28.413026056799996"/>
  </r>
  <r>
    <m/>
    <s v="Royal"/>
    <n v="5"/>
    <n v="1"/>
    <n v="10"/>
    <s v="Spinach Washed  Flatleaf"/>
    <x v="122"/>
    <x v="1"/>
    <n v="50"/>
    <n v="22.6796185"/>
    <n v="0.307"/>
    <n v="6.9626428794999997"/>
  </r>
  <r>
    <m/>
    <s v="Royal"/>
    <n v="1"/>
    <n v="1"/>
    <n v="10"/>
    <s v="Spinach Washed  Flatleaf"/>
    <x v="122"/>
    <x v="1"/>
    <n v="10"/>
    <n v="4.5359237000000006"/>
    <n v="0.307"/>
    <n v="1.3925285759000001"/>
  </r>
  <r>
    <m/>
    <s v="Royal"/>
    <n v="4"/>
    <n v="1"/>
    <n v="10"/>
    <s v="Spinach Washed  Flatleaf"/>
    <x v="122"/>
    <x v="1"/>
    <n v="40"/>
    <n v="18.143694800000002"/>
    <n v="0.307"/>
    <n v="5.5701143036000005"/>
  </r>
  <r>
    <m/>
    <s v="Royal"/>
    <n v="6"/>
    <n v="1"/>
    <n v="10"/>
    <s v="Spinach Washed  Flatleaf"/>
    <x v="122"/>
    <x v="1"/>
    <n v="60"/>
    <n v="27.215542200000002"/>
    <n v="0.307"/>
    <n v="8.3551714554000007"/>
  </r>
  <r>
    <m/>
    <s v="Royal"/>
    <n v="4"/>
    <n v="1"/>
    <n v="10"/>
    <s v="Spinach Washed  Flatleaf"/>
    <x v="122"/>
    <x v="1"/>
    <n v="40"/>
    <n v="18.143694800000002"/>
    <n v="0.307"/>
    <n v="5.5701143036000005"/>
  </r>
  <r>
    <m/>
    <s v="Royal"/>
    <n v="4"/>
    <n v="1"/>
    <n v="10"/>
    <s v="Spinach Washed  Flatleaf"/>
    <x v="122"/>
    <x v="1"/>
    <n v="40"/>
    <n v="18.143694800000002"/>
    <n v="0.307"/>
    <n v="5.5701143036000005"/>
  </r>
  <r>
    <m/>
    <s v="Royal"/>
    <n v="3"/>
    <n v="1"/>
    <n v="33"/>
    <s v="Squash   Yellow  #2 LOCAL"/>
    <x v="123"/>
    <x v="1"/>
    <n v="99"/>
    <n v="44.905644630000005"/>
    <n v="1.2290000000000001"/>
    <n v="55.189037250270012"/>
  </r>
  <r>
    <m/>
    <s v="Royal"/>
    <n v="3"/>
    <n v="1"/>
    <n v="22"/>
    <s v="Squash   Zucchini  Medium LOCAL"/>
    <x v="123"/>
    <x v="1"/>
    <n v="66"/>
    <n v="29.937096420000003"/>
    <n v="1.2290000000000001"/>
    <n v="36.792691500180005"/>
  </r>
  <r>
    <m/>
    <s v="Royal"/>
    <n v="4"/>
    <n v="1"/>
    <n v="22"/>
    <s v="Squash   Zucchini  Medium LOCAL"/>
    <x v="123"/>
    <x v="1"/>
    <n v="88"/>
    <n v="39.916128560000004"/>
    <n v="1.2290000000000001"/>
    <n v="49.056922000240007"/>
  </r>
  <r>
    <m/>
    <s v="Royal"/>
    <n v="4"/>
    <n v="1"/>
    <n v="33"/>
    <s v="Squash   Yellow  #2 LOCAL"/>
    <x v="123"/>
    <x v="1"/>
    <n v="132"/>
    <n v="59.874192840000006"/>
    <n v="1.2290000000000001"/>
    <n v="73.585383000360011"/>
  </r>
  <r>
    <m/>
    <s v="Royal"/>
    <n v="4"/>
    <n v="1"/>
    <n v="22"/>
    <s v="Squash   Zucchini  Medium LOCAL"/>
    <x v="123"/>
    <x v="1"/>
    <n v="88"/>
    <n v="39.916128560000004"/>
    <n v="1.2290000000000001"/>
    <n v="49.056922000240007"/>
  </r>
  <r>
    <m/>
    <s v="Royal"/>
    <n v="3"/>
    <n v="1"/>
    <n v="20"/>
    <s v="IDP Squash Yellow LOCAL"/>
    <x v="123"/>
    <x v="1"/>
    <n v="60"/>
    <n v="27.215542200000002"/>
    <n v="1.2290000000000001"/>
    <n v="33.447901363800007"/>
  </r>
  <r>
    <m/>
    <s v="Royal"/>
    <n v="2"/>
    <n v="1"/>
    <n v="22"/>
    <s v="Squash   Zucchini  Medium LOCAL"/>
    <x v="123"/>
    <x v="1"/>
    <n v="44"/>
    <n v="19.958064280000002"/>
    <n v="1.2290000000000001"/>
    <n v="24.528461000120004"/>
  </r>
  <r>
    <m/>
    <s v="Royal"/>
    <n v="2"/>
    <n v="1"/>
    <n v="20"/>
    <s v="IDP Squash Yellow LOCAL"/>
    <x v="123"/>
    <x v="1"/>
    <n v="40"/>
    <n v="18.143694800000002"/>
    <n v="1.2290000000000001"/>
    <n v="22.298600909200005"/>
  </r>
  <r>
    <m/>
    <s v="Royal"/>
    <n v="2"/>
    <n v="1"/>
    <n v="22"/>
    <s v="Squash   Zucchini  Medium LOCAL"/>
    <x v="123"/>
    <x v="1"/>
    <n v="44"/>
    <n v="19.958064280000002"/>
    <n v="1.2290000000000001"/>
    <n v="24.528461000120004"/>
  </r>
  <r>
    <m/>
    <s v="Royal"/>
    <n v="2"/>
    <n v="1"/>
    <n v="33"/>
    <s v="yelloq squash"/>
    <x v="123"/>
    <x v="1"/>
    <n v="66"/>
    <n v="29.937096420000003"/>
    <n v="1.2290000000000001"/>
    <n v="36.792691500180005"/>
  </r>
  <r>
    <m/>
    <s v="Royal"/>
    <n v="2"/>
    <n v="1"/>
    <n v="22"/>
    <s v="zucchini squash"/>
    <x v="123"/>
    <x v="1"/>
    <n v="44"/>
    <n v="19.958064280000002"/>
    <n v="1.2290000000000001"/>
    <n v="24.528461000120004"/>
  </r>
  <r>
    <m/>
    <s v="Royal"/>
    <n v="2"/>
    <n v="1"/>
    <n v="20"/>
    <s v="butternut squash"/>
    <x v="123"/>
    <x v="1"/>
    <n v="40"/>
    <n v="18.143694800000002"/>
    <n v="1.2290000000000001"/>
    <n v="22.298600909200005"/>
  </r>
  <r>
    <m/>
    <s v="Royal"/>
    <n v="4"/>
    <n v="1"/>
    <n v="33"/>
    <s v="squash yellow"/>
    <x v="123"/>
    <x v="1"/>
    <n v="132"/>
    <n v="59.874192840000006"/>
    <n v="1.2290000000000001"/>
    <n v="73.585383000360011"/>
  </r>
  <r>
    <m/>
    <s v="Royal"/>
    <n v="3"/>
    <n v="1"/>
    <n v="22"/>
    <s v="zucchini squash"/>
    <x v="123"/>
    <x v="1"/>
    <n v="66"/>
    <n v="29.937096420000003"/>
    <n v="1.2290000000000001"/>
    <n v="36.792691500180005"/>
  </r>
  <r>
    <m/>
    <s v="Royal"/>
    <n v="4"/>
    <n v="1"/>
    <n v="8"/>
    <s v="Strawberry Clamshell (DAR)"/>
    <x v="124"/>
    <x v="1"/>
    <n v="32"/>
    <n v="14.514955840000001"/>
    <n v="0.61399999999999999"/>
    <n v="8.9121828857600001"/>
  </r>
  <r>
    <m/>
    <s v="Royal"/>
    <n v="6"/>
    <n v="1"/>
    <n v="8"/>
    <s v="Strawberry Clamshell (DAR)"/>
    <x v="124"/>
    <x v="1"/>
    <n v="48"/>
    <n v="21.772433760000002"/>
    <n v="0.61399999999999999"/>
    <n v="13.368274328640002"/>
  </r>
  <r>
    <m/>
    <s v="Royal"/>
    <n v="4"/>
    <n v="1"/>
    <n v="8"/>
    <s v="Strawberry Clamshell (DAR)"/>
    <x v="124"/>
    <x v="1"/>
    <n v="32"/>
    <n v="14.514955840000001"/>
    <n v="0.61399999999999999"/>
    <n v="8.9121828857600001"/>
  </r>
  <r>
    <m/>
    <s v="Royal"/>
    <n v="10"/>
    <n v="1"/>
    <n v="8"/>
    <s v="Strawberry Clamshell (DAR)"/>
    <x v="124"/>
    <x v="1"/>
    <n v="80"/>
    <n v="36.287389600000004"/>
    <n v="0.61399999999999999"/>
    <n v="22.280457214400002"/>
  </r>
  <r>
    <m/>
    <s v="Royal"/>
    <n v="10"/>
    <n v="1"/>
    <n v="8"/>
    <s v="Strawberry Clamshell (DAR)"/>
    <x v="124"/>
    <x v="1"/>
    <n v="80"/>
    <n v="36.287389600000004"/>
    <n v="0.61399999999999999"/>
    <n v="22.280457214400002"/>
  </r>
  <r>
    <m/>
    <s v="Royal"/>
    <n v="10"/>
    <n v="1"/>
    <n v="8"/>
    <s v="strawberry Clamshell (DAR)"/>
    <x v="124"/>
    <x v="1"/>
    <n v="80"/>
    <n v="36.287389600000004"/>
    <n v="0.61399999999999999"/>
    <n v="22.280457214400002"/>
  </r>
  <r>
    <d v="2018-11-30T00:00:00"/>
    <s v="Canned and dry goods"/>
    <n v="1"/>
    <n v="1"/>
    <n v="50"/>
    <s v="SUGAR BROWN LIGHT CANE"/>
    <x v="125"/>
    <x v="1"/>
    <n v="50"/>
    <n v="22.6796185"/>
    <n v="0.7"/>
    <n v="15.87573295"/>
  </r>
  <r>
    <d v="2018-11-30T00:00:00"/>
    <s v="Canned and dry goods"/>
    <n v="2"/>
    <n v="1"/>
    <n v="25"/>
    <s v="SUGAR GRANULATED XFINE CANE"/>
    <x v="125"/>
    <x v="1"/>
    <n v="50"/>
    <n v="22.6796185"/>
    <n v="0.7"/>
    <n v="15.87573295"/>
  </r>
  <r>
    <d v="2018-12-03T00:00:00"/>
    <s v="Canned and dry goods"/>
    <n v="1"/>
    <n v="1"/>
    <n v="50"/>
    <s v="SUGAR GRANULATED XFN"/>
    <x v="125"/>
    <x v="1"/>
    <n v="50"/>
    <n v="22.6796185"/>
    <n v="0.7"/>
    <n v="15.87573295"/>
  </r>
  <r>
    <d v="2018-12-05T00:00:00"/>
    <s v="Canned and dry goods"/>
    <n v="1"/>
    <n v="1"/>
    <n v="50"/>
    <s v="SUGAR GRANULATED XFN"/>
    <x v="125"/>
    <x v="1"/>
    <n v="50"/>
    <n v="22.6796185"/>
    <n v="0.7"/>
    <n v="15.87573295"/>
  </r>
  <r>
    <d v="2018-10-26T00:00:00"/>
    <s v="Common Market"/>
    <n v="1"/>
    <n v="1"/>
    <n v="120"/>
    <s v="sweet potatoes"/>
    <x v="126"/>
    <x v="1"/>
    <n v="120"/>
    <n v="54.431084400000003"/>
    <n v="0.30199999999999999"/>
    <n v="16.438187488800001"/>
  </r>
  <r>
    <d v="2018-10-30T00:00:00"/>
    <s v="Common Market"/>
    <n v="1"/>
    <n v="1"/>
    <n v="120"/>
    <s v="sweet potatoes"/>
    <x v="126"/>
    <x v="1"/>
    <n v="120"/>
    <n v="54.431084400000003"/>
    <n v="0.30199999999999999"/>
    <n v="16.438187488800001"/>
  </r>
  <r>
    <d v="2018-12-03T00:00:00"/>
    <s v="Frozen"/>
    <n v="4"/>
    <n v="5"/>
    <n v="3"/>
    <s v="POTATO SWEET THIN REG CUT 5/16"/>
    <x v="126"/>
    <x v="1"/>
    <n v="60"/>
    <n v="27.215542200000002"/>
    <n v="0.30199999999999999"/>
    <n v="8.2190937444000003"/>
  </r>
  <r>
    <m/>
    <s v="Royal"/>
    <n v="6"/>
    <n v="1"/>
    <n v="12"/>
    <s v="Chard Red Swiss"/>
    <x v="128"/>
    <x v="1"/>
    <n v="72"/>
    <n v="32.658650639999998"/>
    <n v="0.19600000000000001"/>
    <n v="6.4010955254399997"/>
  </r>
  <r>
    <m/>
    <s v="Royal"/>
    <n v="2"/>
    <n v="1"/>
    <n v="12"/>
    <s v="Chard Rainbow Swiss"/>
    <x v="128"/>
    <x v="1"/>
    <n v="24"/>
    <n v="10.886216880000001"/>
    <n v="0.19600000000000001"/>
    <n v="2.1336985084800002"/>
  </r>
  <r>
    <d v="2018-12-03T00:00:00"/>
    <s v="Canned and dry goods"/>
    <n v="2"/>
    <n v="4"/>
    <n v="11.01"/>
    <s v="SYRUP PANCAKE &amp;  WAFFLE"/>
    <x v="129"/>
    <x v="1"/>
    <n v="88.08"/>
    <n v="39.952415949600002"/>
    <n v="6.7539999999999996"/>
    <n v="269.83861732359838"/>
  </r>
  <r>
    <d v="2018-11-30T00:00:00"/>
    <s v="Canned and dry goods"/>
    <n v="1"/>
    <n v="4"/>
    <n v="11.01"/>
    <s v="SYRUP PANCAKE &amp;  WAFFLE"/>
    <x v="130"/>
    <x v="1"/>
    <n v="44.04"/>
    <n v="19.976207974800001"/>
    <n v="6.7539999999999996"/>
    <n v="134.91930866179919"/>
  </r>
  <r>
    <m/>
    <s v="Royal"/>
    <n v="3"/>
    <n v="1"/>
    <n v="4.1719999999999997"/>
    <s v="Tofu Firm 5 Gal"/>
    <x v="131"/>
    <x v="1"/>
    <n v="12.515999999999998"/>
    <n v="5.6771621029199997"/>
    <n v="1.6639999999999999"/>
    <n v="9.4467977392588782"/>
  </r>
  <r>
    <m/>
    <s v="Royal"/>
    <n v="1"/>
    <n v="1"/>
    <n v="4.1719999999999997"/>
    <s v="Tofu Firm 5 Gal"/>
    <x v="131"/>
    <x v="1"/>
    <n v="4.1719999999999997"/>
    <n v="1.8923873676399998"/>
    <n v="1.6639999999999999"/>
    <n v="3.1489325797529597"/>
  </r>
  <r>
    <m/>
    <s v="Royal"/>
    <n v="6"/>
    <n v="1"/>
    <n v="4.1719999999999997"/>
    <s v="Tofu Firm 5 Gal"/>
    <x v="131"/>
    <x v="1"/>
    <n v="25.031999999999996"/>
    <n v="11.354324205839999"/>
    <n v="1.6639999999999999"/>
    <n v="18.893595478517756"/>
  </r>
  <r>
    <m/>
    <s v="Royal"/>
    <n v="2"/>
    <n v="1"/>
    <n v="4.1719999999999997"/>
    <s v="Tofu Firm 5 Gal"/>
    <x v="131"/>
    <x v="1"/>
    <n v="8.3439999999999994"/>
    <n v="3.7847747352799996"/>
    <n v="1.6639999999999999"/>
    <n v="6.2978651595059194"/>
  </r>
  <r>
    <m/>
    <s v="Royal"/>
    <n v="5"/>
    <n v="1"/>
    <n v="4.1719999999999997"/>
    <s v="Tofu Firm 5 Gal"/>
    <x v="131"/>
    <x v="1"/>
    <n v="20.86"/>
    <n v="9.4619368381999998"/>
    <n v="1.6639999999999999"/>
    <n v="15.744662898764799"/>
  </r>
  <r>
    <m/>
    <s v="Royal"/>
    <n v="2"/>
    <n v="1"/>
    <n v="4.1719999999999997"/>
    <s v="tofu Firm 5 Gal"/>
    <x v="131"/>
    <x v="1"/>
    <n v="8.3439999999999994"/>
    <n v="3.7847747352799996"/>
    <n v="1.6639999999999999"/>
    <n v="6.2978651595059194"/>
  </r>
  <r>
    <m/>
    <s v="Royal"/>
    <n v="3"/>
    <n v="1"/>
    <n v="10"/>
    <s v="Pr Tomato Diced 1/4&quot; TY LOCAL"/>
    <x v="132"/>
    <x v="1"/>
    <n v="30"/>
    <n v="13.607771100000001"/>
    <n v="0.47"/>
    <n v="6.395652417"/>
  </r>
  <r>
    <m/>
    <s v="Royal"/>
    <n v="1"/>
    <n v="1"/>
    <n v="20"/>
    <s v="Tomato"/>
    <x v="132"/>
    <x v="1"/>
    <n v="20"/>
    <n v="9.0718474000000011"/>
    <n v="0.47"/>
    <n v="4.2637682780000006"/>
  </r>
  <r>
    <m/>
    <s v="Royal"/>
    <n v="8"/>
    <n v="1"/>
    <n v="10"/>
    <s v="Tomato   Grape Red Bulk LOCAL"/>
    <x v="132"/>
    <x v="1"/>
    <n v="80"/>
    <n v="36.287389600000004"/>
    <n v="0.47"/>
    <n v="17.055073112000002"/>
  </r>
  <r>
    <m/>
    <s v="Royal"/>
    <n v="1"/>
    <n v="1"/>
    <n v="10"/>
    <s v="Pr Tomato Diced 1/4&quot; TY LOCAL"/>
    <x v="132"/>
    <x v="1"/>
    <n v="10"/>
    <n v="4.5359237000000006"/>
    <n v="0.47"/>
    <n v="2.1318841390000003"/>
  </r>
  <r>
    <m/>
    <s v="Royal"/>
    <n v="1"/>
    <n v="1"/>
    <n v="25"/>
    <s v="Tomato"/>
    <x v="132"/>
    <x v="1"/>
    <n v="25"/>
    <n v="11.33980925"/>
    <n v="0.47"/>
    <n v="5.3297103474999998"/>
  </r>
  <r>
    <m/>
    <s v="Royal"/>
    <n v="8"/>
    <n v="1"/>
    <n v="10"/>
    <s v="Tomato   Grape Red Bulk LOCAL"/>
    <x v="132"/>
    <x v="1"/>
    <n v="80"/>
    <n v="36.287389600000004"/>
    <n v="0.47"/>
    <n v="17.055073112000002"/>
  </r>
  <r>
    <m/>
    <s v="Royal"/>
    <n v="1"/>
    <n v="1"/>
    <n v="10"/>
    <s v="Pr Tomato Diced 1/4&quot; TY LOCAL"/>
    <x v="132"/>
    <x v="1"/>
    <n v="10"/>
    <n v="4.5359237000000006"/>
    <n v="0.47"/>
    <n v="2.1318841390000003"/>
  </r>
  <r>
    <m/>
    <s v="Royal"/>
    <n v="2"/>
    <n v="1"/>
    <n v="25"/>
    <s v="tomato"/>
    <x v="132"/>
    <x v="1"/>
    <n v="50"/>
    <n v="22.6796185"/>
    <n v="0.47"/>
    <n v="10.659420695"/>
  </r>
  <r>
    <m/>
    <s v="Royal"/>
    <n v="5"/>
    <n v="1"/>
    <n v="10"/>
    <s v="tomato grape red"/>
    <x v="132"/>
    <x v="1"/>
    <n v="50"/>
    <n v="22.6796185"/>
    <n v="0.47"/>
    <n v="10.659420695"/>
  </r>
  <r>
    <m/>
    <s v="Royal"/>
    <n v="1"/>
    <n v="1"/>
    <n v="10"/>
    <s v="Pr Tomato Diced 1/4&quot; TY LOCAL"/>
    <x v="132"/>
    <x v="1"/>
    <n v="10"/>
    <n v="4.5359237000000006"/>
    <n v="0.47"/>
    <n v="2.1318841390000003"/>
  </r>
  <r>
    <m/>
    <s v="Royal"/>
    <n v="1"/>
    <n v="1"/>
    <n v="25"/>
    <s v="Tomato"/>
    <x v="132"/>
    <x v="1"/>
    <n v="25"/>
    <n v="11.33980925"/>
    <n v="0.47"/>
    <n v="5.3297103474999998"/>
  </r>
  <r>
    <m/>
    <s v="Royal"/>
    <n v="8"/>
    <n v="1"/>
    <n v="10"/>
    <s v="Tomato   Grape Red Bulk LOCAL"/>
    <x v="132"/>
    <x v="1"/>
    <n v="80"/>
    <n v="36.287389600000004"/>
    <n v="0.47"/>
    <n v="17.055073112000002"/>
  </r>
  <r>
    <m/>
    <s v="Royal"/>
    <n v="1"/>
    <n v="1"/>
    <n v="10"/>
    <s v="Pr Tomato Diced 1/4&quot; TY LOCAL"/>
    <x v="132"/>
    <x v="1"/>
    <n v="10"/>
    <n v="4.5359237000000006"/>
    <n v="0.47"/>
    <n v="2.1318841390000003"/>
  </r>
  <r>
    <m/>
    <s v="Royal"/>
    <n v="1"/>
    <n v="1"/>
    <n v="20"/>
    <s v="Tomato"/>
    <x v="132"/>
    <x v="1"/>
    <n v="20"/>
    <n v="9.0718474000000011"/>
    <n v="0.47"/>
    <n v="4.2637682780000006"/>
  </r>
  <r>
    <m/>
    <s v="Royal"/>
    <n v="6"/>
    <n v="1"/>
    <n v="10"/>
    <s v="Tomato   Grape Red Bulk LOCAL"/>
    <x v="132"/>
    <x v="1"/>
    <n v="60"/>
    <n v="27.215542200000002"/>
    <n v="0.47"/>
    <n v="12.791304834"/>
  </r>
  <r>
    <m/>
    <s v="Royal"/>
    <n v="2"/>
    <n v="1"/>
    <n v="10"/>
    <s v="tomato diced"/>
    <x v="132"/>
    <x v="1"/>
    <n v="20"/>
    <n v="9.0718474000000011"/>
    <n v="0.47"/>
    <n v="4.2637682780000006"/>
  </r>
  <r>
    <m/>
    <s v="Royal"/>
    <n v="1"/>
    <n v="1"/>
    <n v="20"/>
    <s v="tomato"/>
    <x v="132"/>
    <x v="1"/>
    <n v="20"/>
    <n v="9.0718474000000011"/>
    <n v="0.47"/>
    <n v="4.2637682780000006"/>
  </r>
  <r>
    <m/>
    <s v="Royal"/>
    <n v="10"/>
    <n v="1"/>
    <n v="10"/>
    <s v="tomato grape red"/>
    <x v="132"/>
    <x v="1"/>
    <n v="100"/>
    <n v="45.359237"/>
    <n v="0.47"/>
    <n v="21.318841389999999"/>
  </r>
  <r>
    <d v="2018-11-30T00:00:00"/>
    <s v="Canned and dry goods"/>
    <n v="4"/>
    <n v="6"/>
    <n v="10"/>
    <s v="TOMATO DICED IN JCE NO SALT CA"/>
    <x v="132"/>
    <x v="1"/>
    <n v="240"/>
    <n v="108.86216880000001"/>
    <n v="0.47"/>
    <n v="51.165219336"/>
  </r>
  <r>
    <d v="2018-11-30T00:00:00"/>
    <s v="Canned and dry goods"/>
    <n v="4"/>
    <n v="6"/>
    <n v="10"/>
    <s v="TOMATO CRUSHED ALL PURP FCY CA"/>
    <x v="132"/>
    <x v="1"/>
    <n v="240"/>
    <n v="108.86216880000001"/>
    <n v="0.47"/>
    <n v="51.165219336"/>
  </r>
  <r>
    <d v="2018-11-30T00:00:00"/>
    <s v="Canned and dry goods"/>
    <n v="8"/>
    <n v="6"/>
    <n v="10"/>
    <s v="TOMATO GRND PLD IN PUREE"/>
    <x v="132"/>
    <x v="1"/>
    <n v="480"/>
    <n v="217.72433760000001"/>
    <n v="0.47"/>
    <n v="102.330438672"/>
  </r>
  <r>
    <d v="2018-12-03T00:00:00"/>
    <s v="Canned and dry goods"/>
    <n v="2"/>
    <n v="6"/>
    <n v="10"/>
    <s v="TOMATO CRUSHED ALL PURP FCY CA"/>
    <x v="132"/>
    <x v="1"/>
    <n v="120"/>
    <n v="54.431084400000003"/>
    <n v="0.47"/>
    <n v="25.582609668"/>
  </r>
  <r>
    <d v="2018-12-05T00:00:00"/>
    <s v="Canned and dry goods"/>
    <n v="6"/>
    <n v="6"/>
    <n v="10"/>
    <s v="TOMATO CRUSHED ALL PURP FCY CA"/>
    <x v="132"/>
    <x v="1"/>
    <n v="360"/>
    <n v="163.29325320000001"/>
    <n v="0.47"/>
    <n v="76.747829003999996"/>
  </r>
  <r>
    <d v="2018-12-05T00:00:00"/>
    <s v="Canned and dry goods"/>
    <n v="1"/>
    <n v="6"/>
    <n v="10"/>
    <s v="TOMATO GRND PLD IN PUREE"/>
    <x v="132"/>
    <x v="1"/>
    <n v="60"/>
    <n v="27.215542200000002"/>
    <n v="0.47"/>
    <n v="12.791304834"/>
  </r>
  <r>
    <d v="2018-12-03T00:00:00"/>
    <s v="Canned and dry goods"/>
    <n v="1"/>
    <n v="6"/>
    <n v="10"/>
    <s v="TOMATO PASTE FANCY CA"/>
    <x v="133"/>
    <x v="1"/>
    <n v="60"/>
    <n v="27.215542200000002"/>
    <n v="0.11799999999999999"/>
    <n v="3.2114339796000002"/>
  </r>
  <r>
    <d v="2018-11-30T00:00:00"/>
    <s v="Frozen"/>
    <n v="2"/>
    <n v="12"/>
    <n v="3.9683219999999997"/>
    <s v="TORTILLA CORN WHT 6 IN"/>
    <x v="134"/>
    <x v="1"/>
    <n v="95.239727999999985"/>
    <n v="43.200013941675351"/>
    <n v="1.28"/>
    <n v="55.296017845344451"/>
  </r>
  <r>
    <d v="2018-11-30T00:00:00"/>
    <s v="Frozen"/>
    <n v="2"/>
    <n v="6"/>
    <n v="0.79366439999999994"/>
    <s v="WRAP TORTILLA TOMATO BASIL 12"/>
    <x v="135"/>
    <x v="1"/>
    <n v="9.5239727999999992"/>
    <n v="4.3200013941675364"/>
    <n v="1.28"/>
    <n v="5.5296017845344467"/>
  </r>
  <r>
    <d v="2018-11-30T00:00:00"/>
    <s v="Frozen"/>
    <n v="2"/>
    <n v="6"/>
    <n v="0.79366439999999994"/>
    <s v="WRAP TORTILLA SPINACH HERB 12"/>
    <x v="135"/>
    <x v="1"/>
    <n v="9.5239727999999992"/>
    <n v="4.3200013941675364"/>
    <n v="1.28"/>
    <n v="5.5296017845344467"/>
  </r>
  <r>
    <d v="2018-12-03T00:00:00"/>
    <s v="Frozen"/>
    <n v="1"/>
    <n v="24"/>
    <n v="0.79366439999999994"/>
    <s v="TORTILLA FLOUR PRESSED 6 IN"/>
    <x v="135"/>
    <x v="1"/>
    <n v="19.047945599999998"/>
    <n v="8.6400027883350727"/>
    <n v="1.28"/>
    <n v="11.059203569068893"/>
  </r>
  <r>
    <d v="2018-12-03T00:00:00"/>
    <s v="Frozen"/>
    <n v="1"/>
    <n v="6"/>
    <n v="0.79366439999999994"/>
    <s v="WRAP TORTILLA SPINACH HERB 12"/>
    <x v="135"/>
    <x v="1"/>
    <n v="4.7619863999999996"/>
    <n v="2.1600006970837682"/>
    <n v="1.28"/>
    <n v="2.7648008922672234"/>
  </r>
  <r>
    <d v="2018-11-30T00:00:00"/>
    <s v="Canned and dry goods"/>
    <n v="1"/>
    <n v="6"/>
    <n v="4.15625"/>
    <s v="TUNA CHUNK SKIP JACK FAD FREE"/>
    <x v="136"/>
    <x v="0"/>
    <n v="24.9375"/>
    <n v="11.311459726875"/>
    <n v="2.1480000000000001"/>
    <n v="24.297015493327503"/>
  </r>
  <r>
    <d v="2018-12-03T00:00:00"/>
    <s v="Canned and dry goods"/>
    <n v="1"/>
    <n v="6"/>
    <n v="4.15625"/>
    <s v="TUNA CHUNK SKIP JACK FAD FREE"/>
    <x v="136"/>
    <x v="0"/>
    <n v="24.9375"/>
    <n v="11.311459726875"/>
    <n v="2.1480000000000001"/>
    <n v="24.297015493327503"/>
  </r>
  <r>
    <d v="2018-11-30T00:00:00"/>
    <s v="Poultry"/>
    <n v="1"/>
    <n v="1"/>
    <n v="72.5"/>
    <s v="TURKEY BRST SMKD SKLS PREM"/>
    <x v="137"/>
    <x v="0"/>
    <n v="72.5"/>
    <n v="32.885446825000002"/>
    <n v="2.5710000000000002"/>
    <n v="84.548483787075014"/>
  </r>
  <r>
    <d v="2018-12-03T00:00:00"/>
    <s v="Poultry"/>
    <n v="1"/>
    <n v="1"/>
    <n v="124.53"/>
    <s v="TURKEY BRST FRCH CUT RTC"/>
    <x v="137"/>
    <x v="0"/>
    <n v="124.53"/>
    <n v="56.485857836100003"/>
    <n v="2.5710000000000002"/>
    <n v="145.22514049661311"/>
  </r>
  <r>
    <d v="2018-12-03T00:00:00"/>
    <s v="Poultry"/>
    <n v="4"/>
    <n v="160"/>
    <n v="6.25E-2"/>
    <s v="TURKEY SAUSAGE LINK RAW"/>
    <x v="137"/>
    <x v="0"/>
    <n v="40"/>
    <n v="18.143694800000002"/>
    <n v="2.5710000000000002"/>
    <n v="46.647439330800012"/>
  </r>
  <r>
    <d v="2018-12-03T00:00:00"/>
    <s v="Poultry"/>
    <n v="4"/>
    <n v="2"/>
    <n v="6"/>
    <s v="BACON TURKEY LAYFLT"/>
    <x v="137"/>
    <x v="0"/>
    <n v="48"/>
    <n v="21.772433760000002"/>
    <n v="2.5710000000000002"/>
    <n v="55.976927196960006"/>
  </r>
  <r>
    <d v="2018-12-05T00:00:00"/>
    <s v="Poultry"/>
    <n v="3"/>
    <n v="160"/>
    <n v="6.25E-2"/>
    <s v="TURKEY SAUSAGE LINK RAW"/>
    <x v="137"/>
    <x v="0"/>
    <n v="30"/>
    <n v="13.607771100000001"/>
    <n v="2.5710000000000002"/>
    <n v="34.985579498100002"/>
  </r>
  <r>
    <d v="2018-11-30T00:00:00"/>
    <s v="Canned and dry goods"/>
    <n v="1"/>
    <n v="4"/>
    <n v="8.41"/>
    <s v="VINEGAR WINE RED PLS"/>
    <x v="138"/>
    <x v="1"/>
    <n v="33.64"/>
    <n v="15.258847326800002"/>
    <n v="0.34"/>
    <n v="5.1880080911120006"/>
  </r>
  <r>
    <d v="2018-12-03T00:00:00"/>
    <s v="Canned and dry goods"/>
    <n v="1"/>
    <n v="2"/>
    <n v="11.950000000000001"/>
    <s v="VINEGAR BALSAMIC ITALY"/>
    <x v="138"/>
    <x v="1"/>
    <n v="23.900000000000002"/>
    <n v="10.840857643000001"/>
    <n v="0.34"/>
    <n v="3.6858915986200009"/>
  </r>
  <r>
    <d v="2018-12-05T00:00:00"/>
    <s v="Canned and dry goods"/>
    <n v="1"/>
    <n v="4"/>
    <n v="8.41"/>
    <s v="VINEGAR RICE WINE SEAS 4.5%"/>
    <x v="138"/>
    <x v="1"/>
    <n v="33.64"/>
    <n v="15.258847326800002"/>
    <n v="0.34"/>
    <n v="5.1880080911120006"/>
  </r>
  <r>
    <d v="2018-12-03T00:00:00"/>
    <s v="Canned and dry goods"/>
    <n v="1"/>
    <n v="6"/>
    <n v="2"/>
    <s v="QUINOA GRAIN WHT"/>
    <x v="139"/>
    <x v="1"/>
    <n v="12"/>
    <n v="5.4431084400000005"/>
    <n v="0.34699999999999998"/>
    <n v="1.88875862868"/>
  </r>
  <r>
    <d v="2018-12-03T00:00:00"/>
    <s v="Canned and dry goods"/>
    <n v="1"/>
    <n v="4"/>
    <n v="8.41"/>
    <s v="WINE COOKING BURGUNDY"/>
    <x v="140"/>
    <x v="1"/>
    <n v="33.64"/>
    <n v="15.258847326800002"/>
    <n v="0.78"/>
    <n v="11.901900914904001"/>
  </r>
  <r>
    <d v="2018-12-03T00:00:00"/>
    <s v="Canned and dry goods"/>
    <n v="1"/>
    <n v="4"/>
    <n v="8.41"/>
    <s v="WINE COOKING SAUTERNE"/>
    <x v="140"/>
    <x v="1"/>
    <n v="33.64"/>
    <n v="15.258847326800002"/>
    <n v="0.78"/>
    <n v="11.901900914904001"/>
  </r>
  <r>
    <d v="2018-12-05T00:00:00"/>
    <s v="Canned and dry goods"/>
    <n v="1"/>
    <n v="8"/>
    <n v="0.79366439999999994"/>
    <s v="WRAP TORTILLA FLOUR 12"/>
    <x v="141"/>
    <x v="1"/>
    <n v="6.3493151999999995"/>
    <n v="2.8800009294450239"/>
    <n v="1.28"/>
    <n v="3.6864011896896307"/>
  </r>
  <r>
    <d v="2018-12-05T00:00:00"/>
    <s v="Frozen"/>
    <n v="1"/>
    <n v="6"/>
    <n v="0.79366439999999994"/>
    <s v="WRAP TORTILLA SPINACH HERB 12"/>
    <x v="141"/>
    <x v="1"/>
    <n v="4.7619863999999996"/>
    <n v="2.1600006970837682"/>
    <n v="1.28"/>
    <n v="2.7648008922672234"/>
  </r>
  <r>
    <d v="2018-11-30T00:00:00"/>
    <s v="Canned and dry goods"/>
    <n v="2"/>
    <n v="12"/>
    <n v="2"/>
    <s v="YEAST ACTIVE DRY"/>
    <x v="142"/>
    <x v="1"/>
    <n v="48"/>
    <n v="21.772433760000002"/>
    <m/>
    <n v="0"/>
  </r>
  <r>
    <d v="2018-11-30T00:00:00"/>
    <s v="Dairy Products"/>
    <n v="10"/>
    <n v="2"/>
    <n v="6"/>
    <s v="YOGURT PLAIN GREEK BAG OIKOS"/>
    <x v="143"/>
    <x v="2"/>
    <n v="120"/>
    <n v="54.431084400000003"/>
    <n v="1.33"/>
    <n v="72.393342252000011"/>
  </r>
  <r>
    <d v="2018-11-30T00:00:00"/>
    <s v="Dairy Products"/>
    <n v="10"/>
    <n v="2"/>
    <n v="6"/>
    <s v="YOGURT VANILLA GRK BAG OIKOS"/>
    <x v="143"/>
    <x v="2"/>
    <n v="120"/>
    <n v="54.431084400000003"/>
    <n v="1.33"/>
    <n v="72.393342252000011"/>
  </r>
  <r>
    <d v="2018-12-05T00:00:00"/>
    <s v="Dairy Products"/>
    <n v="2"/>
    <n v="2"/>
    <n v="6"/>
    <s v="YOGURT VANILLA GRK BAG OIKOS"/>
    <x v="143"/>
    <x v="2"/>
    <n v="24"/>
    <n v="10.886216880000001"/>
    <n v="1.33"/>
    <n v="14.478668450400002"/>
  </r>
  <r>
    <d v="2018-10-30T00:00:00"/>
    <s v="Royal"/>
    <n v="3"/>
    <n v="1"/>
    <n v="12"/>
    <s v="Greek Yogurt Plain FF 2oz"/>
    <x v="174"/>
    <x v="2"/>
    <n v="36"/>
    <n v="16.329325319999999"/>
    <n v="1.33"/>
    <n v="21.718002675600001"/>
  </r>
  <r>
    <d v="2018-10-26T00:00:00"/>
    <s v="Royal"/>
    <n v="2"/>
    <n v="1"/>
    <n v="12"/>
    <s v="Greek Yogurt Plain FF 2oz"/>
    <x v="174"/>
    <x v="2"/>
    <n v="24"/>
    <n v="10.886216880000001"/>
    <n v="1.33"/>
    <n v="14.478668450400002"/>
  </r>
  <r>
    <d v="2018-10-26T00:00:00"/>
    <s v="Royal"/>
    <n v="2"/>
    <n v="1"/>
    <n v="12"/>
    <s v="Greek Yogurt Vanilla Blend FF 2oz"/>
    <x v="174"/>
    <x v="2"/>
    <n v="24"/>
    <n v="10.886216880000001"/>
    <n v="1.33"/>
    <n v="14.478668450400002"/>
  </r>
  <r>
    <d v="2018-11-30T00:00:00"/>
    <s v="Meats"/>
    <n v="2"/>
    <n v="2"/>
    <n v="5"/>
    <s v="PEPPERONI SLI CHRPRF 15-17 CT"/>
    <x v="0"/>
    <x v="0"/>
    <n v="20"/>
    <n v="9.0718474000000011"/>
    <n v="19.202999999999999"/>
    <n v="174.20668562220001"/>
  </r>
  <r>
    <d v="2018-12-05T00:00:00"/>
    <s v="Meats"/>
    <n v="1"/>
    <n v="2"/>
    <n v="5"/>
    <s v="PEPPERONI SLI CHRPRF 15-17 CT"/>
    <x v="0"/>
    <x v="0"/>
    <n v="10"/>
    <n v="4.5359237000000006"/>
    <n v="19.202999999999999"/>
    <n v="87.103342811100006"/>
  </r>
  <r>
    <d v="2018-10-26T00:00:00"/>
    <s v="Common Market"/>
    <n v="1"/>
    <n v="1"/>
    <n v="100"/>
    <s v="gala apples"/>
    <x v="1"/>
    <x v="1"/>
    <n v="100"/>
    <n v="45.359237"/>
    <n v="0.22800000000000001"/>
    <n v="10.341906036000001"/>
  </r>
  <r>
    <d v="2018-10-26T00:00:00"/>
    <s v="Common Market"/>
    <n v="1"/>
    <n v="1"/>
    <n v="159.6"/>
    <s v="granny smith apples"/>
    <x v="1"/>
    <x v="1"/>
    <n v="159.6"/>
    <n v="72.393342252000011"/>
    <n v="0.22800000000000001"/>
    <n v="16.505682033456004"/>
  </r>
  <r>
    <d v="2018-10-30T00:00:00"/>
    <s v="Common Market"/>
    <n v="1"/>
    <n v="1"/>
    <n v="158.4"/>
    <s v="fuji apples"/>
    <x v="1"/>
    <x v="1"/>
    <n v="158.4"/>
    <n v="71.849031408000016"/>
    <n v="0.22800000000000001"/>
    <n v="16.381579161024003"/>
  </r>
  <r>
    <d v="2018-10-30T00:00:00"/>
    <s v="Common Market"/>
    <n v="1"/>
    <n v="1"/>
    <n v="159.6"/>
    <s v="winesap apples"/>
    <x v="1"/>
    <x v="1"/>
    <n v="159.6"/>
    <n v="72.393342252000011"/>
    <n v="0.22800000000000001"/>
    <n v="16.505682033456004"/>
  </r>
  <r>
    <d v="2018-11-30T00:00:00"/>
    <s v="Royal"/>
    <n v="3"/>
    <n v="1"/>
    <n v="41.666666666666664"/>
    <s v="Apple   Fuji 125/138ct"/>
    <x v="1"/>
    <x v="1"/>
    <n v="125"/>
    <n v="56.699046250000002"/>
    <n v="0.22800000000000001"/>
    <n v="12.927382545"/>
  </r>
  <r>
    <d v="2018-11-30T00:00:00"/>
    <s v="Royal"/>
    <n v="3"/>
    <n v="1"/>
    <n v="41.666666666666664"/>
    <s v="Apple   Granny Smith  125/138ct"/>
    <x v="1"/>
    <x v="1"/>
    <n v="125"/>
    <n v="56.699046250000002"/>
    <n v="0.22800000000000001"/>
    <n v="12.927382545"/>
  </r>
  <r>
    <d v="2018-12-03T00:00:00"/>
    <s v="Royal"/>
    <n v="2"/>
    <n v="1"/>
    <n v="41.666666666666664"/>
    <s v="Apple   Granny Smith  125/138ct"/>
    <x v="1"/>
    <x v="1"/>
    <n v="83.333333333333329"/>
    <n v="37.79936416666667"/>
    <n v="0.22800000000000001"/>
    <n v="8.618255030000002"/>
  </r>
  <r>
    <d v="2018-12-03T00:00:00"/>
    <s v="Canned and dry goods"/>
    <n v="1"/>
    <n v="6"/>
    <n v="10"/>
    <s v="PRESERVE APRICOT"/>
    <x v="3"/>
    <x v="1"/>
    <n v="60"/>
    <n v="27.215542200000002"/>
    <n v="3.25"/>
    <n v="88.450512150000009"/>
  </r>
  <r>
    <d v="2018-11-30T00:00:00"/>
    <s v="Canned and dry goods"/>
    <n v="2"/>
    <n v="6"/>
    <n v="6.6138700000000004"/>
    <s v="ARTICHOKE HEART QTR 100-140"/>
    <x v="4"/>
    <x v="1"/>
    <n v="79.366440000000011"/>
    <n v="36.000011618062807"/>
    <n v="0.84599999999999997"/>
    <n v="30.456009828881133"/>
  </r>
  <r>
    <d v="2018-12-04T00:00:00"/>
    <s v="Royal"/>
    <n v="6"/>
    <n v="1"/>
    <n v="11"/>
    <s v="Asparagus   Standard"/>
    <x v="6"/>
    <x v="1"/>
    <n v="66"/>
    <n v="29.937096420000003"/>
    <n v="2.1709999999999998"/>
    <n v="64.993436327820007"/>
  </r>
  <r>
    <d v="2018-12-05T00:00:00"/>
    <s v="Royal"/>
    <n v="1"/>
    <n v="1"/>
    <n v="48"/>
    <s v="avocado"/>
    <x v="144"/>
    <x v="1"/>
    <n v="48"/>
    <n v="21.772433760000002"/>
    <n v="0.54700000000000004"/>
    <n v="11.909521266720002"/>
  </r>
  <r>
    <d v="2018-11-30T00:00:00"/>
    <s v="Frozen"/>
    <n v="4"/>
    <n v="4"/>
    <n v="6"/>
    <s v="BANANA PLANTAIN FRZN SWEET SLI"/>
    <x v="7"/>
    <x v="1"/>
    <n v="96"/>
    <n v="43.544867520000004"/>
    <n v="0.374"/>
    <n v="16.285780452480001"/>
  </r>
  <r>
    <d v="2018-12-03T00:00:00"/>
    <s v="Frozen"/>
    <n v="5"/>
    <n v="4"/>
    <n v="6"/>
    <s v="BANANA PLANTAIN SLI SWEET"/>
    <x v="7"/>
    <x v="1"/>
    <n v="120"/>
    <n v="54.431084400000003"/>
    <n v="0.374"/>
    <n v="20.3572255656"/>
  </r>
  <r>
    <d v="2018-11-30T00:00:00"/>
    <s v="Royal"/>
    <n v="8"/>
    <n v="1"/>
    <n v="40"/>
    <s v="Bananas #4 Color"/>
    <x v="8"/>
    <x v="1"/>
    <n v="320"/>
    <n v="145.14955840000002"/>
    <n v="0.374"/>
    <n v="54.285934841600003"/>
  </r>
  <r>
    <d v="2018-12-01T00:00:00"/>
    <s v="Royal"/>
    <n v="8"/>
    <n v="1"/>
    <n v="40"/>
    <s v="Bananas #4 Color"/>
    <x v="8"/>
    <x v="1"/>
    <n v="320"/>
    <n v="145.14955840000002"/>
    <n v="0.374"/>
    <n v="54.285934841600003"/>
  </r>
  <r>
    <d v="2018-12-03T00:00:00"/>
    <s v="Royal"/>
    <n v="8"/>
    <n v="1"/>
    <n v="40"/>
    <s v="Bananas #4 Color"/>
    <x v="8"/>
    <x v="1"/>
    <n v="320"/>
    <n v="145.14955840000002"/>
    <n v="0.374"/>
    <n v="54.285934841600003"/>
  </r>
  <r>
    <d v="2018-12-04T00:00:00"/>
    <s v="Royal"/>
    <n v="7"/>
    <n v="1"/>
    <n v="40"/>
    <s v="Bananas #4 Color"/>
    <x v="8"/>
    <x v="1"/>
    <n v="280"/>
    <n v="127.00586360000001"/>
    <n v="0.374"/>
    <n v="47.500192986400002"/>
  </r>
  <r>
    <d v="2018-12-05T00:00:00"/>
    <s v="Royal"/>
    <n v="8"/>
    <n v="1"/>
    <n v="40"/>
    <s v="Bananas #4 Color"/>
    <x v="8"/>
    <x v="1"/>
    <n v="320"/>
    <n v="145.14955840000002"/>
    <n v="0.374"/>
    <n v="54.285934841600003"/>
  </r>
  <r>
    <d v="2018-12-06T00:00:00"/>
    <s v="Royal"/>
    <n v="8"/>
    <n v="1"/>
    <n v="40"/>
    <s v="bananas #4 Color"/>
    <x v="8"/>
    <x v="1"/>
    <n v="320"/>
    <n v="145.14955840000002"/>
    <n v="0.374"/>
    <n v="54.285934841600003"/>
  </r>
  <r>
    <d v="2018-11-30T00:00:00"/>
    <s v="Royal"/>
    <n v="2"/>
    <n v="1"/>
    <n v="1"/>
    <s v="Herbs Basil"/>
    <x v="9"/>
    <x v="1"/>
    <n v="2"/>
    <n v="0.90718474000000004"/>
    <n v="0.221"/>
    <n v="0.20048782754000002"/>
  </r>
  <r>
    <d v="2018-12-01T00:00:00"/>
    <s v="Royal"/>
    <n v="3"/>
    <n v="1"/>
    <n v="1"/>
    <s v="Herbs Basil"/>
    <x v="9"/>
    <x v="1"/>
    <n v="3"/>
    <n v="1.3607771100000001"/>
    <n v="0.221"/>
    <n v="0.30073174131000002"/>
  </r>
  <r>
    <d v="2018-12-04T00:00:00"/>
    <s v="Royal"/>
    <n v="3"/>
    <n v="1"/>
    <n v="1"/>
    <s v="Herbs Basil"/>
    <x v="9"/>
    <x v="1"/>
    <n v="3"/>
    <n v="1.3607771100000001"/>
    <n v="0.221"/>
    <n v="0.30073174131000002"/>
  </r>
  <r>
    <d v="2018-11-30T00:00:00"/>
    <s v="Canned and dry goods"/>
    <n v="3"/>
    <n v="6"/>
    <n v="10"/>
    <s v="BEAN BLACK LOW SODIUM"/>
    <x v="10"/>
    <x v="1"/>
    <n v="180"/>
    <n v="81.646626600000005"/>
    <n v="0.308"/>
    <n v="25.1471609928"/>
  </r>
  <r>
    <d v="2018-12-05T00:00:00"/>
    <s v="Canned and dry goods"/>
    <n v="1"/>
    <n v="6"/>
    <n v="10"/>
    <s v="BEAN BLACK LOW SODIUM"/>
    <x v="10"/>
    <x v="1"/>
    <n v="60"/>
    <n v="27.215542200000002"/>
    <n v="0.308"/>
    <n v="8.3823869976000012"/>
  </r>
  <r>
    <d v="2018-11-30T00:00:00"/>
    <s v="Canned and dry goods"/>
    <n v="2"/>
    <n v="6"/>
    <n v="10"/>
    <s v="BEAN GREAT NRTHRN FCY"/>
    <x v="13"/>
    <x v="1"/>
    <n v="120"/>
    <n v="54.431084400000003"/>
    <n v="0.308"/>
    <n v="16.764773995200002"/>
  </r>
  <r>
    <d v="2018-11-30T00:00:00"/>
    <s v="Canned and dry goods"/>
    <n v="3"/>
    <n v="6"/>
    <n v="10"/>
    <s v="BEAN KIDNEY DK RED LOW SODIUM"/>
    <x v="14"/>
    <x v="1"/>
    <n v="180"/>
    <n v="81.646626600000005"/>
    <n v="0.308"/>
    <n v="25.1471609928"/>
  </r>
  <r>
    <d v="2018-12-05T00:00:00"/>
    <s v="Canned and dry goods"/>
    <n v="1"/>
    <n v="6"/>
    <n v="10"/>
    <s v="BEAN KIDNEY LIGHT RED"/>
    <x v="14"/>
    <x v="1"/>
    <n v="60"/>
    <n v="27.215542200000002"/>
    <n v="0.308"/>
    <n v="8.3823869976000012"/>
  </r>
  <r>
    <d v="2018-12-05T00:00:00"/>
    <s v="Canned and dry goods"/>
    <n v="1"/>
    <n v="1"/>
    <n v="20"/>
    <s v="BEAN PINTO DRIED MULTI-CLEAN"/>
    <x v="15"/>
    <x v="1"/>
    <n v="20"/>
    <n v="9.0718474000000011"/>
    <n v="0.308"/>
    <n v="2.7941289992000002"/>
  </r>
  <r>
    <d v="2018-11-30T00:00:00"/>
    <s v="Royal"/>
    <n v="2"/>
    <n v="1"/>
    <n v="10"/>
    <s v="Sugar Snap Pea Stringless"/>
    <x v="16"/>
    <x v="1"/>
    <n v="20"/>
    <n v="9.0718474000000011"/>
    <n v="0.754"/>
    <n v="6.8401729396000013"/>
  </r>
  <r>
    <d v="2018-12-05T00:00:00"/>
    <s v="Royal"/>
    <n v="3"/>
    <n v="1"/>
    <n v="10"/>
    <s v="Sugar Snap"/>
    <x v="16"/>
    <x v="1"/>
    <n v="30"/>
    <n v="13.607771100000001"/>
    <n v="0.754"/>
    <n v="10.260259409400001"/>
  </r>
  <r>
    <d v="2018-11-30T00:00:00"/>
    <s v="Royal"/>
    <n v="10"/>
    <n v="1"/>
    <n v="10"/>
    <s v="Beans Green Tip LOCAL"/>
    <x v="145"/>
    <x v="1"/>
    <n v="100"/>
    <n v="45.359237"/>
    <n v="0.66200000000000003"/>
    <n v="30.027814894000002"/>
  </r>
  <r>
    <d v="2018-12-03T00:00:00"/>
    <s v="Royal"/>
    <n v="10"/>
    <n v="1"/>
    <n v="10"/>
    <s v="Beans Green Tip LOCAL"/>
    <x v="145"/>
    <x v="1"/>
    <n v="100"/>
    <n v="45.359237"/>
    <n v="0.66200000000000003"/>
    <n v="30.027814894000002"/>
  </r>
  <r>
    <d v="2018-12-06T00:00:00"/>
    <s v="Royal"/>
    <n v="10"/>
    <n v="1"/>
    <n v="10"/>
    <s v="beans green Tip LOCAL"/>
    <x v="145"/>
    <x v="1"/>
    <n v="100"/>
    <n v="45.359237"/>
    <n v="0.66200000000000003"/>
    <n v="30.027814894000002"/>
  </r>
  <r>
    <d v="2018-12-05T00:00:00"/>
    <s v="Royal"/>
    <n v="2"/>
    <n v="1"/>
    <n v="20"/>
    <s v="Beans Edamame (No Shell)"/>
    <x v="175"/>
    <x v="1"/>
    <n v="40"/>
    <n v="18.143694800000002"/>
    <n v="1.1539999999999999"/>
    <n v="20.9378237992"/>
  </r>
  <r>
    <d v="2018-11-30T00:00:00"/>
    <s v="Royal"/>
    <n v="2"/>
    <n v="1"/>
    <n v="20"/>
    <s v="Beans Edamame (In Shell)"/>
    <x v="175"/>
    <x v="1"/>
    <n v="40"/>
    <n v="18.143694800000002"/>
    <n v="1.1539999999999999"/>
    <n v="20.9378237992"/>
  </r>
  <r>
    <d v="2018-10-26T00:00:00"/>
    <s v="Georgia Halal Meat"/>
    <n v="1"/>
    <n v="1"/>
    <n v="81.040000000000006"/>
    <s v="beef k"/>
    <x v="17"/>
    <x v="0"/>
    <n v="81.040000000000006"/>
    <n v="36.759125664800003"/>
    <n v="32.845999999999997"/>
    <n v="1207.3902415860207"/>
  </r>
  <r>
    <d v="2018-10-26T00:00:00"/>
    <s v="White Oak"/>
    <n v="1"/>
    <n v="1"/>
    <n v="120"/>
    <s v="beef patties"/>
    <x v="17"/>
    <x v="0"/>
    <n v="120"/>
    <n v="54.431084400000003"/>
    <n v="32.845999999999997"/>
    <n v="1787.8433982023998"/>
  </r>
  <r>
    <d v="2018-10-26T00:00:00"/>
    <s v="White Oak"/>
    <n v="1"/>
    <n v="1"/>
    <n v="40"/>
    <s v="beef ground"/>
    <x v="17"/>
    <x v="0"/>
    <n v="40"/>
    <n v="18.143694800000002"/>
    <n v="32.845999999999997"/>
    <n v="595.94779940080002"/>
  </r>
  <r>
    <d v="2018-10-26T00:00:00"/>
    <s v="White Oak"/>
    <n v="1"/>
    <n v="1"/>
    <n v="100"/>
    <s v="beef ground"/>
    <x v="17"/>
    <x v="0"/>
    <n v="100"/>
    <n v="45.359237"/>
    <n v="32.845999999999997"/>
    <n v="1489.8694985019999"/>
  </r>
  <r>
    <d v="2018-10-26T00:00:00"/>
    <s v="White Oak"/>
    <n v="1"/>
    <n v="1"/>
    <n v="240"/>
    <s v="beef patties"/>
    <x v="17"/>
    <x v="0"/>
    <n v="240"/>
    <n v="108.86216880000001"/>
    <n v="32.845999999999997"/>
    <n v="3575.6867964047997"/>
  </r>
  <r>
    <d v="2018-11-30T00:00:00"/>
    <s v="Meats"/>
    <n v="1"/>
    <n v="1"/>
    <n v="220.62"/>
    <s v="BEEF EYE OF RND HALAL IAP"/>
    <x v="17"/>
    <x v="0"/>
    <n v="220.62"/>
    <n v="100.0715486694"/>
    <n v="32.845999999999997"/>
    <n v="3286.9500875951121"/>
  </r>
  <r>
    <d v="2018-12-05T00:00:00"/>
    <s v="Meats"/>
    <n v="4"/>
    <n v="1"/>
    <n v="10"/>
    <s v="FRANK BEEF 8X1 F/C"/>
    <x v="17"/>
    <x v="0"/>
    <n v="40"/>
    <n v="18.143694800000002"/>
    <n v="32.845999999999997"/>
    <n v="595.94779940080002"/>
  </r>
  <r>
    <d v="2018-12-05T00:00:00"/>
    <s v="Meats"/>
    <n v="1"/>
    <n v="1"/>
    <n v="143.28"/>
    <s v="BEEF EYE OF RND HALAL IAP"/>
    <x v="17"/>
    <x v="0"/>
    <n v="143.28"/>
    <n v="64.990714773600004"/>
    <n v="32.845999999999997"/>
    <n v="2134.6850174536653"/>
  </r>
  <r>
    <d v="2018-12-04T00:00:00"/>
    <s v="Royal"/>
    <n v="1"/>
    <n v="1"/>
    <n v="25"/>
    <s v="Beets Red"/>
    <x v="160"/>
    <x v="1"/>
    <n v="25"/>
    <n v="11.33980925"/>
    <n v="0.19400000000000001"/>
    <n v="2.1999229945000001"/>
  </r>
  <r>
    <d v="2018-11-30T00:00:00"/>
    <s v="Frozen"/>
    <n v="4"/>
    <n v="40"/>
    <n v="0.25"/>
    <s v="BURGER VEG BEYOND PATTY"/>
    <x v="18"/>
    <x v="1"/>
    <n v="40"/>
    <n v="18.143694800000002"/>
    <n v="3.5270000000000001"/>
    <n v="63.992811559600007"/>
  </r>
  <r>
    <d v="2018-11-30T00:00:00"/>
    <s v="Frozen"/>
    <n v="2"/>
    <n v="2"/>
    <n v="5"/>
    <s v="STRIP CHICKEN-FREE LTY SEASON"/>
    <x v="19"/>
    <x v="1"/>
    <n v="20"/>
    <n v="9.0718474000000011"/>
    <n v="0"/>
    <n v="0"/>
  </r>
  <r>
    <d v="2018-11-30T00:00:00"/>
    <s v="Frozen"/>
    <n v="2"/>
    <n v="210"/>
    <s v="1.0.125"/>
    <s v="DOUGH BISCUIT SOUTHERN STY MIN"/>
    <x v="20"/>
    <x v="1"/>
    <n v="0"/>
    <n v="0"/>
    <n v="2.2999999999999998"/>
    <n v="0"/>
  </r>
  <r>
    <d v="2018-11-30T00:00:00"/>
    <s v="Frozen"/>
    <n v="4"/>
    <n v="48"/>
    <n v="0.18124999999999999"/>
    <s v="BURGER BLK BEAN SPCY"/>
    <x v="21"/>
    <x v="1"/>
    <n v="34.799999999999997"/>
    <n v="15.785014475999999"/>
    <n v="6.87"/>
    <n v="108.44304945012"/>
  </r>
  <r>
    <d v="2018-12-01T00:00:00"/>
    <s v="Royal"/>
    <n v="5"/>
    <n v="1"/>
    <n v="6"/>
    <s v="Blackberry"/>
    <x v="22"/>
    <x v="1"/>
    <n v="30"/>
    <n v="13.607771100000001"/>
    <n v="0.59899999999999998"/>
    <n v="8.151054888900001"/>
  </r>
  <r>
    <d v="2018-12-03T00:00:00"/>
    <s v="Royal"/>
    <n v="5"/>
    <n v="1"/>
    <n v="6"/>
    <s v="Blackberry"/>
    <x v="22"/>
    <x v="1"/>
    <n v="30"/>
    <n v="13.607771100000001"/>
    <n v="0.59899999999999998"/>
    <n v="8.151054888900001"/>
  </r>
  <r>
    <d v="2018-12-05T00:00:00"/>
    <s v="Royal"/>
    <n v="5"/>
    <n v="1"/>
    <n v="6"/>
    <s v="Blackberry Driscoll"/>
    <x v="22"/>
    <x v="1"/>
    <n v="30"/>
    <n v="13.607771100000001"/>
    <n v="0.59899999999999998"/>
    <n v="8.151054888900001"/>
  </r>
  <r>
    <d v="2018-12-06T00:00:00"/>
    <s v="Royal"/>
    <n v="5"/>
    <n v="1"/>
    <n v="6"/>
    <s v="Blackberry"/>
    <x v="22"/>
    <x v="1"/>
    <n v="30"/>
    <n v="13.607771100000001"/>
    <n v="0.59899999999999998"/>
    <n v="8.151054888900001"/>
  </r>
  <r>
    <d v="2018-12-04T00:00:00"/>
    <s v="Royal"/>
    <n v="2"/>
    <n v="1"/>
    <n v="30"/>
    <s v="Bok Choy"/>
    <x v="147"/>
    <x v="1"/>
    <n v="60"/>
    <n v="27.215542200000002"/>
    <n v="0.13400000000000001"/>
    <n v="3.6468826548000006"/>
  </r>
  <r>
    <d v="2018-11-30T00:00:00"/>
    <s v="Canned and dry goods"/>
    <n v="1"/>
    <n v="1"/>
    <n v="25"/>
    <s v="BREAD CRUMB JAP PANKO TOASTED"/>
    <x v="24"/>
    <x v="1"/>
    <n v="25"/>
    <n v="11.33980925"/>
    <n v="1.28"/>
    <n v="14.514955840000001"/>
  </r>
  <r>
    <d v="2018-12-05T00:00:00"/>
    <s v="Frozen"/>
    <n v="1"/>
    <n v="10"/>
    <n v="1"/>
    <s v="BREAD FOCACCIA QTR SHEET"/>
    <x v="24"/>
    <x v="1"/>
    <n v="10"/>
    <n v="4.5359237000000006"/>
    <n v="1.28"/>
    <n v="5.8059823360000005"/>
  </r>
  <r>
    <d v="2018-12-01T00:00:00"/>
    <s v="Royal"/>
    <n v="12"/>
    <n v="1"/>
    <n v="12"/>
    <s v="Broccoli Florets"/>
    <x v="25"/>
    <x v="1"/>
    <n v="144"/>
    <n v="65.317301279999995"/>
    <n v="0.79700000000000004"/>
    <n v="52.057889120159999"/>
  </r>
  <r>
    <d v="2018-12-03T00:00:00"/>
    <s v="Royal"/>
    <n v="10"/>
    <n v="1"/>
    <n v="12"/>
    <s v="Broccoli Florets"/>
    <x v="25"/>
    <x v="1"/>
    <n v="120"/>
    <n v="54.431084400000003"/>
    <n v="0.79700000000000004"/>
    <n v="43.381574266800001"/>
  </r>
  <r>
    <d v="2018-12-04T00:00:00"/>
    <s v="Royal"/>
    <n v="11"/>
    <n v="1"/>
    <n v="12"/>
    <s v="Broccoli Florets"/>
    <x v="25"/>
    <x v="1"/>
    <n v="132"/>
    <n v="59.874192840000006"/>
    <n v="0.79700000000000004"/>
    <n v="47.719731693480007"/>
  </r>
  <r>
    <d v="2018-12-05T00:00:00"/>
    <s v="Royal"/>
    <n v="8"/>
    <n v="1"/>
    <n v="12"/>
    <s v="Broccoli Florets"/>
    <x v="25"/>
    <x v="1"/>
    <n v="96"/>
    <n v="43.544867520000004"/>
    <n v="0.79700000000000004"/>
    <n v="34.705259413440004"/>
  </r>
  <r>
    <d v="2018-12-06T00:00:00"/>
    <s v="Royal"/>
    <n v="10"/>
    <n v="1"/>
    <n v="12"/>
    <s v="broccoli Florets"/>
    <x v="25"/>
    <x v="1"/>
    <n v="120"/>
    <n v="54.431084400000003"/>
    <n v="0.79700000000000004"/>
    <n v="43.381574266800001"/>
  </r>
  <r>
    <d v="2018-12-03T00:00:00"/>
    <s v="Royal"/>
    <n v="2"/>
    <n v="1"/>
    <n v="20"/>
    <s v="Pr Brussels Sprouts Halved"/>
    <x v="176"/>
    <x v="1"/>
    <n v="40"/>
    <n v="18.143694800000002"/>
    <n v="0.49"/>
    <n v="8.8904104520000011"/>
  </r>
  <r>
    <d v="2018-12-06T00:00:00"/>
    <s v="Royal"/>
    <n v="2"/>
    <n v="1"/>
    <n v="20"/>
    <s v="brussels Sprouts"/>
    <x v="176"/>
    <x v="1"/>
    <n v="40"/>
    <n v="18.143694800000002"/>
    <n v="0.49"/>
    <n v="8.8904104520000011"/>
  </r>
  <r>
    <d v="2018-11-30T00:00:00"/>
    <s v="Royal"/>
    <n v="10"/>
    <n v="1"/>
    <n v="25"/>
    <s v="Brussels Sprouts"/>
    <x v="148"/>
    <x v="1"/>
    <n v="250"/>
    <n v="113.3980925"/>
    <n v="0.49"/>
    <n v="55.565065324999999"/>
  </r>
  <r>
    <d v="2018-11-30T00:00:00"/>
    <s v="Royal"/>
    <n v="2"/>
    <n v="1"/>
    <n v="20"/>
    <s v="Pr Brussels Sprouts Halved"/>
    <x v="148"/>
    <x v="1"/>
    <n v="40"/>
    <n v="18.143694800000002"/>
    <n v="0.49"/>
    <n v="8.8904104520000011"/>
  </r>
  <r>
    <d v="2018-12-05T00:00:00"/>
    <s v="Frozen"/>
    <n v="2"/>
    <n v="12"/>
    <n v="1.3125"/>
    <s v="BUN HOAGIE WHT 6 HNGD HARTHBK"/>
    <x v="29"/>
    <x v="1"/>
    <n v="31.5"/>
    <n v="14.288159655000001"/>
    <n v="1.28"/>
    <n v="18.288844358400002"/>
  </r>
  <r>
    <d v="2018-11-30T00:00:00"/>
    <s v="Dairy Products"/>
    <n v="2"/>
    <n v="36"/>
    <n v="1"/>
    <s v="BUTTER SOLID UNSLTD USDA AA"/>
    <x v="30"/>
    <x v="2"/>
    <n v="72"/>
    <n v="32.658650639999998"/>
    <n v="11.52"/>
    <n v="376.22765537279997"/>
  </r>
  <r>
    <d v="2018-11-30T00:00:00"/>
    <s v="Royal"/>
    <n v="1"/>
    <n v="1"/>
    <n v="45"/>
    <s v="Cabbage Green Box"/>
    <x v="31"/>
    <x v="1"/>
    <n v="45"/>
    <n v="20.411656650000001"/>
    <n v="0.219"/>
    <n v="4.4701528063500007"/>
  </r>
  <r>
    <d v="2018-12-01T00:00:00"/>
    <s v="Royal"/>
    <n v="1"/>
    <n v="1"/>
    <n v="45"/>
    <s v="Cabbage Green Box"/>
    <x v="31"/>
    <x v="1"/>
    <n v="45"/>
    <n v="20.411656650000001"/>
    <n v="0.219"/>
    <n v="4.4701528063500007"/>
  </r>
  <r>
    <d v="2018-12-04T00:00:00"/>
    <s v="Royal"/>
    <n v="2"/>
    <n v="1"/>
    <n v="45"/>
    <s v="Cabbage Green Box"/>
    <x v="31"/>
    <x v="1"/>
    <n v="90"/>
    <n v="40.823313300000002"/>
    <n v="0.219"/>
    <n v="8.9403056127000013"/>
  </r>
  <r>
    <d v="2018-11-30T00:00:00"/>
    <s v="Canned and dry goods"/>
    <n v="4"/>
    <n v="1"/>
    <n v="35"/>
    <s v="OIL CANOLA PURE ZTF"/>
    <x v="32"/>
    <x v="1"/>
    <n v="140"/>
    <n v="63.502931800000006"/>
    <n v="2.6459999999999999"/>
    <n v="168.02875754280001"/>
  </r>
  <r>
    <d v="2018-11-30T00:00:00"/>
    <s v="Royal"/>
    <n v="6"/>
    <n v="1"/>
    <n v="27"/>
    <s v="Melon   Cantaloupe  9 Ct"/>
    <x v="33"/>
    <x v="1"/>
    <n v="162"/>
    <n v="73.48196394"/>
    <n v="0.49"/>
    <n v="36.006162330599999"/>
  </r>
  <r>
    <d v="2018-12-01T00:00:00"/>
    <s v="Royal"/>
    <n v="6"/>
    <n v="1"/>
    <n v="27"/>
    <s v="Melon   Cantaloupe  9 Ct"/>
    <x v="33"/>
    <x v="1"/>
    <n v="162"/>
    <n v="73.48196394"/>
    <n v="0.49"/>
    <n v="36.006162330599999"/>
  </r>
  <r>
    <d v="2018-12-03T00:00:00"/>
    <s v="Royal"/>
    <n v="5"/>
    <n v="1"/>
    <n v="27"/>
    <s v="Melon   Cantaloupe  9 Ct"/>
    <x v="33"/>
    <x v="1"/>
    <n v="135"/>
    <n v="61.23496995"/>
    <n v="0.49"/>
    <n v="30.005135275499999"/>
  </r>
  <r>
    <d v="2018-12-04T00:00:00"/>
    <s v="Royal"/>
    <n v="5"/>
    <n v="1"/>
    <n v="27"/>
    <s v="Melon   Cantaloupe  9 Ct"/>
    <x v="33"/>
    <x v="1"/>
    <n v="135"/>
    <n v="61.23496995"/>
    <n v="0.49"/>
    <n v="30.005135275499999"/>
  </r>
  <r>
    <d v="2018-12-06T00:00:00"/>
    <s v="Royal"/>
    <n v="8"/>
    <n v="1"/>
    <n v="27"/>
    <s v="Melon   Cantaloupe  9 Ct"/>
    <x v="33"/>
    <x v="1"/>
    <n v="216"/>
    <n v="97.975951920000014"/>
    <n v="0.49"/>
    <n v="48.008216440800005"/>
  </r>
  <r>
    <d v="2018-11-30T00:00:00"/>
    <s v="Royal"/>
    <n v="2"/>
    <n v="1"/>
    <n v="20"/>
    <s v="Pr Carrot Shred"/>
    <x v="34"/>
    <x v="1"/>
    <n v="40"/>
    <n v="18.143694800000002"/>
    <n v="9.1999999999999998E-2"/>
    <n v="1.6692199216000001"/>
  </r>
  <r>
    <d v="2018-12-01T00:00:00"/>
    <s v="Royal"/>
    <n v="2"/>
    <n v="1"/>
    <n v="50"/>
    <s v="Carrot"/>
    <x v="34"/>
    <x v="1"/>
    <n v="100"/>
    <n v="45.359237"/>
    <n v="9.1999999999999998E-2"/>
    <n v="4.1730498039999997"/>
  </r>
  <r>
    <d v="2018-12-01T00:00:00"/>
    <s v="Royal"/>
    <n v="2"/>
    <n v="1"/>
    <n v="20"/>
    <s v="Pr Carrot Shred"/>
    <x v="34"/>
    <x v="1"/>
    <n v="40"/>
    <n v="18.143694800000002"/>
    <n v="9.1999999999999998E-2"/>
    <n v="1.6692199216000001"/>
  </r>
  <r>
    <d v="2018-12-03T00:00:00"/>
    <s v="Royal"/>
    <n v="2"/>
    <n v="1"/>
    <n v="20"/>
    <s v="Pr Carrot Shred"/>
    <x v="34"/>
    <x v="1"/>
    <n v="40"/>
    <n v="18.143694800000002"/>
    <n v="9.1999999999999998E-2"/>
    <n v="1.6692199216000001"/>
  </r>
  <r>
    <d v="2018-12-04T00:00:00"/>
    <s v="Royal"/>
    <n v="1"/>
    <n v="1"/>
    <n v="50"/>
    <s v="Carrot"/>
    <x v="34"/>
    <x v="1"/>
    <n v="50"/>
    <n v="22.6796185"/>
    <n v="9.1999999999999998E-2"/>
    <n v="2.0865249019999998"/>
  </r>
  <r>
    <d v="2018-12-04T00:00:00"/>
    <s v="Royal"/>
    <n v="2"/>
    <n v="1"/>
    <n v="20"/>
    <s v="Pr Carrot Shred"/>
    <x v="34"/>
    <x v="1"/>
    <n v="40"/>
    <n v="18.143694800000002"/>
    <n v="9.1999999999999998E-2"/>
    <n v="1.6692199216000001"/>
  </r>
  <r>
    <d v="2018-12-05T00:00:00"/>
    <s v="Royal"/>
    <n v="1"/>
    <n v="1"/>
    <n v="20"/>
    <s v="Pr Carrot Shred"/>
    <x v="34"/>
    <x v="1"/>
    <n v="20"/>
    <n v="9.0718474000000011"/>
    <n v="9.1999999999999998E-2"/>
    <n v="0.83460996080000005"/>
  </r>
  <r>
    <d v="2018-12-06T00:00:00"/>
    <s v="Royal"/>
    <n v="2"/>
    <n v="1"/>
    <n v="20"/>
    <s v="carrot shred"/>
    <x v="34"/>
    <x v="1"/>
    <n v="40"/>
    <n v="18.143694800000002"/>
    <n v="9.1999999999999998E-2"/>
    <n v="1.6692199216000001"/>
  </r>
  <r>
    <d v="2018-11-30T00:00:00"/>
    <s v="Royal"/>
    <n v="10"/>
    <n v="1"/>
    <n v="12"/>
    <s v="Pr Cauliflower Florets FB"/>
    <x v="36"/>
    <x v="1"/>
    <n v="120"/>
    <n v="54.431084400000003"/>
    <n v="0.93400000000000005"/>
    <n v="50.838632829600009"/>
  </r>
  <r>
    <d v="2018-12-01T00:00:00"/>
    <s v="Royal"/>
    <n v="4"/>
    <n v="1"/>
    <n v="12"/>
    <s v="Pr Cauliflower Florets FB"/>
    <x v="36"/>
    <x v="1"/>
    <n v="48"/>
    <n v="21.772433760000002"/>
    <n v="0.93400000000000005"/>
    <n v="20.335453131840001"/>
  </r>
  <r>
    <d v="2018-12-03T00:00:00"/>
    <s v="Royal"/>
    <n v="6"/>
    <n v="1"/>
    <n v="12"/>
    <s v="Pr Cauliflower Florets FB"/>
    <x v="36"/>
    <x v="1"/>
    <n v="72"/>
    <n v="32.658650639999998"/>
    <n v="0.93400000000000005"/>
    <n v="30.50317969776"/>
  </r>
  <r>
    <d v="2018-12-04T00:00:00"/>
    <s v="Royal"/>
    <n v="2"/>
    <n v="1"/>
    <n v="12"/>
    <s v="Pr Cauliflower Florets FB"/>
    <x v="36"/>
    <x v="1"/>
    <n v="24"/>
    <n v="10.886216880000001"/>
    <n v="0.93400000000000005"/>
    <n v="10.167726565920001"/>
  </r>
  <r>
    <d v="2018-12-05T00:00:00"/>
    <s v="Royal"/>
    <n v="4"/>
    <n v="1"/>
    <n v="12"/>
    <s v="Pr Cauliflower Florets FB"/>
    <x v="36"/>
    <x v="1"/>
    <n v="48"/>
    <n v="21.772433760000002"/>
    <n v="0.93400000000000005"/>
    <n v="20.335453131840001"/>
  </r>
  <r>
    <d v="2018-12-06T00:00:00"/>
    <s v="Royal"/>
    <n v="8"/>
    <n v="1"/>
    <n v="12"/>
    <s v="cauliflower"/>
    <x v="36"/>
    <x v="1"/>
    <n v="96"/>
    <n v="43.544867520000004"/>
    <n v="0.93400000000000005"/>
    <n v="40.670906263680003"/>
  </r>
  <r>
    <d v="2018-11-30T00:00:00"/>
    <s v="Royal"/>
    <n v="1"/>
    <n v="1"/>
    <n v="36"/>
    <s v="Celery"/>
    <x v="37"/>
    <x v="1"/>
    <n v="36"/>
    <n v="16.329325319999999"/>
    <n v="0.33100000000000002"/>
    <n v="5.4050066809199997"/>
  </r>
  <r>
    <d v="2018-12-03T00:00:00"/>
    <s v="Royal"/>
    <n v="1"/>
    <n v="1"/>
    <n v="36"/>
    <s v="Celery"/>
    <x v="37"/>
    <x v="1"/>
    <n v="36"/>
    <n v="16.329325319999999"/>
    <n v="0.33100000000000002"/>
    <n v="5.4050066809199997"/>
  </r>
  <r>
    <d v="2018-12-04T00:00:00"/>
    <s v="Royal"/>
    <n v="1"/>
    <n v="1"/>
    <n v="36"/>
    <s v="Celery"/>
    <x v="37"/>
    <x v="1"/>
    <n v="36"/>
    <n v="16.329325319999999"/>
    <n v="0.33100000000000002"/>
    <n v="5.4050066809199997"/>
  </r>
  <r>
    <d v="2018-11-30T00:00:00"/>
    <s v="Canned and dry goods"/>
    <n v="2"/>
    <n v="4"/>
    <n v="30.3125"/>
    <s v="CEREAL LUCKY CHARMS GLUTN FR"/>
    <x v="38"/>
    <x v="1"/>
    <n v="242.5"/>
    <n v="109.99614972500001"/>
    <n v="1.61"/>
    <n v="177.09380105725003"/>
  </r>
  <r>
    <d v="2018-11-30T00:00:00"/>
    <s v="Canned and dry goods"/>
    <n v="2"/>
    <n v="4"/>
    <n v="40.3125"/>
    <s v="CEREAL CINN TST CRUN BULKPAK"/>
    <x v="38"/>
    <x v="1"/>
    <n v="322.5"/>
    <n v="146.28353932500002"/>
    <n v="1.61"/>
    <n v="235.51649831325005"/>
  </r>
  <r>
    <d v="2018-12-03T00:00:00"/>
    <s v="Canned and dry goods"/>
    <n v="1"/>
    <n v="4"/>
    <n v="1.8125"/>
    <s v="CEREAL CHEERIO GLUTEN FR"/>
    <x v="38"/>
    <x v="1"/>
    <n v="7.25"/>
    <n v="3.2885446825"/>
    <n v="1.61"/>
    <n v="5.294556938825"/>
  </r>
  <r>
    <d v="2018-12-03T00:00:00"/>
    <s v="Canned and dry goods"/>
    <n v="1"/>
    <n v="4"/>
    <n v="2.5"/>
    <s v="CEREAL FROSTED FLAKES"/>
    <x v="38"/>
    <x v="1"/>
    <n v="10"/>
    <n v="4.5359237000000006"/>
    <n v="1.61"/>
    <n v="7.3028371570000017"/>
  </r>
  <r>
    <d v="2018-12-03T00:00:00"/>
    <s v="Canned and dry goods"/>
    <n v="2"/>
    <n v="4"/>
    <n v="30.3125"/>
    <s v="CEREAL LUCKY CHARMS GLUTN FR"/>
    <x v="38"/>
    <x v="1"/>
    <n v="242.5"/>
    <n v="109.99614972500001"/>
    <n v="1.61"/>
    <n v="177.09380105725003"/>
  </r>
  <r>
    <d v="2018-12-03T00:00:00"/>
    <s v="Canned and dry goods"/>
    <n v="2"/>
    <n v="4"/>
    <n v="30.3125"/>
    <s v="CEREAL COCOA PUFFS BULKPAK"/>
    <x v="38"/>
    <x v="1"/>
    <n v="242.5"/>
    <n v="109.99614972500001"/>
    <n v="1.61"/>
    <n v="177.09380105725003"/>
  </r>
  <r>
    <d v="2018-12-03T00:00:00"/>
    <s v="Canned and dry goods"/>
    <n v="1"/>
    <n v="4"/>
    <n v="3.125"/>
    <s v="CEREAL GRANOLA OATSN HNY BLKPK"/>
    <x v="38"/>
    <x v="1"/>
    <n v="12.5"/>
    <n v="5.669904625"/>
    <n v="1.61"/>
    <n v="9.1285464462500006"/>
  </r>
  <r>
    <d v="2018-12-05T00:00:00"/>
    <s v="Canned and dry goods"/>
    <n v="1"/>
    <n v="4"/>
    <n v="1.8125"/>
    <s v="CEREAL CHEERIO GLUTEN FR"/>
    <x v="38"/>
    <x v="1"/>
    <n v="7.25"/>
    <n v="3.2885446825"/>
    <n v="1.61"/>
    <n v="5.294556938825"/>
  </r>
  <r>
    <d v="2018-12-05T00:00:00"/>
    <s v="Canned and dry goods"/>
    <n v="3"/>
    <n v="4"/>
    <n v="2.5"/>
    <s v="CEREAL FROSTED FLAKES"/>
    <x v="38"/>
    <x v="1"/>
    <n v="30"/>
    <n v="13.607771100000001"/>
    <n v="1.61"/>
    <n v="21.908511471000004"/>
  </r>
  <r>
    <d v="2018-12-05T00:00:00"/>
    <s v="Canned and dry goods"/>
    <n v="3"/>
    <n v="4"/>
    <n v="30.3125"/>
    <s v="CEREAL LUCKY CHARMS GLUTN FR"/>
    <x v="38"/>
    <x v="1"/>
    <n v="363.75"/>
    <n v="164.99422458750001"/>
    <n v="1.61"/>
    <n v="265.64070158587504"/>
  </r>
  <r>
    <d v="2018-12-05T00:00:00"/>
    <s v="Canned and dry goods"/>
    <n v="1"/>
    <n v="4"/>
    <n v="30.3125"/>
    <s v="CEREAL COCOA PUFFS BULKPAK"/>
    <x v="38"/>
    <x v="1"/>
    <n v="121.25"/>
    <n v="54.998074862500005"/>
    <n v="1.61"/>
    <n v="88.546900528625017"/>
  </r>
  <r>
    <d v="2018-12-05T00:00:00"/>
    <s v="Canned and dry goods"/>
    <n v="4"/>
    <n v="4"/>
    <n v="40.3125"/>
    <s v="CEREAL CINN TST CRUN BULKPAK"/>
    <x v="38"/>
    <x v="1"/>
    <n v="645"/>
    <n v="292.56707865000004"/>
    <n v="1.61"/>
    <n v="471.03299662650011"/>
  </r>
  <r>
    <d v="2018-12-05T00:00:00"/>
    <s v="Canned and dry goods"/>
    <n v="1"/>
    <n v="4"/>
    <n v="3.125"/>
    <s v="CEREAL GRANOLA OATSN HNY BLKPK"/>
    <x v="38"/>
    <x v="1"/>
    <n v="12.5"/>
    <n v="5.669904625"/>
    <n v="1.61"/>
    <n v="9.1285464462500006"/>
  </r>
  <r>
    <d v="2018-11-30T00:00:00"/>
    <s v="Canned and dry goods"/>
    <n v="2"/>
    <n v="4"/>
    <n v="30.0625"/>
    <s v="CEREAL APPLE JACKS"/>
    <x v="39"/>
    <x v="1"/>
    <n v="240.5"/>
    <n v="109.088964985"/>
    <n v="1.61"/>
    <n v="175.63323362585001"/>
  </r>
  <r>
    <d v="2018-11-30T00:00:00"/>
    <s v="Canned and dry goods"/>
    <n v="2"/>
    <n v="4"/>
    <n v="2.5"/>
    <s v="CEREAL FROSTED FLAKES"/>
    <x v="40"/>
    <x v="1"/>
    <n v="20"/>
    <n v="9.0718474000000011"/>
    <n v="1.61"/>
    <n v="14.605674314000003"/>
  </r>
  <r>
    <d v="2018-11-30T00:00:00"/>
    <s v="Canned and dry goods"/>
    <n v="4"/>
    <n v="4"/>
    <n v="3.125"/>
    <s v="CEREAL GRANOLA OATSN HNY BLKPK"/>
    <x v="41"/>
    <x v="1"/>
    <n v="50"/>
    <n v="22.6796185"/>
    <n v="1.61"/>
    <n v="36.514185785000002"/>
  </r>
  <r>
    <d v="2018-11-30T00:00:00"/>
    <s v="Dairy Products"/>
    <n v="2"/>
    <n v="6"/>
    <n v="1"/>
    <s v="CHEESE MOZZ FRSH SLI 18 CT"/>
    <x v="42"/>
    <x v="2"/>
    <n v="12"/>
    <n v="5.4431084400000005"/>
    <n v="9.9740000000000002"/>
    <n v="54.289563580560007"/>
  </r>
  <r>
    <d v="2018-11-30T00:00:00"/>
    <s v="Dairy Products"/>
    <n v="2"/>
    <n v="6"/>
    <n v="3"/>
    <s v="CHEESE CREAM ORIG LOAF"/>
    <x v="42"/>
    <x v="2"/>
    <n v="36"/>
    <n v="16.329325319999999"/>
    <n v="9.9740000000000002"/>
    <n v="162.86869074167998"/>
  </r>
  <r>
    <d v="2018-11-30T00:00:00"/>
    <s v="Dairy Products"/>
    <n v="2"/>
    <n v="4"/>
    <n v="5"/>
    <s v="CHEESE COTTAGE SMALL CURD 4%"/>
    <x v="42"/>
    <x v="2"/>
    <n v="40"/>
    <n v="18.143694800000002"/>
    <n v="9.9740000000000002"/>
    <n v="180.96521193520002"/>
  </r>
  <r>
    <d v="2018-11-30T00:00:00"/>
    <s v="Dairy Products"/>
    <n v="15"/>
    <n v="4"/>
    <n v="5"/>
    <s v="CHEESE MOZZ FTHR SHRD WHL MILK"/>
    <x v="42"/>
    <x v="2"/>
    <n v="300"/>
    <n v="136.07771100000002"/>
    <n v="9.9740000000000002"/>
    <n v="1357.2390895140002"/>
  </r>
  <r>
    <d v="2018-11-30T00:00:00"/>
    <s v="Dairy Products"/>
    <n v="1"/>
    <n v="4"/>
    <n v="5"/>
    <s v="CHEESE AMER YEL 160 SLI"/>
    <x v="42"/>
    <x v="2"/>
    <n v="20"/>
    <n v="9.0718474000000011"/>
    <n v="9.9740000000000002"/>
    <n v="90.482605967600009"/>
  </r>
  <r>
    <d v="2018-11-30T00:00:00"/>
    <s v="Dairy Products"/>
    <n v="4"/>
    <n v="4"/>
    <n v="5"/>
    <s v="CHEESE CHDR MILD FTHR SHRD"/>
    <x v="42"/>
    <x v="2"/>
    <n v="80"/>
    <n v="36.287389600000004"/>
    <n v="9.9740000000000002"/>
    <n v="361.93042387040003"/>
  </r>
  <r>
    <d v="2018-11-30T00:00:00"/>
    <s v="Dairy Products"/>
    <n v="3"/>
    <n v="4"/>
    <n v="5"/>
    <s v="CHEESE BLUE CRUMBLE"/>
    <x v="42"/>
    <x v="2"/>
    <n v="60"/>
    <n v="27.215542200000002"/>
    <n v="9.9740000000000002"/>
    <n v="271.44781790280001"/>
  </r>
  <r>
    <d v="2018-11-30T00:00:00"/>
    <s v="Dairy Products"/>
    <n v="2"/>
    <n v="4"/>
    <n v="2.5"/>
    <s v="CHEESE SWISS SLI .0.3125"/>
    <x v="42"/>
    <x v="2"/>
    <n v="20"/>
    <n v="9.0718474000000011"/>
    <n v="9.9740000000000002"/>
    <n v="90.482605967600009"/>
  </r>
  <r>
    <d v="2018-11-30T00:00:00"/>
    <s v="Dairy Products"/>
    <n v="2"/>
    <n v="4"/>
    <n v="2.5"/>
    <s v="CHEESE PEPPER JACK SLI .70.3125"/>
    <x v="42"/>
    <x v="2"/>
    <n v="20"/>
    <n v="9.0718474000000011"/>
    <n v="9.9740000000000002"/>
    <n v="90.482605967600009"/>
  </r>
  <r>
    <d v="2018-11-30T00:00:00"/>
    <s v="Dairy Products"/>
    <n v="2"/>
    <n v="8"/>
    <n v="1.25"/>
    <s v="CHEESE CHDR MILD SLI .0.3125"/>
    <x v="42"/>
    <x v="2"/>
    <n v="20"/>
    <n v="9.0718474000000011"/>
    <n v="9.9740000000000002"/>
    <n v="90.482605967600009"/>
  </r>
  <r>
    <d v="2018-11-30T00:00:00"/>
    <s v="Dairy Products"/>
    <n v="2"/>
    <n v="4"/>
    <n v="2.5"/>
    <s v="CHEESE PROVOLONE SLI .0.3125"/>
    <x v="42"/>
    <x v="2"/>
    <n v="20"/>
    <n v="9.0718474000000011"/>
    <n v="9.9740000000000002"/>
    <n v="90.482605967600009"/>
  </r>
  <r>
    <d v="2018-11-30T00:00:00"/>
    <s v="Dairy Products"/>
    <n v="1"/>
    <n v="2"/>
    <n v="5"/>
    <s v="CHEESE PARM GRATED PURE"/>
    <x v="42"/>
    <x v="2"/>
    <n v="10"/>
    <n v="4.5359237000000006"/>
    <n v="9.9740000000000002"/>
    <n v="45.241302983800004"/>
  </r>
  <r>
    <d v="2018-11-30T00:00:00"/>
    <s v="Dairy Products"/>
    <n v="1"/>
    <n v="6"/>
    <n v="2"/>
    <s v="CHEESE PARM FANCY SHRED"/>
    <x v="42"/>
    <x v="2"/>
    <n v="12"/>
    <n v="5.4431084400000005"/>
    <n v="9.9740000000000002"/>
    <n v="54.289563580560007"/>
  </r>
  <r>
    <d v="2018-11-30T00:00:00"/>
    <s v="Dairy Products"/>
    <n v="1"/>
    <n v="6"/>
    <n v="3"/>
    <s v="CHEESE RICOTTA WHL MLK CLS"/>
    <x v="42"/>
    <x v="2"/>
    <n v="18"/>
    <n v="8.1646626599999994"/>
    <n v="9.9740000000000002"/>
    <n v="81.434345370839992"/>
  </r>
  <r>
    <d v="2018-12-03T00:00:00"/>
    <s v="Dairy Products"/>
    <n v="4"/>
    <n v="4"/>
    <n v="5"/>
    <s v="CHEESE CHDR MILD FTHR SHRD"/>
    <x v="42"/>
    <x v="2"/>
    <n v="80"/>
    <n v="36.287389600000004"/>
    <n v="9.9740000000000002"/>
    <n v="361.93042387040003"/>
  </r>
  <r>
    <d v="2018-12-03T00:00:00"/>
    <s v="Dairy Products"/>
    <n v="6"/>
    <n v="4"/>
    <n v="5"/>
    <s v="CHEESE MOZZ FTHR SHRD PART SKM"/>
    <x v="42"/>
    <x v="2"/>
    <n v="120"/>
    <n v="54.431084400000003"/>
    <n v="9.9740000000000002"/>
    <n v="542.89563580560002"/>
  </r>
  <r>
    <d v="2018-12-03T00:00:00"/>
    <s v="Dairy Products"/>
    <n v="3"/>
    <n v="2"/>
    <n v="5"/>
    <s v="CHEESE PARM GRATED PURE"/>
    <x v="42"/>
    <x v="2"/>
    <n v="30"/>
    <n v="13.607771100000001"/>
    <n v="9.9740000000000002"/>
    <n v="135.72390895140001"/>
  </r>
  <r>
    <d v="2018-12-05T00:00:00"/>
    <s v="Dairy Products"/>
    <n v="1"/>
    <n v="10"/>
    <n v="3"/>
    <s v="CHEESE CREAM LOAF"/>
    <x v="42"/>
    <x v="2"/>
    <n v="30"/>
    <n v="13.607771100000001"/>
    <n v="9.9740000000000002"/>
    <n v="135.72390895140001"/>
  </r>
  <r>
    <d v="2018-12-05T00:00:00"/>
    <s v="Dairy Products"/>
    <n v="2"/>
    <n v="4"/>
    <n v="5"/>
    <s v="CHEESE AMER YEL 160 SLI"/>
    <x v="42"/>
    <x v="2"/>
    <n v="40"/>
    <n v="18.143694800000002"/>
    <n v="9.9740000000000002"/>
    <n v="180.96521193520002"/>
  </r>
  <r>
    <d v="2018-12-05T00:00:00"/>
    <s v="Dairy Products"/>
    <n v="2"/>
    <n v="4"/>
    <n v="5"/>
    <s v="CHEESE CHDR MILD FTHR SHRD"/>
    <x v="42"/>
    <x v="2"/>
    <n v="40"/>
    <n v="18.143694800000002"/>
    <n v="9.9740000000000002"/>
    <n v="180.96521193520002"/>
  </r>
  <r>
    <d v="2018-12-05T00:00:00"/>
    <s v="Dairy Products"/>
    <n v="5"/>
    <n v="4"/>
    <n v="5"/>
    <s v="CHEESE MOZZ FTHR SHRD PART SKM"/>
    <x v="42"/>
    <x v="2"/>
    <n v="100"/>
    <n v="45.359237"/>
    <n v="9.9740000000000002"/>
    <n v="452.413029838"/>
  </r>
  <r>
    <d v="2018-12-05T00:00:00"/>
    <s v="Dairy Products"/>
    <n v="1"/>
    <n v="4"/>
    <n v="2.5"/>
    <s v="CHEESE SWISS SLI .0.3125"/>
    <x v="42"/>
    <x v="2"/>
    <n v="10"/>
    <n v="4.5359237000000006"/>
    <n v="9.9740000000000002"/>
    <n v="45.241302983800004"/>
  </r>
  <r>
    <d v="2018-12-05T00:00:00"/>
    <s v="Dairy Products"/>
    <n v="1"/>
    <n v="8"/>
    <n v="1.25"/>
    <s v="CHEESE CHDR MILD SLI .0.3125"/>
    <x v="42"/>
    <x v="2"/>
    <n v="10"/>
    <n v="4.5359237000000006"/>
    <n v="9.9740000000000002"/>
    <n v="45.241302983800004"/>
  </r>
  <r>
    <d v="2018-12-05T00:00:00"/>
    <s v="Dairy Products"/>
    <n v="2"/>
    <n v="4"/>
    <n v="2.5"/>
    <s v="CHEESE PROVOLONE SLI .0.3125"/>
    <x v="42"/>
    <x v="2"/>
    <n v="20"/>
    <n v="9.0718474000000011"/>
    <n v="9.9740000000000002"/>
    <n v="90.482605967600009"/>
  </r>
  <r>
    <d v="2018-10-26T00:00:00"/>
    <s v="Georgia Halal Meat"/>
    <n v="1"/>
    <n v="1"/>
    <n v="80"/>
    <s v="chicken breast"/>
    <x v="43"/>
    <x v="0"/>
    <n v="80"/>
    <n v="36.287389600000004"/>
    <n v="4.1879999999999997"/>
    <n v="151.9715876448"/>
  </r>
  <r>
    <d v="2018-10-30T00:00:00"/>
    <s v="Georgia Halal Meat"/>
    <n v="1"/>
    <n v="1"/>
    <n v="280"/>
    <s v="chicken breast"/>
    <x v="43"/>
    <x v="0"/>
    <n v="280"/>
    <n v="127.00586360000001"/>
    <n v="4.1879999999999997"/>
    <n v="531.90055675680003"/>
  </r>
  <r>
    <d v="2018-12-06T00:00:00"/>
    <s v="Inland Seafood"/>
    <n v="15"/>
    <n v="1"/>
    <n v="20"/>
    <s v="chicken breast filet"/>
    <x v="43"/>
    <x v="0"/>
    <n v="300"/>
    <n v="136.07771100000002"/>
    <n v="4.1879999999999997"/>
    <n v="569.89345366800001"/>
  </r>
  <r>
    <d v="2018-12-06T00:00:00"/>
    <s v="Inland Seafood"/>
    <n v="15"/>
    <n v="1"/>
    <n v="20"/>
    <s v="chicken skinless boneless thighs"/>
    <x v="43"/>
    <x v="0"/>
    <n v="300"/>
    <n v="136.07771100000002"/>
    <n v="4.1879999999999997"/>
    <n v="569.89345366800001"/>
  </r>
  <r>
    <d v="2018-12-03T00:00:00"/>
    <s v="Inland Seafood"/>
    <n v="15"/>
    <n v="1"/>
    <n v="20"/>
    <s v="chicken breast filet"/>
    <x v="43"/>
    <x v="0"/>
    <n v="300"/>
    <n v="136.07771100000002"/>
    <n v="4.1879999999999997"/>
    <n v="569.89345366800001"/>
  </r>
  <r>
    <d v="2018-12-03T00:00:00"/>
    <s v="Inland Seafood"/>
    <n v="15"/>
    <n v="1"/>
    <n v="20"/>
    <s v="chicken skinless boneless thighs"/>
    <x v="43"/>
    <x v="0"/>
    <n v="300"/>
    <n v="136.07771100000002"/>
    <n v="4.1879999999999997"/>
    <n v="569.89345366800001"/>
  </r>
  <r>
    <d v="2018-12-03T00:00:00"/>
    <s v="Inland Seafood"/>
    <n v="16"/>
    <n v="1"/>
    <n v="20"/>
    <s v="chicken bone in thighs"/>
    <x v="43"/>
    <x v="0"/>
    <n v="320"/>
    <n v="145.14955840000002"/>
    <n v="4.1879999999999997"/>
    <n v="607.88635057919998"/>
  </r>
  <r>
    <d v="2018-12-03T00:00:00"/>
    <s v="Inland Seafood"/>
    <n v="4"/>
    <n v="1"/>
    <n v="40"/>
    <s v="chicken breast chunk"/>
    <x v="43"/>
    <x v="0"/>
    <n v="160"/>
    <n v="72.574779200000009"/>
    <n v="4.1879999999999997"/>
    <n v="303.94317528959999"/>
  </r>
  <r>
    <d v="2018-12-04T00:00:00"/>
    <s v="Inland Seafood"/>
    <n v="15"/>
    <n v="1"/>
    <n v="20"/>
    <s v="chicken breast filet"/>
    <x v="43"/>
    <x v="0"/>
    <n v="300"/>
    <n v="136.07771100000002"/>
    <n v="4.1879999999999997"/>
    <n v="569.89345366800001"/>
  </r>
  <r>
    <d v="2018-12-05T00:00:00"/>
    <s v="Inland Seafood"/>
    <n v="15"/>
    <n v="1"/>
    <n v="20"/>
    <s v="chicken breast filet"/>
    <x v="43"/>
    <x v="0"/>
    <n v="300"/>
    <n v="136.07771100000002"/>
    <n v="4.1879999999999997"/>
    <n v="569.89345366800001"/>
  </r>
  <r>
    <d v="2018-12-05T00:00:00"/>
    <s v="Inland Seafood"/>
    <n v="15"/>
    <n v="1"/>
    <n v="20"/>
    <s v="chicken bone in thighs"/>
    <x v="43"/>
    <x v="0"/>
    <n v="300"/>
    <n v="136.07771100000002"/>
    <n v="4.1879999999999997"/>
    <n v="569.89345366800001"/>
  </r>
  <r>
    <d v="2018-12-05T00:00:00"/>
    <s v="Inland Seafood"/>
    <n v="1"/>
    <n v="1"/>
    <n v="20"/>
    <s v="chicken drumsticks"/>
    <x v="43"/>
    <x v="0"/>
    <n v="20"/>
    <n v="9.0718474000000011"/>
    <n v="4.1879999999999997"/>
    <n v="37.992896911199999"/>
  </r>
  <r>
    <d v="2018-12-05T00:00:00"/>
    <s v="Inland Seafood"/>
    <n v="1"/>
    <n v="1"/>
    <n v="40"/>
    <s v="chicken breast chunk"/>
    <x v="43"/>
    <x v="0"/>
    <n v="40"/>
    <n v="18.143694800000002"/>
    <n v="4.1879999999999997"/>
    <n v="75.985793822399998"/>
  </r>
  <r>
    <d v="2018-11-30T00:00:00"/>
    <s v="Canned and dry goods"/>
    <n v="8"/>
    <n v="6"/>
    <n v="10"/>
    <s v="BEAN GARBANZO LOW SODIUM"/>
    <x v="44"/>
    <x v="1"/>
    <n v="480"/>
    <n v="217.72433760000001"/>
    <n v="0.49099999999999999"/>
    <n v="106.9026497616"/>
  </r>
  <r>
    <d v="2018-12-05T00:00:00"/>
    <s v="Canned and dry goods"/>
    <n v="3"/>
    <n v="6"/>
    <n v="10"/>
    <s v="BEAN GARBANZO LOW SODIUM"/>
    <x v="44"/>
    <x v="1"/>
    <n v="180"/>
    <n v="81.646626600000005"/>
    <n v="0.49099999999999999"/>
    <n v="40.088493660600001"/>
  </r>
  <r>
    <d v="2018-11-30T00:00:00"/>
    <s v="Frozen"/>
    <n v="11"/>
    <n v="100"/>
    <n v="0.16250000000000001"/>
    <s v="CHURRO PRFRD MEXICAN PASTRY"/>
    <x v="46"/>
    <x v="1"/>
    <n v="178.75"/>
    <n v="81.079636137500003"/>
    <n v="1.2"/>
    <n v="97.295563365000007"/>
  </r>
  <r>
    <d v="2018-11-30T00:00:00"/>
    <s v="Royal"/>
    <n v="1"/>
    <n v="1"/>
    <n v="5.25"/>
    <s v="Cilantro"/>
    <x v="47"/>
    <x v="1"/>
    <n v="5.25"/>
    <n v="2.3813599425"/>
    <n v="0.26100000000000001"/>
    <n v="0.62153494499250006"/>
  </r>
  <r>
    <d v="2018-12-03T00:00:00"/>
    <s v="Royal"/>
    <n v="1"/>
    <n v="1"/>
    <n v="5.25"/>
    <s v="Cilantro"/>
    <x v="47"/>
    <x v="1"/>
    <n v="5.25"/>
    <n v="2.3813599425"/>
    <n v="0.26100000000000001"/>
    <n v="0.62153494499250006"/>
  </r>
  <r>
    <d v="2018-12-04T00:00:00"/>
    <s v="Royal"/>
    <n v="1"/>
    <n v="1"/>
    <n v="5.25"/>
    <s v="Cilantro"/>
    <x v="47"/>
    <x v="1"/>
    <n v="5.25"/>
    <n v="2.3813599425"/>
    <n v="0.26100000000000001"/>
    <n v="0.62153494499250006"/>
  </r>
  <r>
    <d v="2018-12-05T00:00:00"/>
    <s v="Canned and dry goods"/>
    <n v="1"/>
    <n v="6"/>
    <s v="50 CT"/>
    <s v="COCOA MIX INDIV"/>
    <x v="48"/>
    <x v="1"/>
    <n v="0"/>
    <n v="0"/>
    <n v="33.646999999999998"/>
    <n v="0"/>
  </r>
  <r>
    <d v="2018-10-30T00:00:00"/>
    <s v="Café Campesino"/>
    <n v="1"/>
    <n v="1"/>
    <n v="10"/>
    <s v="coffee medium blend"/>
    <x v="164"/>
    <x v="1"/>
    <n v="10"/>
    <n v="4.5359237000000006"/>
    <n v="6.2789999999999999"/>
    <n v="28.481064912300003"/>
  </r>
  <r>
    <d v="2018-10-30T00:00:00"/>
    <s v="Café Campesino"/>
    <n v="1"/>
    <n v="1"/>
    <n v="5"/>
    <s v="cofee decaf "/>
    <x v="164"/>
    <x v="1"/>
    <n v="5"/>
    <n v="2.2679618500000003"/>
    <n v="6.2789999999999999"/>
    <n v="14.240532456150001"/>
  </r>
  <r>
    <d v="2018-11-30T00:00:00"/>
    <s v="Royal"/>
    <n v="2"/>
    <n v="1"/>
    <n v="10"/>
    <s v="Pr Collards Cleaned-Chopped LOCAL"/>
    <x v="151"/>
    <x v="1"/>
    <n v="20"/>
    <n v="9.0718474000000011"/>
    <n v="0.20599999999999999"/>
    <n v="1.8688005644000001"/>
  </r>
  <r>
    <d v="2018-12-01T00:00:00"/>
    <s v="Royal"/>
    <n v="2"/>
    <n v="1"/>
    <n v="10"/>
    <s v="Pr Collards Cleaned-Chopped LOCAL"/>
    <x v="151"/>
    <x v="1"/>
    <n v="20"/>
    <n v="9.0718474000000011"/>
    <n v="0.20599999999999999"/>
    <n v="1.8688005644000001"/>
  </r>
  <r>
    <d v="2018-12-04T00:00:00"/>
    <s v="Royal"/>
    <n v="4"/>
    <n v="1"/>
    <n v="10"/>
    <s v="Pr Collards Cleaned-Chopped LOCAL"/>
    <x v="151"/>
    <x v="1"/>
    <n v="40"/>
    <n v="18.143694800000002"/>
    <n v="0.20599999999999999"/>
    <n v="3.7376011288000002"/>
  </r>
  <r>
    <d v="2018-11-30T00:00:00"/>
    <s v="Canned and dry goods"/>
    <n v="4"/>
    <n v="2"/>
    <n v="14.385"/>
    <s v="KETCHUP FANCY POUCH DISPENSER"/>
    <x v="50"/>
    <x v="1"/>
    <n v="115.08"/>
    <n v="52.199409939600002"/>
    <n v="3.33"/>
    <n v="173.82403509886802"/>
  </r>
  <r>
    <d v="2018-12-03T00:00:00"/>
    <s v="Canned and dry goods"/>
    <n v="1"/>
    <n v="6"/>
    <n v="7.125"/>
    <s v="KETCHUP POUCH-PK FCY (= 6/10)"/>
    <x v="50"/>
    <x v="1"/>
    <n v="42.75"/>
    <n v="19.391073817500001"/>
    <n v="3.33"/>
    <n v="64.572275812275009"/>
  </r>
  <r>
    <d v="2018-12-05T00:00:00"/>
    <s v="Canned and dry goods"/>
    <n v="2"/>
    <n v="6"/>
    <n v="7.125"/>
    <s v="KETCHUP POUCH-PK FCY (= 6/10)"/>
    <x v="50"/>
    <x v="1"/>
    <n v="85.5"/>
    <n v="38.782147635000001"/>
    <n v="3.33"/>
    <n v="129.14455162455002"/>
  </r>
  <r>
    <d v="2018-11-30T00:00:00"/>
    <s v="Canned and dry goods"/>
    <n v="2"/>
    <n v="2"/>
    <n v="6.5625"/>
    <s v="MUSTARD DIJON PLS JUG"/>
    <x v="50"/>
    <x v="1"/>
    <n v="26.25"/>
    <n v="11.9067997125"/>
    <n v="3.33"/>
    <n v="39.649643042625001"/>
  </r>
  <r>
    <d v="2018-12-05T00:00:00"/>
    <s v="Canned and dry goods"/>
    <n v="1"/>
    <n v="4"/>
    <n v="6.5625"/>
    <s v="MUSTARD YELLOW PLS JUG"/>
    <x v="50"/>
    <x v="1"/>
    <n v="26.25"/>
    <n v="11.9067997125"/>
    <n v="3.33"/>
    <n v="39.649643042625001"/>
  </r>
  <r>
    <d v="2018-11-30T00:00:00"/>
    <s v="Canned and dry goods"/>
    <n v="1"/>
    <n v="6"/>
    <n v="5"/>
    <s v="SAUCE HOISIN"/>
    <x v="50"/>
    <x v="1"/>
    <n v="30"/>
    <n v="13.607771100000001"/>
    <n v="3.33"/>
    <n v="45.313877763000001"/>
  </r>
  <r>
    <d v="2018-12-03T00:00:00"/>
    <s v="Canned and dry goods"/>
    <n v="1"/>
    <n v="4"/>
    <n v="11.480799999999999"/>
    <s v="SAUCE SOY SWEET"/>
    <x v="50"/>
    <x v="1"/>
    <n v="45.923199999999994"/>
    <n v="20.830413125983998"/>
    <n v="3.33"/>
    <n v="69.365275709526713"/>
  </r>
  <r>
    <d v="2018-12-03T00:00:00"/>
    <s v="Canned and dry goods"/>
    <n v="1"/>
    <n v="12"/>
    <n v="1.5625"/>
    <s v="SAUCE CHILI SWEET THAI"/>
    <x v="50"/>
    <x v="1"/>
    <n v="18.75"/>
    <n v="8.5048569375000014"/>
    <n v="3.33"/>
    <n v="28.321173601875007"/>
  </r>
  <r>
    <d v="2018-12-03T00:00:00"/>
    <s v="Canned and dry goods"/>
    <n v="1"/>
    <n v="4"/>
    <n v="11.480799999999999"/>
    <s v="SAUCE SOY LESS SODIUM"/>
    <x v="50"/>
    <x v="1"/>
    <n v="45.923199999999994"/>
    <n v="20.830413125983998"/>
    <n v="3.33"/>
    <n v="69.365275709526713"/>
  </r>
  <r>
    <d v="2018-12-03T00:00:00"/>
    <s v="Canned and dry goods"/>
    <n v="2"/>
    <n v="4"/>
    <n v="13.198399999999998"/>
    <s v="SAUCE PEPPER CAYENNE RED HOT"/>
    <x v="50"/>
    <x v="1"/>
    <n v="105.58719999999998"/>
    <n v="47.893548289663997"/>
    <n v="3.33"/>
    <n v="159.48551580458113"/>
  </r>
  <r>
    <d v="2018-12-05T00:00:00"/>
    <s v="Canned and dry goods"/>
    <n v="1"/>
    <n v="24"/>
    <n v="0.3125"/>
    <s v="SAUCE PEPPER CAYENNE RED HOT"/>
    <x v="50"/>
    <x v="1"/>
    <n v="7.5"/>
    <n v="3.4019427750000002"/>
    <n v="3.33"/>
    <n v="11.32846944075"/>
  </r>
  <r>
    <d v="2018-12-05T00:00:00"/>
    <s v="Canned and dry goods"/>
    <n v="1"/>
    <n v="24"/>
    <n v="0.375"/>
    <s v="SAUCE HOT"/>
    <x v="50"/>
    <x v="1"/>
    <n v="9"/>
    <n v="4.0823313299999997"/>
    <n v="3.33"/>
    <n v="13.594163328899999"/>
  </r>
  <r>
    <d v="2018-12-05T00:00:00"/>
    <s v="Canned and dry goods"/>
    <n v="1"/>
    <n v="12"/>
    <n v="1.5625"/>
    <s v="SAUCE CHILI SWEET THAI"/>
    <x v="50"/>
    <x v="1"/>
    <n v="18.75"/>
    <n v="8.5048569375000014"/>
    <n v="3.33"/>
    <n v="28.321173601875007"/>
  </r>
  <r>
    <d v="2018-12-05T00:00:00"/>
    <s v="Canned and dry goods"/>
    <n v="1"/>
    <n v="12"/>
    <n v="10.4375"/>
    <s v="SAUCE CHILI SRIRACHA"/>
    <x v="50"/>
    <x v="1"/>
    <n v="125.25"/>
    <n v="56.812444342500001"/>
    <n v="3.33"/>
    <n v="189.18543966052502"/>
  </r>
  <r>
    <d v="2018-11-30T00:00:00"/>
    <s v="Canned and dry goods"/>
    <n v="4"/>
    <n v="4"/>
    <n v="7.79"/>
    <s v="MAYONNAISE REAL"/>
    <x v="51"/>
    <x v="2"/>
    <n v="124.64"/>
    <n v="56.535752996799999"/>
    <n v="3.33"/>
    <n v="188.26405747934399"/>
  </r>
  <r>
    <d v="2018-12-05T00:00:00"/>
    <s v="Canned and dry goods"/>
    <n v="3"/>
    <n v="4"/>
    <n v="7.79"/>
    <s v="MAYONNAISE REAL"/>
    <x v="51"/>
    <x v="2"/>
    <n v="93.48"/>
    <n v="42.4018147476"/>
    <n v="3.33"/>
    <n v="141.19804310950801"/>
  </r>
  <r>
    <d v="2018-12-03T00:00:00"/>
    <s v="Royal"/>
    <n v="1"/>
    <n v="1"/>
    <n v="20"/>
    <s v="Corn  Yellow LOCAL"/>
    <x v="52"/>
    <x v="1"/>
    <n v="20"/>
    <n v="9.0718474000000011"/>
    <n v="0.75700000000000001"/>
    <n v="6.8673884818000008"/>
  </r>
  <r>
    <d v="2018-12-04T00:00:00"/>
    <s v="Royal"/>
    <n v="3"/>
    <n v="1"/>
    <s v="4 Bags"/>
    <s v="Pr Corn Shucked / Yellow LOCAL"/>
    <x v="52"/>
    <x v="1"/>
    <n v="0"/>
    <n v="0"/>
    <n v="0.75700000000000001"/>
    <n v="0"/>
  </r>
  <r>
    <d v="2018-12-03T00:00:00"/>
    <s v="Frozen"/>
    <n v="3"/>
    <n v="1"/>
    <n v="30"/>
    <s v="CORN WHL KERNEL"/>
    <x v="52"/>
    <x v="1"/>
    <n v="90"/>
    <n v="40.823313300000002"/>
    <n v="0.75700000000000001"/>
    <n v="30.903248168100003"/>
  </r>
  <r>
    <d v="2018-12-05T00:00:00"/>
    <s v="Frozen"/>
    <n v="1"/>
    <n v="1"/>
    <n v="30"/>
    <s v="CORN WHL KERNEL"/>
    <x v="52"/>
    <x v="1"/>
    <n v="30"/>
    <n v="13.607771100000001"/>
    <n v="0.75700000000000001"/>
    <n v="10.3010827227"/>
  </r>
  <r>
    <d v="2018-11-30T00:00:00"/>
    <s v="Meats"/>
    <n v="12"/>
    <n v="1"/>
    <n v="10"/>
    <s v="CORN DOG ALL MEAT MINI 240/.67"/>
    <x v="53"/>
    <x v="0"/>
    <n v="120"/>
    <n v="54.431084400000003"/>
    <n v="32.845999999999997"/>
    <n v="1787.8433982023998"/>
  </r>
  <r>
    <d v="2018-12-05T00:00:00"/>
    <s v="Canned and dry goods"/>
    <n v="1"/>
    <n v="12"/>
    <s v="12 CT"/>
    <s v="CEREAL HOT GRITS QUICK"/>
    <x v="54"/>
    <x v="1"/>
    <n v="0"/>
    <n v="0"/>
    <n v="0.55000000000000004"/>
    <n v="0"/>
  </r>
  <r>
    <d v="2018-12-03T00:00:00"/>
    <s v="Canned and dry goods"/>
    <n v="1"/>
    <n v="1"/>
    <n v="25"/>
    <s v="CORN MEAL WHITE"/>
    <x v="54"/>
    <x v="1"/>
    <n v="25"/>
    <n v="11.33980925"/>
    <n v="0.55000000000000004"/>
    <n v="6.2368950875000007"/>
  </r>
  <r>
    <d v="2018-12-03T00:00:00"/>
    <s v="Canned and dry goods"/>
    <n v="1"/>
    <n v="6"/>
    <n v="5"/>
    <s v="MIX CORNBREAD SOTHRN STY CMPLT"/>
    <x v="54"/>
    <x v="1"/>
    <n v="30"/>
    <n v="13.607771100000001"/>
    <n v="0.55000000000000004"/>
    <n v="7.4842741050000008"/>
  </r>
  <r>
    <d v="2018-12-05T00:00:00"/>
    <s v="Canned and dry goods"/>
    <n v="1"/>
    <n v="24"/>
    <n v="1"/>
    <s v="CORN STARCH"/>
    <x v="55"/>
    <x v="1"/>
    <n v="24"/>
    <n v="10.886216880000001"/>
    <n v="0.76"/>
    <n v="8.2735248288000012"/>
  </r>
  <r>
    <d v="2018-11-30T00:00:00"/>
    <s v="Canned and dry goods"/>
    <n v="2"/>
    <n v="24"/>
    <n v="1"/>
    <s v="CORN STARCH"/>
    <x v="55"/>
    <x v="1"/>
    <n v="48"/>
    <n v="21.772433760000002"/>
    <n v="0.76"/>
    <n v="16.547049657600002"/>
  </r>
  <r>
    <d v="2018-12-05T00:00:00"/>
    <s v="Canned and dry goods"/>
    <n v="1"/>
    <n v="500"/>
    <s v="2pk"/>
    <s v="CRACKER SALTINE ZESTA"/>
    <x v="57"/>
    <x v="1"/>
    <n v="0"/>
    <n v="0"/>
    <n v="2.5299999999999998"/>
    <n v="0"/>
  </r>
  <r>
    <d v="2018-12-05T00:00:00"/>
    <s v="Canned and dry goods"/>
    <n v="1"/>
    <n v="150"/>
    <n v="3.125E-2"/>
    <s v="CRACKER OYSTER DOTS"/>
    <x v="57"/>
    <x v="1"/>
    <n v="4.6875"/>
    <n v="2.1262142343750003"/>
    <n v="2.5299999999999998"/>
    <n v="5.3793220129687507"/>
  </r>
  <r>
    <d v="2018-12-03T00:00:00"/>
    <s v="Canned and dry goods"/>
    <n v="1"/>
    <n v="1"/>
    <n v="10"/>
    <s v="CRANBERRY DRIED CRAISINS"/>
    <x v="58"/>
    <x v="1"/>
    <n v="10"/>
    <n v="4.5359237000000006"/>
    <n v="1.4179999999999999"/>
    <n v="6.4319398066000009"/>
  </r>
  <r>
    <d v="2018-11-30T00:00:00"/>
    <s v="Dairy Products"/>
    <n v="1"/>
    <n v="1"/>
    <n v="2"/>
    <s v="CREAM SOUR SEL 13%"/>
    <x v="59"/>
    <x v="2"/>
    <n v="2"/>
    <n v="0.90718474000000004"/>
    <n v="5.32"/>
    <n v="4.8262228168000005"/>
  </r>
  <r>
    <d v="2018-12-05T00:00:00"/>
    <s v="Dairy Products"/>
    <n v="1"/>
    <n v="1"/>
    <n v="2"/>
    <s v="CREAM SOUR SEL 13%"/>
    <x v="59"/>
    <x v="2"/>
    <n v="2"/>
    <n v="0.90718474000000004"/>
    <n v="5.32"/>
    <n v="4.8262228168000005"/>
  </r>
  <r>
    <d v="2018-11-30T00:00:00"/>
    <s v="Royal"/>
    <n v="2"/>
    <n v="1"/>
    <n v="55.555555555555557"/>
    <s v="Cucumber LOCAL"/>
    <x v="60"/>
    <x v="1"/>
    <n v="111.11111111111111"/>
    <n v="50.399152222222227"/>
    <n v="0.40899999999999997"/>
    <n v="20.613253258888889"/>
  </r>
  <r>
    <d v="2018-12-01T00:00:00"/>
    <s v="Royal"/>
    <n v="2"/>
    <n v="1"/>
    <n v="55.555555555555557"/>
    <s v="Cucumber LOCAL"/>
    <x v="60"/>
    <x v="1"/>
    <n v="111.11111111111111"/>
    <n v="50.399152222222227"/>
    <n v="0.40899999999999997"/>
    <n v="20.613253258888889"/>
  </r>
  <r>
    <d v="2018-12-05T00:00:00"/>
    <s v="Canned and dry goods"/>
    <n v="2"/>
    <n v="4"/>
    <n v="8.35"/>
    <s v="PICKLE SLI DILL HAM SC 1/8 PLS"/>
    <x v="60"/>
    <x v="1"/>
    <n v="66.8"/>
    <n v="30.299970316"/>
    <n v="0.40899999999999997"/>
    <n v="12.392687859243999"/>
  </r>
  <r>
    <d v="2018-11-30T00:00:00"/>
    <s v="Dairy Products"/>
    <n v="12"/>
    <n v="2"/>
    <n v="20"/>
    <s v="EGG LIQ WHL CAGE FREE W/CITRIC"/>
    <x v="62"/>
    <x v="2"/>
    <n v="480"/>
    <n v="217.72433760000001"/>
    <n v="3.754"/>
    <n v="817.33716335040003"/>
  </r>
  <r>
    <d v="2018-11-30T00:00:00"/>
    <s v="Dairy Products"/>
    <n v="1"/>
    <n v="15"/>
    <n v="2"/>
    <s v="EGG WHITE CAGE FREE LIQ"/>
    <x v="62"/>
    <x v="2"/>
    <n v="30"/>
    <n v="13.607771100000001"/>
    <n v="3.754"/>
    <n v="51.083572709400002"/>
  </r>
  <r>
    <d v="2018-11-30T00:00:00"/>
    <s v="Dairy Products"/>
    <n v="2"/>
    <n v="15"/>
    <n v="1.5"/>
    <s v="EGG SHELL CG FR LG HFAC GR A"/>
    <x v="62"/>
    <x v="2"/>
    <n v="45"/>
    <n v="20.411656650000001"/>
    <n v="3.754"/>
    <n v="76.62535906410001"/>
  </r>
  <r>
    <d v="2018-12-03T00:00:00"/>
    <s v="Dairy Products"/>
    <n v="13"/>
    <n v="2"/>
    <n v="20"/>
    <s v="EGG LIQ WHL CAGE FREE W/CITRIC"/>
    <x v="62"/>
    <x v="2"/>
    <n v="520"/>
    <n v="235.8680324"/>
    <n v="3.754"/>
    <n v="885.44859362960005"/>
  </r>
  <r>
    <d v="2018-12-03T00:00:00"/>
    <s v="Dairy Products"/>
    <n v="2"/>
    <n v="15"/>
    <n v="2"/>
    <s v="EGG WHITE CAGE FREE LIQ"/>
    <x v="62"/>
    <x v="2"/>
    <n v="60"/>
    <n v="27.215542200000002"/>
    <n v="3.754"/>
    <n v="102.1671454188"/>
  </r>
  <r>
    <d v="2018-12-05T00:00:00"/>
    <s v="Dairy Products"/>
    <n v="8"/>
    <n v="2"/>
    <n v="20"/>
    <s v="EGG LIQ WHL CAGE FREE W/CITRIC"/>
    <x v="62"/>
    <x v="2"/>
    <n v="320"/>
    <n v="145.14955840000002"/>
    <n v="3.754"/>
    <n v="544.89144223360006"/>
  </r>
  <r>
    <d v="2018-12-05T00:00:00"/>
    <s v="Dairy Products"/>
    <n v="2"/>
    <n v="15"/>
    <n v="2"/>
    <s v="EGG WHITE CAGE FREE LIQ"/>
    <x v="62"/>
    <x v="2"/>
    <n v="60"/>
    <n v="27.215542200000002"/>
    <n v="3.754"/>
    <n v="102.1671454188"/>
  </r>
  <r>
    <d v="2018-12-05T00:00:00"/>
    <s v="Dairy Products"/>
    <n v="4"/>
    <n v="15"/>
    <n v="1.5"/>
    <s v="EGG SHELL CG FR LG HFAC GR A"/>
    <x v="62"/>
    <x v="2"/>
    <n v="90"/>
    <n v="40.823313300000002"/>
    <n v="3.754"/>
    <n v="153.25071812820002"/>
  </r>
  <r>
    <d v="2018-11-30T00:00:00"/>
    <s v="Royal"/>
    <n v="1"/>
    <n v="1"/>
    <n v="38.888888888888893"/>
    <s v="Eggplant   Choice LOCAL"/>
    <x v="63"/>
    <x v="1"/>
    <n v="38.888888888888893"/>
    <n v="17.63970327777778"/>
    <n v="0.52600000000000002"/>
    <n v="9.2784839241111126"/>
  </r>
  <r>
    <d v="2018-12-03T00:00:00"/>
    <s v="Royal"/>
    <n v="1"/>
    <n v="1"/>
    <n v="38.888888888888893"/>
    <s v="Eggplant   Choice LOCAL"/>
    <x v="63"/>
    <x v="1"/>
    <n v="38.888888888888893"/>
    <n v="17.63970327777778"/>
    <n v="0.52600000000000002"/>
    <n v="9.2784839241111126"/>
  </r>
  <r>
    <d v="2018-12-04T00:00:00"/>
    <s v="Royal"/>
    <n v="2"/>
    <n v="1"/>
    <n v="38.888888888888893"/>
    <s v="Eggplant   Choice LOCAL"/>
    <x v="63"/>
    <x v="1"/>
    <n v="77.777777777777786"/>
    <n v="35.27940655555556"/>
    <n v="0.52600000000000002"/>
    <n v="18.556967848222225"/>
  </r>
  <r>
    <d v="2018-11-30T00:00:00"/>
    <s v="Seafood"/>
    <n v="6"/>
    <n v="1"/>
    <n v="10"/>
    <s v="POLLOCK FLT IQF 4-6OZ CHN"/>
    <x v="64"/>
    <x v="0"/>
    <n v="60"/>
    <n v="27.215542200000002"/>
    <n v="3.0209999999999999"/>
    <n v="82.218152986199996"/>
  </r>
  <r>
    <d v="2018-11-30T00:00:00"/>
    <s v="Seafood"/>
    <n v="8"/>
    <n v="1"/>
    <n v="10"/>
    <s v="COD LOIN 4OZ IQF MSC"/>
    <x v="64"/>
    <x v="0"/>
    <n v="80"/>
    <n v="36.287389600000004"/>
    <n v="3.0209999999999999"/>
    <n v="109.6242039816"/>
  </r>
  <r>
    <d v="2018-12-03T00:00:00"/>
    <s v="Seafood"/>
    <n v="10"/>
    <n v="1"/>
    <n v="10"/>
    <s v="POLLOCK FLT IQF 4-6OZ CHN"/>
    <x v="64"/>
    <x v="0"/>
    <n v="100"/>
    <n v="45.359237"/>
    <n v="3.0209999999999999"/>
    <n v="137.030254977"/>
  </r>
  <r>
    <d v="2018-12-03T00:00:00"/>
    <s v="Seafood"/>
    <n v="5"/>
    <n v="1"/>
    <n v="10"/>
    <s v="COD LOIN 4OZ IQF MSC"/>
    <x v="64"/>
    <x v="0"/>
    <n v="50"/>
    <n v="22.6796185"/>
    <n v="3.0209999999999999"/>
    <n v="68.515127488499999"/>
  </r>
  <r>
    <d v="2018-12-03T00:00:00"/>
    <s v="Seafood"/>
    <n v="4"/>
    <n v="1"/>
    <n v="15"/>
    <s v="PANGASIUS FILLET IQF 3-0.3125"/>
    <x v="64"/>
    <x v="0"/>
    <n v="60"/>
    <n v="27.215542200000002"/>
    <n v="3.0209999999999999"/>
    <n v="82.218152986199996"/>
  </r>
  <r>
    <d v="2018-12-05T00:00:00"/>
    <s v="Seafood"/>
    <n v="1"/>
    <n v="1"/>
    <n v="10"/>
    <s v="POLLOCK FLT IQF 4-6OZ CHN"/>
    <x v="64"/>
    <x v="0"/>
    <n v="10"/>
    <n v="4.5359237000000006"/>
    <n v="3.0209999999999999"/>
    <n v="13.703025497700001"/>
  </r>
  <r>
    <d v="2018-12-05T00:00:00"/>
    <s v="Seafood"/>
    <n v="8"/>
    <n v="1"/>
    <n v="15"/>
    <s v="PANGASIUS FILLET IQF 3-0.3125"/>
    <x v="64"/>
    <x v="0"/>
    <n v="120"/>
    <n v="54.431084400000003"/>
    <n v="3.0209999999999999"/>
    <n v="164.43630597239999"/>
  </r>
  <r>
    <d v="2018-11-30T00:00:00"/>
    <s v="Canned and dry goods"/>
    <n v="6"/>
    <n v="1"/>
    <n v="50"/>
    <s v="FLOUR HI-GLUTEN ALL TRUMP"/>
    <x v="65"/>
    <x v="1"/>
    <n v="300"/>
    <n v="136.07771100000002"/>
    <n v="0.35799999999999998"/>
    <n v="48.715820538000003"/>
  </r>
  <r>
    <d v="2018-11-30T00:00:00"/>
    <s v="Canned and dry goods"/>
    <n v="4"/>
    <n v="1"/>
    <n v="25"/>
    <s v="FLOUR H&amp; R ALL PURP ENRICH BLCH"/>
    <x v="65"/>
    <x v="1"/>
    <n v="100"/>
    <n v="45.359237"/>
    <n v="0.35799999999999998"/>
    <n v="16.238606846"/>
  </r>
  <r>
    <d v="2018-12-03T00:00:00"/>
    <s v="Canned and dry goods"/>
    <n v="1"/>
    <n v="1"/>
    <n v="50"/>
    <s v="FLOUR HI-GLUTEN ALL TRUMP"/>
    <x v="65"/>
    <x v="1"/>
    <n v="50"/>
    <n v="22.6796185"/>
    <n v="0.35799999999999998"/>
    <n v="8.1193034229999999"/>
  </r>
  <r>
    <d v="2018-12-05T00:00:00"/>
    <s v="Canned and dry goods"/>
    <n v="5"/>
    <n v="1"/>
    <n v="50"/>
    <s v="FLOUR HI-GLUTEN ALL TRUMP"/>
    <x v="65"/>
    <x v="1"/>
    <n v="250"/>
    <n v="113.3980925"/>
    <n v="0.35799999999999998"/>
    <n v="40.596517114999997"/>
  </r>
  <r>
    <d v="2018-11-30T00:00:00"/>
    <s v="Royal"/>
    <n v="1"/>
    <n v="1"/>
    <n v="33.4"/>
    <s v="Garlic   Peeled Choice (U.S. GROWN)"/>
    <x v="66"/>
    <x v="1"/>
    <n v="33.4"/>
    <n v="15.149985158"/>
    <n v="0.74299999999999999"/>
    <n v="11.256438972393999"/>
  </r>
  <r>
    <d v="2018-12-01T00:00:00"/>
    <s v="Royal"/>
    <n v="1"/>
    <n v="1"/>
    <n v="33.4"/>
    <s v="Garlic   Peeled Choice (U.S. GROWN)"/>
    <x v="66"/>
    <x v="1"/>
    <n v="33.4"/>
    <n v="15.149985158"/>
    <n v="0.74299999999999999"/>
    <n v="11.256438972393999"/>
  </r>
  <r>
    <d v="2018-12-03T00:00:00"/>
    <s v="Royal"/>
    <n v="1"/>
    <n v="1"/>
    <n v="33.4"/>
    <s v="Garlic   Peeled Choice (U.S. GROWN)"/>
    <x v="66"/>
    <x v="1"/>
    <n v="33.4"/>
    <n v="15.149985158"/>
    <n v="0.74299999999999999"/>
    <n v="11.256438972393999"/>
  </r>
  <r>
    <d v="2018-12-03T00:00:00"/>
    <s v="Royal"/>
    <n v="2"/>
    <n v="1"/>
    <n v="25"/>
    <s v="Root Ginger"/>
    <x v="67"/>
    <x v="1"/>
    <n v="50"/>
    <n v="22.6796185"/>
    <n v="0.95"/>
    <n v="21.545637575000001"/>
  </r>
  <r>
    <d v="2018-12-06T00:00:00"/>
    <s v="Royal"/>
    <n v="2"/>
    <n v="1"/>
    <n v="25"/>
    <s v="root Ginger"/>
    <x v="67"/>
    <x v="1"/>
    <n v="50"/>
    <n v="22.6796185"/>
    <n v="0.95"/>
    <n v="21.545637575000001"/>
  </r>
  <r>
    <d v="2018-11-30T00:00:00"/>
    <s v="Royal"/>
    <n v="6"/>
    <n v="1"/>
    <n v="18"/>
    <s v="Grape   Red"/>
    <x v="68"/>
    <x v="1"/>
    <n v="108"/>
    <n v="48.987975960000007"/>
    <n v="0.47799999999999998"/>
    <n v="23.416252508880003"/>
  </r>
  <r>
    <d v="2018-12-03T00:00:00"/>
    <s v="Royal"/>
    <n v="6"/>
    <n v="1"/>
    <n v="18"/>
    <s v="Grape   Red"/>
    <x v="68"/>
    <x v="1"/>
    <n v="108"/>
    <n v="48.987975960000007"/>
    <n v="0.47799999999999998"/>
    <n v="23.416252508880003"/>
  </r>
  <r>
    <d v="2018-12-05T00:00:00"/>
    <s v="Royal"/>
    <n v="6"/>
    <n v="1"/>
    <n v="18"/>
    <s v="Grape   Red"/>
    <x v="68"/>
    <x v="1"/>
    <n v="108"/>
    <n v="48.987975960000007"/>
    <n v="0.47799999999999998"/>
    <n v="23.416252508880003"/>
  </r>
  <r>
    <d v="2018-12-06T00:00:00"/>
    <s v="Royal"/>
    <n v="4"/>
    <n v="1"/>
    <n v="18"/>
    <s v="Grape   Red"/>
    <x v="68"/>
    <x v="1"/>
    <n v="72"/>
    <n v="32.658650639999998"/>
    <n v="0.47799999999999998"/>
    <n v="15.610835005919999"/>
  </r>
  <r>
    <d v="2018-11-30T00:00:00"/>
    <s v="Royal"/>
    <n v="1"/>
    <n v="1"/>
    <n v="39.15"/>
    <s v="Grapefruit Red"/>
    <x v="177"/>
    <x v="1"/>
    <n v="39.15"/>
    <n v="17.758141285500002"/>
    <n v="1.21"/>
    <n v="21.487350955455003"/>
  </r>
  <r>
    <d v="2018-12-04T00:00:00"/>
    <s v="Royal"/>
    <n v="2"/>
    <n v="1"/>
    <n v="39.15"/>
    <s v="Grapefruit Red LOCAL"/>
    <x v="177"/>
    <x v="1"/>
    <n v="78.3"/>
    <n v="35.516282571000005"/>
    <n v="1.21"/>
    <n v="42.974701910910007"/>
  </r>
  <r>
    <d v="2018-11-30T00:00:00"/>
    <s v="Canned and dry goods"/>
    <n v="2"/>
    <n v="8"/>
    <n v="5"/>
    <s v="CEREAL HOT GRITS QUICK"/>
    <x v="70"/>
    <x v="1"/>
    <n v="80"/>
    <n v="36.287389600000004"/>
    <n v="0.55000000000000004"/>
    <n v="19.958064280000006"/>
  </r>
  <r>
    <d v="2018-11-30T00:00:00"/>
    <s v="Royal"/>
    <n v="1"/>
    <n v="1"/>
    <n v="1"/>
    <s v="Herbs Oregano"/>
    <x v="152"/>
    <x v="1"/>
    <n v="1"/>
    <n v="0.45359237000000002"/>
    <n v="0.221"/>
    <n v="0.10024391377000001"/>
  </r>
  <r>
    <d v="2018-11-30T00:00:00"/>
    <s v="Royal"/>
    <n v="1"/>
    <n v="1"/>
    <n v="1"/>
    <s v="Herbs Thyme"/>
    <x v="152"/>
    <x v="1"/>
    <n v="1"/>
    <n v="0.45359237000000002"/>
    <n v="0.221"/>
    <n v="0.10024391377000001"/>
  </r>
  <r>
    <d v="2018-12-01T00:00:00"/>
    <s v="Royal"/>
    <n v="1"/>
    <n v="1"/>
    <n v="1"/>
    <s v="Herbs Oregano"/>
    <x v="152"/>
    <x v="1"/>
    <n v="1"/>
    <n v="0.45359237000000002"/>
    <n v="0.221"/>
    <n v="0.10024391377000001"/>
  </r>
  <r>
    <d v="2018-12-03T00:00:00"/>
    <s v="Royal"/>
    <n v="1"/>
    <n v="1"/>
    <n v="1"/>
    <s v="Herbs Thyme"/>
    <x v="152"/>
    <x v="1"/>
    <n v="1"/>
    <n v="0.45359237000000002"/>
    <n v="0.221"/>
    <n v="0.10024391377000001"/>
  </r>
  <r>
    <d v="2018-12-04T00:00:00"/>
    <s v="Royal"/>
    <n v="1"/>
    <n v="1"/>
    <n v="1"/>
    <s v="Herbs Oregano"/>
    <x v="152"/>
    <x v="1"/>
    <n v="1"/>
    <n v="0.45359237000000002"/>
    <n v="0.221"/>
    <n v="0.10024391377000001"/>
  </r>
  <r>
    <d v="2018-12-04T00:00:00"/>
    <s v="Royal"/>
    <n v="1"/>
    <n v="1"/>
    <n v="1"/>
    <s v="Herbs Rosemary"/>
    <x v="152"/>
    <x v="1"/>
    <n v="1"/>
    <n v="0.45359237000000002"/>
    <n v="0.221"/>
    <n v="0.10024391377000001"/>
  </r>
  <r>
    <d v="2018-12-04T00:00:00"/>
    <s v="Royal"/>
    <n v="1"/>
    <n v="1"/>
    <n v="1"/>
    <s v="Herbs Thyme"/>
    <x v="152"/>
    <x v="1"/>
    <n v="1"/>
    <n v="0.45359237000000002"/>
    <n v="0.221"/>
    <n v="0.10024391377000001"/>
  </r>
  <r>
    <d v="2018-12-03T00:00:00"/>
    <s v="Canned and dry goods"/>
    <n v="1"/>
    <n v="6"/>
    <n v="5"/>
    <s v="HONEY LIGHT AMBER"/>
    <x v="75"/>
    <x v="1"/>
    <n v="30"/>
    <n v="13.607771100000001"/>
    <n v="2.44"/>
    <n v="33.202961483999999"/>
  </r>
  <r>
    <d v="2018-12-05T00:00:00"/>
    <s v="Canned and dry goods"/>
    <n v="1"/>
    <n v="6"/>
    <n v="5"/>
    <s v="HONEY LIGHT AMBER"/>
    <x v="75"/>
    <x v="1"/>
    <n v="30"/>
    <n v="13.607771100000001"/>
    <n v="2.44"/>
    <n v="33.202961483999999"/>
  </r>
  <r>
    <d v="2018-11-30T00:00:00"/>
    <s v="Royal"/>
    <n v="8"/>
    <n v="1"/>
    <n v="32"/>
    <s v="Melon   Honeydew 8ct"/>
    <x v="76"/>
    <x v="1"/>
    <n v="256"/>
    <n v="116.11964672000001"/>
    <n v="0.28399999999999997"/>
    <n v="32.977979668479996"/>
  </r>
  <r>
    <d v="2018-12-01T00:00:00"/>
    <s v="Royal"/>
    <n v="6"/>
    <n v="1"/>
    <n v="32"/>
    <s v="Melon   Honeydew 8ct"/>
    <x v="76"/>
    <x v="1"/>
    <n v="192"/>
    <n v="87.089735040000008"/>
    <n v="0.28399999999999997"/>
    <n v="24.733484751359999"/>
  </r>
  <r>
    <d v="2018-12-03T00:00:00"/>
    <s v="Royal"/>
    <n v="5"/>
    <n v="1"/>
    <n v="32"/>
    <s v="Melon   Honeydew 8ct"/>
    <x v="76"/>
    <x v="1"/>
    <n v="160"/>
    <n v="72.574779200000009"/>
    <n v="0.28399999999999997"/>
    <n v="20.611237292800002"/>
  </r>
  <r>
    <d v="2018-12-04T00:00:00"/>
    <s v="Royal"/>
    <n v="7"/>
    <n v="1"/>
    <n v="32"/>
    <s v="Melon   Honeydew 8ct"/>
    <x v="76"/>
    <x v="1"/>
    <n v="224"/>
    <n v="101.60469088000001"/>
    <n v="0.28399999999999997"/>
    <n v="28.855732209919999"/>
  </r>
  <r>
    <d v="2018-12-06T00:00:00"/>
    <s v="Royal"/>
    <n v="4"/>
    <n v="1"/>
    <n v="32"/>
    <s v="Melon   Honeydew 8ct"/>
    <x v="76"/>
    <x v="1"/>
    <n v="128"/>
    <n v="58.059823360000003"/>
    <n v="0.28399999999999997"/>
    <n v="16.488989834239998"/>
  </r>
  <r>
    <d v="2018-10-31T00:00:00"/>
    <s v="Honeysuckle Gelato"/>
    <n v="1"/>
    <n v="1"/>
    <n v="50"/>
    <s v="vanilla"/>
    <x v="77"/>
    <x v="2"/>
    <n v="50"/>
    <n v="22.6796185"/>
    <n v="3.8"/>
    <n v="86.182550300000003"/>
  </r>
  <r>
    <d v="2018-10-31T00:00:00"/>
    <s v="Honeysuckle Gelato"/>
    <n v="1"/>
    <n v="1"/>
    <n v="50"/>
    <s v="dark chocolate "/>
    <x v="77"/>
    <x v="2"/>
    <n v="50"/>
    <n v="22.6796185"/>
    <n v="3.8"/>
    <n v="86.182550300000003"/>
  </r>
  <r>
    <d v="2018-10-31T00:00:00"/>
    <s v="Honeysuckle Gelato"/>
    <n v="1"/>
    <n v="1"/>
    <n v="50"/>
    <s v="cinnamon roll"/>
    <x v="77"/>
    <x v="2"/>
    <n v="50"/>
    <n v="22.6796185"/>
    <n v="3.8"/>
    <n v="86.182550300000003"/>
  </r>
  <r>
    <d v="2018-11-30T00:00:00"/>
    <s v="Dairy Products"/>
    <n v="4"/>
    <n v="1"/>
    <n v="25.799999999999997"/>
    <s v="ICE CREAM VAN BEAN"/>
    <x v="77"/>
    <x v="2"/>
    <n v="103.19999999999999"/>
    <n v="46.810732584"/>
    <n v="3.84"/>
    <n v="179.75321312256"/>
  </r>
  <r>
    <d v="2018-11-30T00:00:00"/>
    <s v="Dairy Products"/>
    <n v="4"/>
    <n v="1"/>
    <n v="25.799999999999997"/>
    <s v="ICE CREAM CHOC"/>
    <x v="77"/>
    <x v="2"/>
    <n v="103.19999999999999"/>
    <n v="46.810732584"/>
    <n v="3.84"/>
    <n v="179.75321312256"/>
  </r>
  <r>
    <d v="2018-11-30T00:00:00"/>
    <s v="Dairy Products"/>
    <n v="4"/>
    <n v="1"/>
    <n v="25.799999999999997"/>
    <s v="ICE CREAM BIRTHDAY CAKE"/>
    <x v="77"/>
    <x v="2"/>
    <n v="103.19999999999999"/>
    <n v="46.810732584"/>
    <n v="3.84"/>
    <n v="179.75321312256"/>
  </r>
  <r>
    <d v="2018-12-05T00:00:00"/>
    <s v="Dairy Products"/>
    <n v="2"/>
    <n v="1"/>
    <n v="25.799999999999997"/>
    <s v="ICE CREAM COOKIES &amp;  CRM"/>
    <x v="77"/>
    <x v="2"/>
    <n v="51.599999999999994"/>
    <n v="23.405366292"/>
    <n v="3.84"/>
    <n v="89.876606561279999"/>
  </r>
  <r>
    <d v="2018-12-05T00:00:00"/>
    <s v="Dairy Products"/>
    <n v="2"/>
    <n v="1"/>
    <n v="25.799999999999997"/>
    <s v="ICE CREAM JUST PEACHY"/>
    <x v="77"/>
    <x v="2"/>
    <n v="51.599999999999994"/>
    <n v="23.405366292"/>
    <n v="3.84"/>
    <n v="89.876606561279999"/>
  </r>
  <r>
    <d v="2018-12-05T00:00:00"/>
    <s v="Dairy Products"/>
    <n v="3"/>
    <n v="1"/>
    <n v="25.799999999999997"/>
    <s v="ICE CREAM STWBRY"/>
    <x v="77"/>
    <x v="2"/>
    <n v="77.399999999999991"/>
    <n v="35.108049437999995"/>
    <n v="3.84"/>
    <n v="134.81490984191998"/>
  </r>
  <r>
    <d v="2018-12-05T00:00:00"/>
    <s v="Dairy Products"/>
    <n v="3"/>
    <n v="1"/>
    <n v="25.799999999999997"/>
    <s v="ICE CREAM CHOC"/>
    <x v="77"/>
    <x v="2"/>
    <n v="77.399999999999991"/>
    <n v="35.108049437999995"/>
    <n v="3.84"/>
    <n v="134.81490984191998"/>
  </r>
  <r>
    <d v="2018-12-05T00:00:00"/>
    <s v="Dairy Products"/>
    <n v="3"/>
    <n v="1"/>
    <n v="25.799999999999997"/>
    <s v="ICE CREAM FRCH VAN"/>
    <x v="77"/>
    <x v="2"/>
    <n v="77.399999999999991"/>
    <n v="35.108049437999995"/>
    <n v="3.84"/>
    <n v="134.81490984191998"/>
  </r>
  <r>
    <d v="2018-11-30T00:00:00"/>
    <s v="Canned and dry goods"/>
    <n v="1"/>
    <n v="6"/>
    <n v="4"/>
    <s v="JELLY GRAPE"/>
    <x v="78"/>
    <x v="1"/>
    <n v="24"/>
    <n v="10.886216880000001"/>
    <n v="3.25"/>
    <n v="35.380204860000006"/>
  </r>
  <r>
    <d v="2018-12-05T00:00:00"/>
    <s v="Canned and dry goods"/>
    <n v="1"/>
    <n v="6"/>
    <n v="4"/>
    <s v="JELLY GRAPE"/>
    <x v="78"/>
    <x v="1"/>
    <n v="24"/>
    <n v="10.886216880000001"/>
    <n v="3.25"/>
    <n v="35.380204860000006"/>
  </r>
  <r>
    <d v="2018-11-30T00:00:00"/>
    <s v="Royal"/>
    <n v="4"/>
    <n v="1"/>
    <n v="10"/>
    <s v="Pr Kale Chopped &amp; Cleaned NL LOCAL"/>
    <x v="79"/>
    <x v="1"/>
    <n v="40"/>
    <n v="18.143694800000002"/>
    <n v="0.193"/>
    <n v="3.5017330964000006"/>
  </r>
  <r>
    <d v="2018-12-06T00:00:00"/>
    <s v="Royal"/>
    <n v="2"/>
    <n v="1"/>
    <n v="0.75"/>
    <s v="kale"/>
    <x v="79"/>
    <x v="1"/>
    <n v="1.5"/>
    <n v="0.68038855500000006"/>
    <n v="0.193"/>
    <n v="0.131314991115"/>
  </r>
  <r>
    <d v="2018-10-26T00:00:00"/>
    <s v="Georgia Halal Meat"/>
    <n v="1"/>
    <n v="1"/>
    <n v="140.66"/>
    <s v="lamb bot"/>
    <x v="80"/>
    <x v="0"/>
    <n v="140.66"/>
    <n v="63.8023027642"/>
    <n v="34.744999999999997"/>
    <n v="2216.8110095421289"/>
  </r>
  <r>
    <d v="2018-10-26T00:00:00"/>
    <s v="Georgia Halal Meat"/>
    <n v="1"/>
    <n v="1"/>
    <n v="200"/>
    <s v="leg of lamb "/>
    <x v="80"/>
    <x v="0"/>
    <n v="200"/>
    <n v="90.718474000000001"/>
    <n v="34.744999999999997"/>
    <n v="3152.01337913"/>
  </r>
  <r>
    <d v="2018-11-30T00:00:00"/>
    <s v="Royal"/>
    <n v="1"/>
    <n v="1"/>
    <n v="6.75"/>
    <s v="Leeks"/>
    <x v="81"/>
    <x v="1"/>
    <n v="6.75"/>
    <n v="3.0617484975000004"/>
    <n v="6.9000000000000006E-2"/>
    <n v="0.21126064632750005"/>
  </r>
  <r>
    <d v="2018-12-01T00:00:00"/>
    <s v="Royal"/>
    <n v="2"/>
    <n v="1"/>
    <n v="12"/>
    <s v="Lettuce Field Mix 12#"/>
    <x v="83"/>
    <x v="1"/>
    <n v="24"/>
    <n v="10.886216880000001"/>
    <n v="0.22"/>
    <n v="2.3949677136000003"/>
  </r>
  <r>
    <d v="2018-12-03T00:00:00"/>
    <s v="Royal"/>
    <n v="1"/>
    <n v="1"/>
    <n v="10"/>
    <s v="Lettuce Green Leaf Filet"/>
    <x v="83"/>
    <x v="1"/>
    <n v="10"/>
    <n v="4.5359237000000006"/>
    <n v="0.22"/>
    <n v="0.99790321400000015"/>
  </r>
  <r>
    <d v="2018-12-03T00:00:00"/>
    <s v="Royal"/>
    <n v="2"/>
    <n v="1"/>
    <n v="12"/>
    <s v="Lettuce Field Mix 12#"/>
    <x v="83"/>
    <x v="1"/>
    <n v="24"/>
    <n v="10.886216880000001"/>
    <n v="0.22"/>
    <n v="2.3949677136000003"/>
  </r>
  <r>
    <d v="2018-12-04T00:00:00"/>
    <s v="Royal"/>
    <n v="3"/>
    <n v="1"/>
    <n v="10"/>
    <s v="Lettuce Green Leaf Filet"/>
    <x v="83"/>
    <x v="1"/>
    <n v="30"/>
    <n v="13.607771100000001"/>
    <n v="0.22"/>
    <n v="2.9937096420000002"/>
  </r>
  <r>
    <d v="2018-12-05T00:00:00"/>
    <s v="Royal"/>
    <n v="2"/>
    <n v="1"/>
    <n v="12"/>
    <s v="Lettuce Field Mix 12#"/>
    <x v="83"/>
    <x v="1"/>
    <n v="24"/>
    <n v="10.886216880000001"/>
    <n v="0.22"/>
    <n v="2.3949677136000003"/>
  </r>
  <r>
    <d v="2018-12-06T00:00:00"/>
    <s v="Royal"/>
    <n v="1"/>
    <n v="1"/>
    <n v="10"/>
    <s v="lettuce green Leaf Filet"/>
    <x v="83"/>
    <x v="1"/>
    <n v="10"/>
    <n v="4.5359237000000006"/>
    <n v="0.22"/>
    <n v="0.99790321400000015"/>
  </r>
  <r>
    <d v="2018-12-05T00:00:00"/>
    <s v="Mayfield Dairy"/>
    <n v="8"/>
    <n v="1"/>
    <n v="43"/>
    <s v="5gl homo disp"/>
    <x v="86"/>
    <x v="2"/>
    <n v="344"/>
    <n v="156.03577528"/>
    <n v="1.23"/>
    <n v="191.92400359440001"/>
  </r>
  <r>
    <d v="2018-12-05T00:00:00"/>
    <s v="Mayfield Dairy"/>
    <n v="5"/>
    <n v="1"/>
    <n v="43"/>
    <s v="5gl 2%"/>
    <x v="86"/>
    <x v="2"/>
    <n v="215"/>
    <n v="97.522359550000004"/>
    <n v="1.23"/>
    <n v="119.9525022465"/>
  </r>
  <r>
    <d v="2018-12-05T00:00:00"/>
    <s v="Mayfield Dairy"/>
    <n v="3"/>
    <n v="1"/>
    <n v="43"/>
    <s v="5gl skim"/>
    <x v="86"/>
    <x v="2"/>
    <n v="129"/>
    <n v="58.513415729999998"/>
    <n v="1.23"/>
    <n v="71.971501347900002"/>
  </r>
  <r>
    <d v="2018-12-05T00:00:00"/>
    <s v="Mayfield Dairy"/>
    <n v="6"/>
    <n v="1"/>
    <n v="43"/>
    <s v="5gl true moo choc"/>
    <x v="86"/>
    <x v="2"/>
    <n v="258"/>
    <n v="117.02683146"/>
    <n v="1.23"/>
    <n v="143.9430026958"/>
  </r>
  <r>
    <d v="2018-12-03T00:00:00"/>
    <s v="Royal"/>
    <n v="2"/>
    <n v="1"/>
    <n v="34.4"/>
    <s v="whole dairy milk"/>
    <x v="86"/>
    <x v="2"/>
    <n v="68.8"/>
    <n v="31.207155056000001"/>
    <n v="1.23"/>
    <n v="38.384800718880001"/>
  </r>
  <r>
    <d v="2018-12-03T00:00:00"/>
    <s v="Dairy Products"/>
    <n v="1"/>
    <n v="20"/>
    <n v="0.5"/>
    <s v="MILK NFAT 100% LACT CAL ENRCHD"/>
    <x v="86"/>
    <x v="2"/>
    <n v="10"/>
    <n v="4.5359237000000006"/>
    <n v="1.23"/>
    <n v="5.5791861510000009"/>
  </r>
  <r>
    <d v="2018-11-30T00:00:00"/>
    <s v="Canned and dry goods"/>
    <n v="1"/>
    <n v="4"/>
    <n v="11.89"/>
    <s v="MOLASSES UNSULFURED"/>
    <x v="87"/>
    <x v="1"/>
    <n v="47.56"/>
    <n v="21.572853117200001"/>
    <n v="0.48799999999999999"/>
    <n v="10.5275523211936"/>
  </r>
  <r>
    <d v="2018-11-30T00:00:00"/>
    <s v="Royal"/>
    <n v="4"/>
    <n v="1"/>
    <n v="5"/>
    <s v="Mushroom"/>
    <x v="88"/>
    <x v="1"/>
    <n v="20"/>
    <n v="9.0718474000000011"/>
    <n v="3.093"/>
    <n v="28.059224008200005"/>
  </r>
  <r>
    <d v="2018-11-30T00:00:00"/>
    <s v="Royal"/>
    <n v="6"/>
    <n v="1"/>
    <n v="5"/>
    <s v="Mushroom"/>
    <x v="88"/>
    <x v="1"/>
    <n v="30"/>
    <n v="13.607771100000001"/>
    <n v="3.093"/>
    <n v="42.0888360123"/>
  </r>
  <r>
    <d v="2018-12-01T00:00:00"/>
    <s v="Royal"/>
    <n v="8"/>
    <n v="1"/>
    <n v="5"/>
    <s v="Mushroom"/>
    <x v="88"/>
    <x v="1"/>
    <n v="40"/>
    <n v="18.143694800000002"/>
    <n v="3.093"/>
    <n v="56.118448016400009"/>
  </r>
  <r>
    <d v="2018-12-03T00:00:00"/>
    <s v="Royal"/>
    <n v="4"/>
    <n v="1"/>
    <n v="5"/>
    <s v="Mushroom"/>
    <x v="88"/>
    <x v="1"/>
    <n v="20"/>
    <n v="9.0718474000000011"/>
    <n v="3.093"/>
    <n v="28.059224008200005"/>
  </r>
  <r>
    <d v="2018-12-03T00:00:00"/>
    <s v="Royal"/>
    <n v="6"/>
    <n v="1"/>
    <n v="5"/>
    <s v="Mushroom"/>
    <x v="88"/>
    <x v="1"/>
    <n v="30"/>
    <n v="13.607771100000001"/>
    <n v="3.093"/>
    <n v="42.0888360123"/>
  </r>
  <r>
    <d v="2018-12-04T00:00:00"/>
    <s v="Royal"/>
    <n v="10"/>
    <n v="1"/>
    <n v="5"/>
    <s v="Mushroom"/>
    <x v="88"/>
    <x v="1"/>
    <n v="50"/>
    <n v="22.6796185"/>
    <n v="3.093"/>
    <n v="70.148060020499997"/>
  </r>
  <r>
    <d v="2018-12-05T00:00:00"/>
    <s v="Royal"/>
    <n v="6"/>
    <n v="1"/>
    <n v="5"/>
    <s v="Mushroom"/>
    <x v="88"/>
    <x v="1"/>
    <n v="30"/>
    <n v="13.607771100000001"/>
    <n v="3.093"/>
    <n v="42.0888360123"/>
  </r>
  <r>
    <d v="2018-12-06T00:00:00"/>
    <s v="Royal"/>
    <n v="4"/>
    <n v="1"/>
    <n v="5"/>
    <s v="mushroom portobello"/>
    <x v="88"/>
    <x v="1"/>
    <n v="20"/>
    <n v="9.0718474000000011"/>
    <n v="3.093"/>
    <n v="28.059224008200005"/>
  </r>
  <r>
    <d v="2018-12-06T00:00:00"/>
    <s v="Royal"/>
    <n v="10"/>
    <n v="1"/>
    <n v="5"/>
    <s v="mushroom thick"/>
    <x v="88"/>
    <x v="1"/>
    <n v="50"/>
    <n v="22.6796185"/>
    <n v="3.093"/>
    <n v="70.148060020499997"/>
  </r>
  <r>
    <d v="2018-12-03T00:00:00"/>
    <s v="Canned and dry goods"/>
    <n v="3"/>
    <n v="4"/>
    <n v="5"/>
    <s v="NOODLE YAKI SOBA"/>
    <x v="89"/>
    <x v="1"/>
    <n v="60"/>
    <n v="27.215542200000002"/>
    <n v="5.99"/>
    <n v="163.02109777800001"/>
  </r>
  <r>
    <d v="2018-12-05T00:00:00"/>
    <s v="Canned and dry goods"/>
    <n v="3"/>
    <n v="4"/>
    <n v="5"/>
    <s v="NOODLE YAKI SOBA"/>
    <x v="89"/>
    <x v="1"/>
    <n v="60"/>
    <n v="27.215542200000002"/>
    <n v="5.99"/>
    <n v="163.02109777800001"/>
  </r>
  <r>
    <d v="2018-12-03T00:00:00"/>
    <s v="Frozen"/>
    <n v="3"/>
    <n v="4"/>
    <n v="5"/>
    <s v="NOODLE LO MEIN"/>
    <x v="89"/>
    <x v="1"/>
    <n v="60"/>
    <n v="27.215542200000002"/>
    <n v="5.99"/>
    <n v="163.02109777800001"/>
  </r>
  <r>
    <d v="2018-12-03T00:00:00"/>
    <s v="Canned and dry goods"/>
    <n v="6"/>
    <n v="4"/>
    <n v="7.9"/>
    <s v="OIL CANOLA"/>
    <x v="90"/>
    <x v="1"/>
    <n v="189.60000000000002"/>
    <n v="86.001113352000019"/>
    <n v="2.6459999999999999"/>
    <n v="227.55894592939205"/>
  </r>
  <r>
    <d v="2018-12-05T00:00:00"/>
    <s v="Canned and dry goods"/>
    <n v="3"/>
    <n v="1"/>
    <n v="35"/>
    <s v="OIL CANOLA PURE ZTF"/>
    <x v="90"/>
    <x v="1"/>
    <n v="105"/>
    <n v="47.627198849999999"/>
    <n v="2.6459999999999999"/>
    <n v="126.02156815709999"/>
  </r>
  <r>
    <d v="2018-12-05T00:00:00"/>
    <s v="Canned and dry goods"/>
    <n v="6"/>
    <n v="4"/>
    <n v="7.9"/>
    <s v="OIL CANOLA"/>
    <x v="90"/>
    <x v="1"/>
    <n v="189.60000000000002"/>
    <n v="86.001113352000019"/>
    <n v="2.6459999999999999"/>
    <n v="227.55894592939205"/>
  </r>
  <r>
    <d v="2018-11-30T00:00:00"/>
    <s v="Canned and dry goods"/>
    <n v="6"/>
    <n v="4"/>
    <n v="7.9"/>
    <s v="OIL CANOLA"/>
    <x v="90"/>
    <x v="1"/>
    <n v="189.60000000000002"/>
    <n v="86.001113352000019"/>
    <n v="2.6459999999999999"/>
    <n v="227.55894592939205"/>
  </r>
  <r>
    <d v="2018-12-05T00:00:00"/>
    <s v="Canned and dry goods"/>
    <n v="1"/>
    <n v="6"/>
    <n v="10"/>
    <s v="OLIVE RIPE SLICED"/>
    <x v="91"/>
    <x v="1"/>
    <n v="60"/>
    <n v="27.215542200000002"/>
    <n v="3.206"/>
    <n v="87.253028293200003"/>
  </r>
  <r>
    <d v="2018-12-06T00:00:00"/>
    <s v="Royal"/>
    <n v="2"/>
    <n v="1"/>
    <n v="25"/>
    <s v="onion red jumbo"/>
    <x v="92"/>
    <x v="1"/>
    <n v="50"/>
    <n v="22.6796185"/>
    <n v="0.26900000000000002"/>
    <n v="6.1008173765000002"/>
  </r>
  <r>
    <d v="2018-12-06T00:00:00"/>
    <s v="Royal"/>
    <n v="2"/>
    <n v="1"/>
    <n v="50"/>
    <s v="Onion   Yellow Jumbo"/>
    <x v="92"/>
    <x v="1"/>
    <n v="100"/>
    <n v="45.359237"/>
    <n v="0.26900000000000002"/>
    <n v="12.201634753"/>
  </r>
  <r>
    <d v="2018-12-06T00:00:00"/>
    <s v="Royal"/>
    <n v="2"/>
    <n v="1"/>
    <n v="20"/>
    <s v="onion yellow diced"/>
    <x v="92"/>
    <x v="1"/>
    <n v="40"/>
    <n v="18.143694800000002"/>
    <n v="0.26900000000000002"/>
    <n v="4.8806539012000005"/>
  </r>
  <r>
    <d v="2018-11-30T00:00:00"/>
    <s v="Royal"/>
    <n v="2"/>
    <n v="1"/>
    <n v="1.25"/>
    <s v="Onion   Green Iceless"/>
    <x v="93"/>
    <x v="1"/>
    <n v="2.5"/>
    <n v="1.1339809250000001"/>
    <n v="8.5000000000000006E-2"/>
    <n v="9.6388378625000021E-2"/>
  </r>
  <r>
    <d v="2018-12-03T00:00:00"/>
    <s v="Royal"/>
    <n v="1"/>
    <n v="1"/>
    <n v="1.25"/>
    <s v="Onion   Green Iceless"/>
    <x v="93"/>
    <x v="1"/>
    <n v="1.25"/>
    <n v="0.56699046250000007"/>
    <n v="8.5000000000000006E-2"/>
    <n v="4.819418931250001E-2"/>
  </r>
  <r>
    <d v="2018-12-04T00:00:00"/>
    <s v="Royal"/>
    <n v="1"/>
    <n v="1"/>
    <n v="1.25"/>
    <s v="Onion   Green Iceless"/>
    <x v="93"/>
    <x v="1"/>
    <n v="1.25"/>
    <n v="0.56699046250000007"/>
    <n v="8.5000000000000006E-2"/>
    <n v="4.819418931250001E-2"/>
  </r>
  <r>
    <d v="2018-12-06T00:00:00"/>
    <s v="Royal"/>
    <n v="1"/>
    <n v="1"/>
    <n v="1.25"/>
    <s v="Onion   Green Iceless"/>
    <x v="93"/>
    <x v="1"/>
    <n v="1.25"/>
    <n v="0.56699046250000007"/>
    <n v="8.5000000000000006E-2"/>
    <n v="4.819418931250001E-2"/>
  </r>
  <r>
    <d v="2018-11-30T00:00:00"/>
    <s v="Royal"/>
    <n v="1"/>
    <n v="1"/>
    <n v="25"/>
    <s v="Onion   Red"/>
    <x v="154"/>
    <x v="1"/>
    <n v="25"/>
    <n v="11.33980925"/>
    <n v="0.26900000000000002"/>
    <n v="3.0504086882500001"/>
  </r>
  <r>
    <d v="2018-12-03T00:00:00"/>
    <s v="Royal"/>
    <n v="2"/>
    <n v="1"/>
    <n v="25"/>
    <s v="Onion   Red"/>
    <x v="154"/>
    <x v="1"/>
    <n v="50"/>
    <n v="22.6796185"/>
    <n v="0.26900000000000002"/>
    <n v="6.1008173765000002"/>
  </r>
  <r>
    <d v="2018-12-04T00:00:00"/>
    <s v="Royal"/>
    <n v="1"/>
    <n v="1"/>
    <n v="25"/>
    <s v="Onion   Red"/>
    <x v="154"/>
    <x v="1"/>
    <n v="25"/>
    <n v="11.33980925"/>
    <n v="0.26900000000000002"/>
    <n v="3.0504086882500001"/>
  </r>
  <r>
    <d v="2018-11-30T00:00:00"/>
    <s v="Royal"/>
    <n v="2"/>
    <n v="1"/>
    <n v="50"/>
    <s v="Onion   Yellow Jumbo"/>
    <x v="94"/>
    <x v="1"/>
    <n v="100"/>
    <n v="45.359237"/>
    <n v="0.26900000000000002"/>
    <n v="12.201634753"/>
  </r>
  <r>
    <d v="2018-11-30T00:00:00"/>
    <s v="Royal"/>
    <n v="2"/>
    <n v="1"/>
    <n v="20"/>
    <s v="Pr Onion  Yel  Diced 1/4&quot;"/>
    <x v="94"/>
    <x v="1"/>
    <n v="40"/>
    <n v="18.143694800000002"/>
    <n v="0.26900000000000002"/>
    <n v="4.8806539012000005"/>
  </r>
  <r>
    <d v="2018-12-01T00:00:00"/>
    <s v="Royal"/>
    <n v="2"/>
    <n v="1"/>
    <n v="50"/>
    <s v="Onion   Yellow Jumbo"/>
    <x v="94"/>
    <x v="1"/>
    <n v="100"/>
    <n v="45.359237"/>
    <n v="0.26900000000000002"/>
    <n v="12.201634753"/>
  </r>
  <r>
    <d v="2018-12-01T00:00:00"/>
    <s v="Royal"/>
    <n v="3"/>
    <n v="1"/>
    <n v="20"/>
    <s v="Pr Onion  Yel  Diced 1/4&quot;"/>
    <x v="94"/>
    <x v="1"/>
    <n v="60"/>
    <n v="27.215542200000002"/>
    <n v="0.26900000000000002"/>
    <n v="7.3209808518000008"/>
  </r>
  <r>
    <d v="2018-12-03T00:00:00"/>
    <s v="Royal"/>
    <n v="2"/>
    <n v="1"/>
    <n v="50"/>
    <s v="Onion   Yellow Jumbo"/>
    <x v="94"/>
    <x v="1"/>
    <n v="100"/>
    <n v="45.359237"/>
    <n v="0.26900000000000002"/>
    <n v="12.201634753"/>
  </r>
  <r>
    <d v="2018-12-04T00:00:00"/>
    <s v="Royal"/>
    <n v="2"/>
    <n v="1"/>
    <n v="50"/>
    <s v="Onion   Yellow Jumbo"/>
    <x v="94"/>
    <x v="1"/>
    <n v="100"/>
    <n v="45.359237"/>
    <n v="0.26900000000000002"/>
    <n v="12.201634753"/>
  </r>
  <r>
    <d v="2018-12-04T00:00:00"/>
    <s v="Royal"/>
    <n v="1"/>
    <n v="1"/>
    <n v="20"/>
    <s v="Pr Onion  Yel  Diced 1/4&quot;"/>
    <x v="94"/>
    <x v="1"/>
    <n v="20"/>
    <n v="9.0718474000000011"/>
    <n v="0.26900000000000002"/>
    <n v="2.4403269506000003"/>
  </r>
  <r>
    <d v="2018-11-30T00:00:00"/>
    <s v="Royal"/>
    <n v="20"/>
    <n v="1"/>
    <n v="25.414928"/>
    <s v="oranges"/>
    <x v="96"/>
    <x v="1"/>
    <n v="508.29856000000001"/>
    <n v="230.56034849798721"/>
    <n v="0.29399999999999998"/>
    <n v="67.784742458408232"/>
  </r>
  <r>
    <d v="2018-12-01T00:00:00"/>
    <s v="Royal"/>
    <n v="40"/>
    <n v="1"/>
    <n v="25.414928"/>
    <s v="oranges"/>
    <x v="96"/>
    <x v="1"/>
    <n v="1016.59712"/>
    <n v="461.12069699597441"/>
    <n v="0.29399999999999998"/>
    <n v="135.56948491681646"/>
  </r>
  <r>
    <d v="2018-12-03T00:00:00"/>
    <s v="Royal"/>
    <n v="25"/>
    <n v="1"/>
    <n v="25.414928"/>
    <s v="oranges"/>
    <x v="96"/>
    <x v="1"/>
    <n v="635.3732"/>
    <n v="288.20043562248401"/>
    <n v="0.29399999999999998"/>
    <n v="84.73092807301029"/>
  </r>
  <r>
    <d v="2018-12-04T00:00:00"/>
    <s v="Royal"/>
    <n v="15"/>
    <n v="1"/>
    <n v="25.414928"/>
    <s v="oranges"/>
    <x v="96"/>
    <x v="1"/>
    <n v="381.22392000000002"/>
    <n v="172.9202613734904"/>
    <n v="0.29399999999999998"/>
    <n v="50.838556843806174"/>
  </r>
  <r>
    <d v="2018-12-05T00:00:00"/>
    <s v="Royal"/>
    <n v="14"/>
    <n v="1"/>
    <n v="25.414928"/>
    <s v="oranges"/>
    <x v="96"/>
    <x v="1"/>
    <n v="355.80899199999999"/>
    <n v="161.39224394859104"/>
    <n v="0.29399999999999998"/>
    <n v="47.449319720885761"/>
  </r>
  <r>
    <d v="2018-12-06T00:00:00"/>
    <s v="Royal"/>
    <n v="18"/>
    <n v="1"/>
    <n v="25.414928"/>
    <s v="oranges"/>
    <x v="96"/>
    <x v="1"/>
    <n v="457.468704"/>
    <n v="207.50431364818849"/>
    <n v="0.29399999999999998"/>
    <n v="61.006268212567413"/>
  </r>
  <r>
    <d v="2018-11-30T00:00:00"/>
    <s v="Canned and dry goods"/>
    <n v="1"/>
    <n v="6"/>
    <n v="5"/>
    <s v="MIX PANCAKE BTRMLK COMPLT"/>
    <x v="97"/>
    <x v="1"/>
    <n v="30"/>
    <n v="13.607771100000001"/>
    <m/>
    <n v="0"/>
  </r>
  <r>
    <d v="2018-12-03T00:00:00"/>
    <s v="Canned and dry goods"/>
    <n v="1"/>
    <n v="6"/>
    <n v="5"/>
    <s v="MIX PANCAKE BTRMLK COMPLT"/>
    <x v="97"/>
    <x v="1"/>
    <n v="30"/>
    <n v="13.607771100000001"/>
    <m/>
    <n v="0"/>
  </r>
  <r>
    <d v="2018-11-30T00:00:00"/>
    <s v="Royal"/>
    <n v="1"/>
    <n v="1"/>
    <n v="3.75"/>
    <s v="Parsley  Italian Cleaned&amp;Washed"/>
    <x v="98"/>
    <x v="1"/>
    <n v="3.75"/>
    <n v="1.7009713875000001"/>
    <n v="0.22"/>
    <n v="0.37421370525000003"/>
  </r>
  <r>
    <d v="2018-12-03T00:00:00"/>
    <s v="Royal"/>
    <n v="1"/>
    <n v="1"/>
    <n v="3.75"/>
    <s v="Parsley  Italian"/>
    <x v="98"/>
    <x v="1"/>
    <n v="3.75"/>
    <n v="1.7009713875000001"/>
    <n v="0.22"/>
    <n v="0.37421370525000003"/>
  </r>
  <r>
    <d v="2018-12-04T00:00:00"/>
    <s v="Royal"/>
    <n v="1"/>
    <n v="1"/>
    <n v="3.75"/>
    <s v="Parsley  Italian"/>
    <x v="98"/>
    <x v="1"/>
    <n v="3.75"/>
    <n v="1.7009713875000001"/>
    <n v="0.22"/>
    <n v="0.37421370525000003"/>
  </r>
  <r>
    <d v="2018-12-06T00:00:00"/>
    <s v="Royal"/>
    <n v="1"/>
    <n v="1"/>
    <n v="3.75"/>
    <s v="Parsley  Italian"/>
    <x v="98"/>
    <x v="1"/>
    <n v="3.75"/>
    <n v="1.7009713875000001"/>
    <n v="0.22"/>
    <n v="0.37421370525000003"/>
  </r>
  <r>
    <d v="2018-11-30T00:00:00"/>
    <s v="Royal"/>
    <n v="1"/>
    <n v="1"/>
    <n v="20"/>
    <s v="Parsnips"/>
    <x v="178"/>
    <x v="1"/>
    <n v="20"/>
    <n v="9.0718474000000011"/>
    <n v="0.24299999999999999"/>
    <n v="2.2044589182000003"/>
  </r>
  <r>
    <d v="2018-11-30T00:00:00"/>
    <s v="Canned and dry goods"/>
    <n v="4"/>
    <n v="2"/>
    <n v="10"/>
    <s v="PASTA PENNE RIGATE"/>
    <x v="99"/>
    <x v="1"/>
    <n v="80"/>
    <n v="36.287389600000004"/>
    <n v="5.99"/>
    <n v="217.36146370400004"/>
  </r>
  <r>
    <d v="2018-11-30T00:00:00"/>
    <s v="Canned and dry goods"/>
    <n v="4"/>
    <n v="2"/>
    <n v="10"/>
    <s v="PASTA GEMELLI"/>
    <x v="99"/>
    <x v="1"/>
    <n v="80"/>
    <n v="36.287389600000004"/>
    <n v="5.99"/>
    <n v="217.36146370400004"/>
  </r>
  <r>
    <d v="2018-11-30T00:00:00"/>
    <s v="Canned and dry goods"/>
    <n v="4"/>
    <n v="2"/>
    <n v="10"/>
    <s v="PASTA FARFALLE"/>
    <x v="99"/>
    <x v="1"/>
    <n v="80"/>
    <n v="36.287389600000004"/>
    <n v="5.99"/>
    <n v="217.36146370400004"/>
  </r>
  <r>
    <d v="2018-11-30T00:00:00"/>
    <s v="Canned and dry goods"/>
    <n v="4"/>
    <n v="2"/>
    <n v="10"/>
    <s v="PASTA MACARONI ELBOW"/>
    <x v="99"/>
    <x v="1"/>
    <n v="80"/>
    <n v="36.287389600000004"/>
    <n v="5.99"/>
    <n v="217.36146370400004"/>
  </r>
  <r>
    <d v="2018-12-05T00:00:00"/>
    <s v="Canned and dry goods"/>
    <n v="3"/>
    <n v="2"/>
    <n v="10"/>
    <s v="PASTA PENNE RIGATE"/>
    <x v="99"/>
    <x v="1"/>
    <n v="60"/>
    <n v="27.215542200000002"/>
    <n v="5.99"/>
    <n v="163.02109777800001"/>
  </r>
  <r>
    <d v="2018-11-30T00:00:00"/>
    <s v="Canned and dry goods"/>
    <n v="1"/>
    <n v="12"/>
    <n v="1"/>
    <s v="PASTE TAHINI"/>
    <x v="100"/>
    <x v="1"/>
    <n v="12"/>
    <n v="5.4431084400000005"/>
    <n v="0.11799999999999999"/>
    <n v="0.64228679592000004"/>
  </r>
  <r>
    <d v="2018-12-05T00:00:00"/>
    <s v="Canned and dry goods"/>
    <n v="1"/>
    <n v="1"/>
    <n v="20"/>
    <s v="PEA BLACKEYE DRIED"/>
    <x v="101"/>
    <x v="1"/>
    <n v="20"/>
    <n v="9.0718474000000011"/>
    <n v="0.61699999999999999"/>
    <n v="5.5973298458000009"/>
  </r>
  <r>
    <d v="2018-11-30T00:00:00"/>
    <s v="Royal"/>
    <n v="2"/>
    <n v="1"/>
    <n v="10"/>
    <s v="Peas  Snow"/>
    <x v="102"/>
    <x v="1"/>
    <n v="20"/>
    <n v="9.0718474000000011"/>
    <n v="0.70099999999999996"/>
    <n v="6.3593650274"/>
  </r>
  <r>
    <d v="2018-11-30T00:00:00"/>
    <s v="Frozen"/>
    <n v="2"/>
    <n v="12"/>
    <n v="2.5"/>
    <s v="PEA GREEN GR A P"/>
    <x v="103"/>
    <x v="1"/>
    <n v="60"/>
    <n v="27.215542200000002"/>
    <n v="0.61699999999999999"/>
    <n v="16.791989537399999"/>
  </r>
  <r>
    <d v="2018-12-03T00:00:00"/>
    <s v="Frozen"/>
    <n v="1"/>
    <n v="12"/>
    <n v="2.5"/>
    <s v="PEA GREEN GR A P"/>
    <x v="103"/>
    <x v="1"/>
    <n v="30"/>
    <n v="13.607771100000001"/>
    <n v="0.61699999999999999"/>
    <n v="8.3959947686999996"/>
  </r>
  <r>
    <d v="2018-12-04T00:00:00"/>
    <s v="Royal"/>
    <n v="2"/>
    <n v="1"/>
    <n v="10"/>
    <s v="IQF Peaches  Sliced"/>
    <x v="179"/>
    <x v="1"/>
    <n v="20"/>
    <n v="9.0718474000000011"/>
    <n v="0.27400000000000002"/>
    <n v="2.4856861876000007"/>
  </r>
  <r>
    <d v="2018-11-30T00:00:00"/>
    <s v="Royal"/>
    <n v="2"/>
    <n v="1"/>
    <n v="46.800000000000004"/>
    <s v="Pear 100-120 Ct"/>
    <x v="155"/>
    <x v="1"/>
    <n v="93.600000000000009"/>
    <n v="42.456245832000008"/>
    <n v="0.249"/>
    <n v="10.571605212168002"/>
  </r>
  <r>
    <d v="2018-11-30T00:00:00"/>
    <s v="Canned and dry goods"/>
    <n v="1"/>
    <n v="12"/>
    <n v="1.75"/>
    <s v="PEPPER RED ROASTED WHOLE"/>
    <x v="104"/>
    <x v="1"/>
    <n v="21"/>
    <n v="9.5254397700000002"/>
    <n v="0.52500000000000002"/>
    <n v="5.0008558792500004"/>
  </r>
  <r>
    <d v="2018-12-01T00:00:00"/>
    <s v="Royal"/>
    <n v="2"/>
    <n v="1"/>
    <n v="20"/>
    <s v="Pr Pepper  Green Diced 1/4&quot; LOCAL"/>
    <x v="180"/>
    <x v="1"/>
    <n v="40"/>
    <n v="18.143694800000002"/>
    <n v="0.52500000000000002"/>
    <n v="9.525439770000002"/>
  </r>
  <r>
    <d v="2018-11-30T00:00:00"/>
    <s v="Royal"/>
    <n v="2"/>
    <n v="1"/>
    <n v="33.333333333333336"/>
    <s v="Pepper   Red"/>
    <x v="180"/>
    <x v="1"/>
    <n v="66.666666666666671"/>
    <n v="30.239491333333337"/>
    <n v="0.52500000000000002"/>
    <n v="15.875732950000003"/>
  </r>
  <r>
    <d v="2018-11-30T00:00:00"/>
    <s v="Royal"/>
    <n v="1"/>
    <n v="1"/>
    <n v="20"/>
    <s v="Pr Pepper  Green Diced 1/4&quot; LOCAL"/>
    <x v="180"/>
    <x v="1"/>
    <n v="20"/>
    <n v="9.0718474000000011"/>
    <n v="0.52500000000000002"/>
    <n v="4.762719885000001"/>
  </r>
  <r>
    <d v="2018-12-01T00:00:00"/>
    <s v="Royal"/>
    <n v="3"/>
    <n v="1"/>
    <n v="33.333333333333336"/>
    <s v="Pepper   Green  Large LOCAL"/>
    <x v="180"/>
    <x v="1"/>
    <n v="100"/>
    <n v="45.359237"/>
    <n v="0.52500000000000002"/>
    <n v="23.813599425"/>
  </r>
  <r>
    <d v="2018-12-01T00:00:00"/>
    <s v="Royal"/>
    <n v="1"/>
    <n v="1"/>
    <n v="33.333333333333336"/>
    <s v="Pepper   Red"/>
    <x v="180"/>
    <x v="1"/>
    <n v="33.333333333333336"/>
    <n v="15.119745666666669"/>
    <n v="0.52500000000000002"/>
    <n v="7.9378664750000016"/>
  </r>
  <r>
    <d v="2018-12-03T00:00:00"/>
    <s v="Royal"/>
    <n v="1"/>
    <n v="1"/>
    <n v="33.333333333333336"/>
    <s v="Pepper   Green  Large LOCAL"/>
    <x v="180"/>
    <x v="1"/>
    <n v="33.333333333333336"/>
    <n v="15.119745666666669"/>
    <n v="0.52500000000000002"/>
    <n v="7.9378664750000016"/>
  </r>
  <r>
    <d v="2018-12-03T00:00:00"/>
    <s v="Royal"/>
    <n v="2"/>
    <n v="1"/>
    <n v="33.333333333333336"/>
    <s v="Pepper   Red"/>
    <x v="180"/>
    <x v="1"/>
    <n v="66.666666666666671"/>
    <n v="30.239491333333337"/>
    <n v="0.52500000000000002"/>
    <n v="15.875732950000003"/>
  </r>
  <r>
    <d v="2018-12-04T00:00:00"/>
    <s v="Royal"/>
    <n v="2"/>
    <n v="1"/>
    <n v="33.333333333333336"/>
    <s v="Pepper   Green  Large LOCAL"/>
    <x v="180"/>
    <x v="1"/>
    <n v="66.666666666666671"/>
    <n v="30.239491333333337"/>
    <n v="0.52500000000000002"/>
    <n v="15.875732950000003"/>
  </r>
  <r>
    <d v="2018-12-04T00:00:00"/>
    <s v="Royal"/>
    <n v="1"/>
    <n v="1"/>
    <n v="33.333333333333336"/>
    <s v="Pepper   Red"/>
    <x v="180"/>
    <x v="1"/>
    <n v="33.333333333333336"/>
    <n v="15.119745666666669"/>
    <n v="0.52500000000000002"/>
    <n v="7.9378664750000016"/>
  </r>
  <r>
    <d v="2018-12-05T00:00:00"/>
    <s v="Royal"/>
    <n v="1"/>
    <n v="1"/>
    <n v="33.333333333333336"/>
    <s v="Pepper   Green  Large LOCAL"/>
    <x v="180"/>
    <x v="1"/>
    <n v="33.333333333333336"/>
    <n v="15.119745666666669"/>
    <n v="0.52500000000000002"/>
    <n v="7.9378664750000016"/>
  </r>
  <r>
    <d v="2018-12-05T00:00:00"/>
    <s v="Royal"/>
    <n v="2"/>
    <n v="1"/>
    <n v="33.333333333333336"/>
    <s v="Pepper   Red"/>
    <x v="180"/>
    <x v="1"/>
    <n v="66.666666666666671"/>
    <n v="30.239491333333337"/>
    <n v="0.52500000000000002"/>
    <n v="15.875732950000003"/>
  </r>
  <r>
    <d v="2018-12-06T00:00:00"/>
    <s v="Royal"/>
    <n v="1"/>
    <n v="1"/>
    <n v="33.333333333333336"/>
    <s v="Pepper   Green  Large LOCAL"/>
    <x v="180"/>
    <x v="1"/>
    <n v="33.333333333333336"/>
    <n v="15.119745666666669"/>
    <n v="0.52500000000000002"/>
    <n v="7.9378664750000016"/>
  </r>
  <r>
    <d v="2018-12-06T00:00:00"/>
    <s v="Royal"/>
    <n v="2"/>
    <n v="1"/>
    <n v="33.333333333333336"/>
    <s v="Pepper   Red"/>
    <x v="180"/>
    <x v="1"/>
    <n v="66.666666666666671"/>
    <n v="30.239491333333337"/>
    <n v="0.52500000000000002"/>
    <n v="15.875732950000003"/>
  </r>
  <r>
    <d v="2018-12-06T00:00:00"/>
    <s v="Royal"/>
    <n v="1"/>
    <n v="1"/>
    <n v="20"/>
    <s v="pepper green diced"/>
    <x v="180"/>
    <x v="1"/>
    <n v="20"/>
    <n v="9.0718474000000011"/>
    <n v="0.52500000000000002"/>
    <n v="4.762719885000001"/>
  </r>
  <r>
    <d v="2018-11-30T00:00:00"/>
    <s v="Canned and dry goods"/>
    <n v="1"/>
    <n v="3"/>
    <n v="5"/>
    <s v="SPICE PEPPER BLK SHAKER GRND"/>
    <x v="105"/>
    <x v="1"/>
    <n v="15"/>
    <n v="6.8038855500000004"/>
    <n v="0.87"/>
    <n v="5.9193804285000002"/>
  </r>
  <r>
    <d v="2018-12-05T00:00:00"/>
    <s v="Canned and dry goods"/>
    <n v="1"/>
    <n v="3"/>
    <n v="5"/>
    <s v="SPICE PEPPER BLK SHAKER GRND"/>
    <x v="105"/>
    <x v="1"/>
    <n v="15"/>
    <n v="6.8038855500000004"/>
    <n v="0.87"/>
    <n v="5.9193804285000002"/>
  </r>
  <r>
    <d v="2018-11-30T00:00:00"/>
    <s v="Royal"/>
    <n v="1"/>
    <n v="1"/>
    <n v="33.333333333333336"/>
    <s v="Pepper   Green  Large LOCAL"/>
    <x v="156"/>
    <x v="1"/>
    <n v="33.333333333333336"/>
    <n v="15.119745666666669"/>
    <n v="0.52500000000000002"/>
    <n v="7.9378664750000016"/>
  </r>
  <r>
    <d v="2018-11-30T00:00:00"/>
    <s v="Canned and dry goods"/>
    <n v="2"/>
    <n v="12"/>
    <n v="1.6875"/>
    <s v="PEPPER CHILI GREEN DICED"/>
    <x v="106"/>
    <x v="1"/>
    <n v="40.5"/>
    <n v="18.370490985"/>
    <n v="0.79900000000000004"/>
    <n v="14.678022297015001"/>
  </r>
  <r>
    <d v="2018-11-30T00:00:00"/>
    <s v="Canned and dry goods"/>
    <n v="2"/>
    <n v="12"/>
    <n v="0.4375"/>
    <s v="PEPPER CHIPOTLE IN ADOBO SAUCE"/>
    <x v="106"/>
    <x v="1"/>
    <n v="10.5"/>
    <n v="4.7627198850000001"/>
    <n v="0.79900000000000004"/>
    <n v="3.8054131881150002"/>
  </r>
  <r>
    <d v="2018-12-05T00:00:00"/>
    <s v="Canned and dry goods"/>
    <n v="1"/>
    <n v="4"/>
    <n v="8.35"/>
    <s v="PEPPER JALAPENO NACHO SLI"/>
    <x v="106"/>
    <x v="1"/>
    <n v="33.4"/>
    <n v="15.149985158"/>
    <n v="0.79900000000000004"/>
    <n v="12.104838141242"/>
  </r>
  <r>
    <d v="2018-11-30T00:00:00"/>
    <s v="Canned and dry goods"/>
    <n v="1"/>
    <n v="4"/>
    <n v="8.35"/>
    <s v="PEPPER JALAPENO NACHO SLI"/>
    <x v="107"/>
    <x v="1"/>
    <n v="33.4"/>
    <n v="15.149985158"/>
    <n v="0.79900000000000004"/>
    <n v="12.104838141242"/>
  </r>
  <r>
    <d v="2018-11-30T00:00:00"/>
    <s v="Royal"/>
    <n v="6"/>
    <n v="1"/>
    <n v="20"/>
    <s v="Pineapple Crownless 8-11ct"/>
    <x v="108"/>
    <x v="1"/>
    <n v="120"/>
    <n v="54.431084400000003"/>
    <n v="0.91400000000000003"/>
    <n v="49.750011141600005"/>
  </r>
  <r>
    <d v="2018-12-01T00:00:00"/>
    <s v="Royal"/>
    <n v="6"/>
    <n v="1"/>
    <n v="20"/>
    <s v="Pineapple Crownless 8-11ct"/>
    <x v="108"/>
    <x v="1"/>
    <n v="120"/>
    <n v="54.431084400000003"/>
    <n v="0.91400000000000003"/>
    <n v="49.750011141600005"/>
  </r>
  <r>
    <d v="2018-12-03T00:00:00"/>
    <s v="Royal"/>
    <n v="6"/>
    <n v="1"/>
    <n v="20"/>
    <s v="Pineapple Crownless 8-11ct"/>
    <x v="108"/>
    <x v="1"/>
    <n v="120"/>
    <n v="54.431084400000003"/>
    <n v="0.91400000000000003"/>
    <n v="49.750011141600005"/>
  </r>
  <r>
    <d v="2018-12-06T00:00:00"/>
    <s v="Royal"/>
    <n v="4"/>
    <n v="1"/>
    <n v="20"/>
    <s v="pineapple Crownless 8-11ct"/>
    <x v="108"/>
    <x v="1"/>
    <n v="80"/>
    <n v="36.287389600000004"/>
    <n v="0.91400000000000003"/>
    <n v="33.166674094400008"/>
  </r>
  <r>
    <d v="2018-10-26T00:00:00"/>
    <s v="Savannah River Farms"/>
    <n v="1"/>
    <n v="1"/>
    <n v="100"/>
    <s v="bacon"/>
    <x v="109"/>
    <x v="0"/>
    <n v="100"/>
    <n v="45.359237"/>
    <n v="5.56"/>
    <n v="252.19735771999999"/>
  </r>
  <r>
    <d v="2018-10-26T00:00:00"/>
    <s v="Savannah River Farms"/>
    <n v="1"/>
    <n v="1"/>
    <n v="40"/>
    <s v="cured bacon ends and pieces"/>
    <x v="109"/>
    <x v="0"/>
    <n v="40"/>
    <n v="18.143694800000002"/>
    <n v="5.56"/>
    <n v="100.878943088"/>
  </r>
  <r>
    <d v="2018-10-26T00:00:00"/>
    <s v="Savannah River Farms"/>
    <n v="1"/>
    <n v="1"/>
    <n v="100"/>
    <s v="sausage patties"/>
    <x v="109"/>
    <x v="0"/>
    <n v="100"/>
    <n v="45.359237"/>
    <n v="5.56"/>
    <n v="252.19735771999999"/>
  </r>
  <r>
    <d v="2018-10-26T00:00:00"/>
    <s v="Savannah River Farms"/>
    <n v="1"/>
    <n v="1"/>
    <n v="40"/>
    <s v="zesty italian links"/>
    <x v="109"/>
    <x v="0"/>
    <n v="40"/>
    <n v="18.143694800000002"/>
    <n v="5.56"/>
    <n v="100.878943088"/>
  </r>
  <r>
    <d v="2018-10-26T00:00:00"/>
    <s v="Savannah River Farms"/>
    <n v="1"/>
    <n v="1"/>
    <n v="303.95"/>
    <s v="boneless pork loin"/>
    <x v="109"/>
    <x v="0"/>
    <n v="303.95"/>
    <n v="137.8694008615"/>
    <n v="5.56"/>
    <n v="766.55386878993988"/>
  </r>
  <r>
    <d v="2018-10-26T00:00:00"/>
    <s v="Savannah River Farms"/>
    <n v="1"/>
    <n v="1"/>
    <n v="307.60000000000002"/>
    <s v="pork shoulder"/>
    <x v="109"/>
    <x v="0"/>
    <n v="307.60000000000002"/>
    <n v="139.52501301200002"/>
    <n v="5.56"/>
    <n v="775.75907234672002"/>
  </r>
  <r>
    <d v="2018-10-26T00:00:00"/>
    <s v="Savannah River Farms"/>
    <n v="1"/>
    <n v="1"/>
    <n v="60"/>
    <s v="bratwurst links"/>
    <x v="109"/>
    <x v="0"/>
    <n v="60"/>
    <n v="27.215542200000002"/>
    <n v="5.56"/>
    <n v="151.31841463199999"/>
  </r>
  <r>
    <d v="2018-10-26T00:00:00"/>
    <s v="Savannah River Farms"/>
    <n v="1"/>
    <n v="1"/>
    <n v="20"/>
    <s v="chorizo bulk"/>
    <x v="109"/>
    <x v="0"/>
    <n v="20"/>
    <n v="9.0718474000000011"/>
    <n v="5.56"/>
    <n v="50.439471544"/>
  </r>
  <r>
    <d v="2018-11-30T00:00:00"/>
    <s v="Meats"/>
    <n v="1"/>
    <n v="1"/>
    <n v="89.1"/>
    <s v="HAM PIT BNLS CKD"/>
    <x v="109"/>
    <x v="0"/>
    <n v="89.1"/>
    <n v="40.415080166999999"/>
    <n v="5.56"/>
    <n v="224.70784572851997"/>
  </r>
  <r>
    <d v="2018-12-05T00:00:00"/>
    <s v="Meats"/>
    <n v="1"/>
    <n v="1"/>
    <n v="29.8"/>
    <s v="HAM PIT BNLS CKD"/>
    <x v="109"/>
    <x v="0"/>
    <n v="29.8"/>
    <n v="13.517052626000002"/>
    <n v="5.56"/>
    <n v="75.154812600560007"/>
  </r>
  <r>
    <d v="2018-11-30T00:00:00"/>
    <s v="Royal"/>
    <n v="2"/>
    <n v="1"/>
    <n v="50"/>
    <s v="Potato"/>
    <x v="110"/>
    <x v="1"/>
    <n v="100"/>
    <n v="45.359237"/>
    <n v="0.217"/>
    <n v="9.8429544290000006"/>
  </r>
  <r>
    <d v="2018-11-30T00:00:00"/>
    <s v="Royal"/>
    <n v="6"/>
    <n v="1"/>
    <n v="40"/>
    <s v="Potato"/>
    <x v="110"/>
    <x v="1"/>
    <n v="240"/>
    <n v="108.86216880000001"/>
    <n v="0.217"/>
    <n v="23.6230906296"/>
  </r>
  <r>
    <d v="2018-11-30T00:00:00"/>
    <s v="Royal"/>
    <n v="4"/>
    <n v="1"/>
    <n v="50"/>
    <s v="Potato"/>
    <x v="110"/>
    <x v="1"/>
    <n v="200"/>
    <n v="90.718474000000001"/>
    <n v="0.217"/>
    <n v="19.685908858000001"/>
  </r>
  <r>
    <d v="2018-12-01T00:00:00"/>
    <s v="Royal"/>
    <n v="2"/>
    <n v="1"/>
    <n v="50"/>
    <s v="Potato    Red  A"/>
    <x v="110"/>
    <x v="1"/>
    <n v="100"/>
    <n v="45.359237"/>
    <n v="0.217"/>
    <n v="9.8429544290000006"/>
  </r>
  <r>
    <d v="2018-12-01T00:00:00"/>
    <s v="Royal"/>
    <n v="2"/>
    <n v="1"/>
    <n v="50"/>
    <s v="Potato"/>
    <x v="110"/>
    <x v="1"/>
    <n v="100"/>
    <n v="45.359237"/>
    <n v="0.217"/>
    <n v="9.8429544290000006"/>
  </r>
  <r>
    <d v="2018-12-05T00:00:00"/>
    <s v="Royal"/>
    <n v="4"/>
    <n v="1"/>
    <n v="50"/>
    <s v="Potato    Red  A"/>
    <x v="110"/>
    <x v="1"/>
    <n v="200"/>
    <n v="90.718474000000001"/>
    <n v="0.217"/>
    <n v="19.685908858000001"/>
  </r>
  <r>
    <d v="2018-12-06T00:00:00"/>
    <s v="Royal"/>
    <n v="4"/>
    <n v="1"/>
    <n v="50"/>
    <s v="potato russet"/>
    <x v="110"/>
    <x v="1"/>
    <n v="200"/>
    <n v="90.718474000000001"/>
    <n v="0.217"/>
    <n v="19.685908858000001"/>
  </r>
  <r>
    <d v="2018-12-06T00:00:00"/>
    <s v="Royal"/>
    <n v="4"/>
    <n v="1"/>
    <n v="50"/>
    <s v="potato yukon gold"/>
    <x v="110"/>
    <x v="1"/>
    <n v="200"/>
    <n v="90.718474000000001"/>
    <n v="0.217"/>
    <n v="19.685908858000001"/>
  </r>
  <r>
    <d v="2018-11-30T00:00:00"/>
    <s v="Frozen"/>
    <n v="4"/>
    <n v="6"/>
    <n v="6"/>
    <s v="POTATO H/BRN DICE SKIN-ON CTRY"/>
    <x v="110"/>
    <x v="1"/>
    <n v="144"/>
    <n v="65.317301279999995"/>
    <n v="0.217"/>
    <n v="14.17385437776"/>
  </r>
  <r>
    <d v="2018-11-30T00:00:00"/>
    <s v="Frozen"/>
    <n v="4"/>
    <n v="6"/>
    <n v="3"/>
    <s v="POTATO H/BRN IQF LOOSE SHRED"/>
    <x v="110"/>
    <x v="1"/>
    <n v="72"/>
    <n v="32.658650639999998"/>
    <n v="0.217"/>
    <n v="7.0869271888799998"/>
  </r>
  <r>
    <d v="2018-11-30T00:00:00"/>
    <s v="Frozen"/>
    <n v="6"/>
    <n v="6"/>
    <n v="5"/>
    <s v="POTATO FRY 3/8 COLSSL CRISP"/>
    <x v="110"/>
    <x v="1"/>
    <n v="180"/>
    <n v="81.646626600000005"/>
    <n v="0.217"/>
    <n v="17.7173179722"/>
  </r>
  <r>
    <d v="2018-12-03T00:00:00"/>
    <s v="Frozen"/>
    <n v="4"/>
    <n v="6"/>
    <n v="6"/>
    <s v="POTATO H/BRN DICE SKIN-ON CTRY"/>
    <x v="110"/>
    <x v="1"/>
    <n v="144"/>
    <n v="65.317301279999995"/>
    <n v="0.217"/>
    <n v="14.17385437776"/>
  </r>
  <r>
    <d v="2018-12-03T00:00:00"/>
    <s v="Frozen"/>
    <n v="4"/>
    <n v="6"/>
    <n v="3"/>
    <s v="POTATO H/BRN IQF LOOSE SHRED"/>
    <x v="110"/>
    <x v="1"/>
    <n v="72"/>
    <n v="32.658650639999998"/>
    <n v="0.217"/>
    <n v="7.0869271888799998"/>
  </r>
  <r>
    <d v="2018-12-03T00:00:00"/>
    <s v="Frozen"/>
    <n v="4"/>
    <n v="6"/>
    <n v="5"/>
    <s v="POTATO FRY STEAK HSE"/>
    <x v="110"/>
    <x v="1"/>
    <n v="120"/>
    <n v="54.431084400000003"/>
    <n v="0.217"/>
    <n v="11.8115453148"/>
  </r>
  <r>
    <d v="2018-12-05T00:00:00"/>
    <s v="Frozen"/>
    <n v="4"/>
    <n v="6"/>
    <n v="5"/>
    <s v="POTATO TATER PUFF"/>
    <x v="110"/>
    <x v="1"/>
    <n v="120"/>
    <n v="54.431084400000003"/>
    <n v="0.217"/>
    <n v="11.8115453148"/>
  </r>
  <r>
    <d v="2018-12-05T00:00:00"/>
    <s v="Frozen"/>
    <n v="4"/>
    <n v="6"/>
    <n v="5"/>
    <s v="POTATO FRY STEAK HSE"/>
    <x v="110"/>
    <x v="1"/>
    <n v="120"/>
    <n v="54.431084400000003"/>
    <n v="0.217"/>
    <n v="11.8115453148"/>
  </r>
  <r>
    <d v="2018-12-05T00:00:00"/>
    <s v="Frozen"/>
    <n v="8"/>
    <n v="6"/>
    <n v="5"/>
    <s v="POTATO FRY 3/8 COLSSL CRISP"/>
    <x v="110"/>
    <x v="1"/>
    <n v="240"/>
    <n v="108.86216880000001"/>
    <n v="0.217"/>
    <n v="23.6230906296"/>
  </r>
  <r>
    <d v="2018-12-03T00:00:00"/>
    <s v="Frozen"/>
    <n v="4"/>
    <n v="6"/>
    <n v="5"/>
    <s v="POTATO CHIP NAT FRY 1/8"/>
    <x v="111"/>
    <x v="1"/>
    <n v="120"/>
    <n v="54.431084400000003"/>
    <n v="1.5449999999999999"/>
    <n v="84.096025397999995"/>
  </r>
  <r>
    <d v="2018-12-05T00:00:00"/>
    <s v="Canned and dry goods"/>
    <n v="1"/>
    <n v="24"/>
    <n v="0.9375"/>
    <s v="RAISIN SEEDLESS"/>
    <x v="112"/>
    <x v="1"/>
    <n v="22.5"/>
    <n v="10.205828325000001"/>
    <n v="0.68400000000000005"/>
    <n v="6.9807865743000006"/>
  </r>
  <r>
    <d v="2018-12-05T00:00:00"/>
    <s v="Canned and dry goods"/>
    <n v="1"/>
    <n v="1"/>
    <n v="30"/>
    <s v="RAISIN SEEDLESS GOLDEN"/>
    <x v="112"/>
    <x v="1"/>
    <n v="30"/>
    <n v="13.607771100000001"/>
    <n v="0.68400000000000005"/>
    <n v="9.307715432400002"/>
  </r>
  <r>
    <d v="2018-11-30T00:00:00"/>
    <s v="Canned and dry goods"/>
    <n v="8"/>
    <n v="1"/>
    <n v="25"/>
    <s v="RICE PARBOILED"/>
    <x v="113"/>
    <x v="1"/>
    <n v="200"/>
    <n v="90.718474000000001"/>
    <n v="1.5409999999999999"/>
    <n v="139.79716843399999"/>
  </r>
  <r>
    <d v="2018-11-30T00:00:00"/>
    <s v="Canned and dry goods"/>
    <n v="4"/>
    <n v="2"/>
    <n v="5"/>
    <s v="RICE JASMINE"/>
    <x v="113"/>
    <x v="1"/>
    <n v="40"/>
    <n v="18.143694800000002"/>
    <n v="1.5409999999999999"/>
    <n v="27.959433686800001"/>
  </r>
  <r>
    <d v="2018-11-30T00:00:00"/>
    <s v="Canned and dry goods"/>
    <n v="4"/>
    <n v="1"/>
    <n v="25"/>
    <s v="RICE PARBOILED BRN WHLGN LNGRN"/>
    <x v="113"/>
    <x v="1"/>
    <n v="100"/>
    <n v="45.359237"/>
    <n v="1.5409999999999999"/>
    <n v="69.898584216999993"/>
  </r>
  <r>
    <d v="2018-11-30T00:00:00"/>
    <s v="Canned and dry goods"/>
    <n v="4"/>
    <n v="2"/>
    <n v="5"/>
    <s v="RICE BASMATI"/>
    <x v="113"/>
    <x v="1"/>
    <n v="40"/>
    <n v="18.143694800000002"/>
    <n v="1.5409999999999999"/>
    <n v="27.959433686800001"/>
  </r>
  <r>
    <d v="2018-12-03T00:00:00"/>
    <s v="Canned and dry goods"/>
    <n v="3"/>
    <n v="1"/>
    <n v="25"/>
    <s v="RICE PARBOILED"/>
    <x v="113"/>
    <x v="1"/>
    <n v="75"/>
    <n v="34.019427750000006"/>
    <n v="1.5409999999999999"/>
    <n v="52.423938162750005"/>
  </r>
  <r>
    <d v="2018-12-03T00:00:00"/>
    <s v="Canned and dry goods"/>
    <n v="3"/>
    <n v="2"/>
    <n v="5"/>
    <s v="RICE JASMINE"/>
    <x v="113"/>
    <x v="1"/>
    <n v="30"/>
    <n v="13.607771100000001"/>
    <n v="1.5409999999999999"/>
    <n v="20.969575265100001"/>
  </r>
  <r>
    <d v="2018-12-03T00:00:00"/>
    <s v="Canned and dry goods"/>
    <n v="2"/>
    <n v="1"/>
    <n v="25"/>
    <s v="RICE PARBOILED BRN WHLGN LNGRN"/>
    <x v="113"/>
    <x v="1"/>
    <n v="50"/>
    <n v="22.6796185"/>
    <n v="1.5409999999999999"/>
    <n v="34.949292108499996"/>
  </r>
  <r>
    <d v="2018-12-03T00:00:00"/>
    <s v="Canned and dry goods"/>
    <n v="1"/>
    <n v="1"/>
    <n v="50"/>
    <s v="RICE CALROSE MED GRN SUSHI"/>
    <x v="113"/>
    <x v="1"/>
    <n v="50"/>
    <n v="22.6796185"/>
    <n v="1.5409999999999999"/>
    <n v="34.949292108499996"/>
  </r>
  <r>
    <d v="2018-12-05T00:00:00"/>
    <s v="Canned and dry goods"/>
    <n v="4"/>
    <n v="1"/>
    <n v="25"/>
    <s v="RICE PARBOILED"/>
    <x v="113"/>
    <x v="1"/>
    <n v="100"/>
    <n v="45.359237"/>
    <n v="1.5409999999999999"/>
    <n v="69.898584216999993"/>
  </r>
  <r>
    <d v="2018-12-05T00:00:00"/>
    <s v="Canned and dry goods"/>
    <n v="3"/>
    <n v="1"/>
    <n v="25"/>
    <s v="RICE PARBOILED BRN WHLGN LNGRN"/>
    <x v="113"/>
    <x v="1"/>
    <n v="75"/>
    <n v="34.019427750000006"/>
    <n v="1.5409999999999999"/>
    <n v="52.423938162750005"/>
  </r>
  <r>
    <d v="2018-12-05T00:00:00"/>
    <s v="Canned and dry goods"/>
    <n v="1"/>
    <n v="1"/>
    <n v="50"/>
    <s v="RICE CALROSE MED GRN SUSHI"/>
    <x v="113"/>
    <x v="1"/>
    <n v="50"/>
    <n v="22.6796185"/>
    <n v="1.5409999999999999"/>
    <n v="34.949292108499996"/>
  </r>
  <r>
    <d v="2018-11-30T00:00:00"/>
    <s v="Royal"/>
    <n v="1"/>
    <n v="1"/>
    <n v="48"/>
    <s v="Romaine  Hearts"/>
    <x v="171"/>
    <x v="1"/>
    <n v="48"/>
    <n v="21.772433760000002"/>
    <n v="0.158"/>
    <n v="3.4400445340800005"/>
  </r>
  <r>
    <d v="2018-11-30T00:00:00"/>
    <s v="Canned and dry goods"/>
    <n v="1"/>
    <n v="4"/>
    <n v="7.9"/>
    <s v="OIL SESAME SEED PURE"/>
    <x v="115"/>
    <x v="1"/>
    <n v="31.6"/>
    <n v="14.333518892000003"/>
    <n v="2.3340000000000001"/>
    <n v="33.45443309392801"/>
  </r>
  <r>
    <d v="2018-12-03T00:00:00"/>
    <s v="Royal"/>
    <n v="1"/>
    <n v="1"/>
    <n v="18.16"/>
    <s v="Shallots Peeled"/>
    <x v="116"/>
    <x v="1"/>
    <n v="18.16"/>
    <n v="8.2372374392000012"/>
    <n v="0.27500000000000002"/>
    <n v="2.2652402957800004"/>
  </r>
  <r>
    <d v="2018-12-04T00:00:00"/>
    <s v="Royal"/>
    <n v="1"/>
    <n v="1"/>
    <n v="20"/>
    <s v="Pr Slaw W/ Carrots/Red Cabbage"/>
    <x v="181"/>
    <x v="1"/>
    <n v="20"/>
    <n v="9.0718474000000011"/>
    <n v="1.0074E-2"/>
    <n v="9.1389790707600005E-2"/>
  </r>
  <r>
    <d v="2018-10-31T00:00:00"/>
    <s v="Honeysuckle Gelato"/>
    <n v="1"/>
    <n v="1"/>
    <n v="100"/>
    <s v="mango sorbet (50L but need 2s of fruit per liter of sorbet, so you need 100lbs for 50L)"/>
    <x v="117"/>
    <x v="1"/>
    <n v="100"/>
    <n v="45.359237"/>
    <n v="0.63900000000000001"/>
    <n v="28.984552443000002"/>
  </r>
  <r>
    <d v="2018-11-30T00:00:00"/>
    <s v="Dairy Products"/>
    <n v="3"/>
    <n v="1"/>
    <n v="21.5"/>
    <s v="MILK SOY VAN BAG"/>
    <x v="118"/>
    <x v="1"/>
    <n v="64.5"/>
    <n v="29.256707864999999"/>
    <n v="0.25800000000000001"/>
    <n v="7.5482306291699999"/>
  </r>
  <r>
    <d v="2018-11-30T00:00:00"/>
    <s v="Dairy Products"/>
    <n v="3"/>
    <n v="1"/>
    <n v="21.5"/>
    <s v="MILK SOY CHOC BAG"/>
    <x v="118"/>
    <x v="1"/>
    <n v="64.5"/>
    <n v="29.256707864999999"/>
    <n v="0.25800000000000001"/>
    <n v="7.5482306291699999"/>
  </r>
  <r>
    <d v="2018-11-30T00:00:00"/>
    <s v="Dairy Products"/>
    <n v="1"/>
    <n v="12"/>
    <n v="2"/>
    <s v="MILK SOY PLAIN"/>
    <x v="118"/>
    <x v="1"/>
    <n v="24"/>
    <n v="10.886216880000001"/>
    <n v="0.25800000000000001"/>
    <n v="2.8086439550400004"/>
  </r>
  <r>
    <d v="2018-12-03T00:00:00"/>
    <s v="Dairy Products"/>
    <n v="2"/>
    <n v="1"/>
    <n v="21.5"/>
    <s v="MILK SOY VAN BAG"/>
    <x v="118"/>
    <x v="1"/>
    <n v="43"/>
    <n v="19.504471909999999"/>
    <n v="0.25800000000000001"/>
    <n v="5.0321537527800002"/>
  </r>
  <r>
    <d v="2018-12-03T00:00:00"/>
    <s v="Dairy Products"/>
    <n v="1"/>
    <n v="1"/>
    <n v="21.5"/>
    <s v="MILK SOY CHOC BAG"/>
    <x v="118"/>
    <x v="1"/>
    <n v="21.5"/>
    <n v="9.7522359549999997"/>
    <n v="0.25800000000000001"/>
    <n v="2.5160768763900001"/>
  </r>
  <r>
    <d v="2018-12-05T00:00:00"/>
    <s v="Dairy Products"/>
    <n v="2"/>
    <n v="1"/>
    <n v="21.5"/>
    <s v="MILK SOY VAN BAG"/>
    <x v="118"/>
    <x v="1"/>
    <n v="43"/>
    <n v="19.504471909999999"/>
    <n v="0.25800000000000001"/>
    <n v="5.0321537527800002"/>
  </r>
  <r>
    <d v="2018-12-05T00:00:00"/>
    <s v="Dairy Products"/>
    <n v="2"/>
    <n v="1"/>
    <n v="21.5"/>
    <s v="MILK SOY CHOC BAG"/>
    <x v="118"/>
    <x v="1"/>
    <n v="43"/>
    <n v="19.504471909999999"/>
    <n v="0.25800000000000001"/>
    <n v="5.0321537527800002"/>
  </r>
  <r>
    <d v="2018-12-03T00:00:00"/>
    <s v="Canned and dry goods"/>
    <n v="3"/>
    <n v="6"/>
    <n v="0.875"/>
    <s v="SPICE CUMIN GRND"/>
    <x v="120"/>
    <x v="1"/>
    <n v="15.75"/>
    <n v="7.1440798275000006"/>
    <n v="0.87"/>
    <n v="6.2153494499250002"/>
  </r>
  <r>
    <d v="2018-12-03T00:00:00"/>
    <s v="Canned and dry goods"/>
    <n v="3"/>
    <n v="6"/>
    <n v="1"/>
    <s v="SPICE PAPRIKA XFCY"/>
    <x v="120"/>
    <x v="1"/>
    <n v="18"/>
    <n v="8.1646626599999994"/>
    <n v="0.87"/>
    <n v="7.103256514199999"/>
  </r>
  <r>
    <d v="2018-12-05T00:00:00"/>
    <s v="Canned and dry goods"/>
    <n v="3"/>
    <n v="6"/>
    <n v="1.125"/>
    <s v="SPICE CHILI POWDER LT"/>
    <x v="120"/>
    <x v="1"/>
    <n v="20.25"/>
    <n v="9.1852454925"/>
    <n v="0.87"/>
    <n v="7.9911635784749997"/>
  </r>
  <r>
    <d v="2018-12-05T00:00:00"/>
    <s v="Canned and dry goods"/>
    <n v="3"/>
    <n v="6"/>
    <n v="0.875"/>
    <s v="SPICE CUMIN GRND"/>
    <x v="120"/>
    <x v="1"/>
    <n v="15.75"/>
    <n v="7.1440798275000006"/>
    <n v="0.87"/>
    <n v="6.2153494499250002"/>
  </r>
  <r>
    <d v="2018-12-05T00:00:00"/>
    <s v="Canned and dry goods"/>
    <n v="1"/>
    <n v="3"/>
    <n v="7.25"/>
    <s v="SPICE GARLIC GRANULATED"/>
    <x v="120"/>
    <x v="1"/>
    <n v="21.75"/>
    <n v="9.8656340475000004"/>
    <n v="0.87"/>
    <n v="8.5831016213249995"/>
  </r>
  <r>
    <d v="2018-12-05T00:00:00"/>
    <s v="Canned and dry goods"/>
    <n v="3"/>
    <n v="6"/>
    <n v="1.25"/>
    <s v="SPICE ONION POWDER"/>
    <x v="120"/>
    <x v="1"/>
    <n v="22.5"/>
    <n v="10.205828325000001"/>
    <n v="0.87"/>
    <n v="8.8790706427500012"/>
  </r>
  <r>
    <d v="2018-11-30T00:00:00"/>
    <s v="Canned and dry goods"/>
    <n v="2"/>
    <n v="6"/>
    <n v="1.125"/>
    <s v="SEASONING CAJUN"/>
    <x v="121"/>
    <x v="1"/>
    <n v="13.5"/>
    <n v="6.1234969950000009"/>
    <n v="0.87"/>
    <n v="5.3274423856500004"/>
  </r>
  <r>
    <d v="2018-11-30T00:00:00"/>
    <s v="Canned and dry goods"/>
    <n v="1"/>
    <n v="6"/>
    <n v="1"/>
    <s v="SPICE CURRY POWDER"/>
    <x v="121"/>
    <x v="1"/>
    <n v="6"/>
    <n v="2.7215542200000002"/>
    <n v="0.87"/>
    <n v="2.3677521714000003"/>
  </r>
  <r>
    <d v="2018-11-30T00:00:00"/>
    <s v="Canned and dry goods"/>
    <n v="1"/>
    <n v="3"/>
    <n v="7.25"/>
    <s v="SPICE GARLIC GRANULATED"/>
    <x v="121"/>
    <x v="1"/>
    <n v="21.75"/>
    <n v="9.8656340475000004"/>
    <n v="0.87"/>
    <n v="8.5831016213249995"/>
  </r>
  <r>
    <d v="2018-11-30T00:00:00"/>
    <s v="Canned and dry goods"/>
    <n v="1"/>
    <n v="12"/>
    <n v="3"/>
    <s v="SALT KOSHER FLAKE COARSE"/>
    <x v="121"/>
    <x v="1"/>
    <n v="36"/>
    <n v="16.329325319999999"/>
    <n v="0.87"/>
    <n v="14.206513028399998"/>
  </r>
  <r>
    <d v="2018-11-30T00:00:00"/>
    <s v="Canned and dry goods"/>
    <n v="2"/>
    <n v="6"/>
    <n v="1.5"/>
    <s v="SEASONING OLD BAY"/>
    <x v="121"/>
    <x v="1"/>
    <n v="18"/>
    <n v="8.1646626599999994"/>
    <n v="0.87"/>
    <n v="7.103256514199999"/>
  </r>
  <r>
    <d v="2018-11-30T00:00:00"/>
    <s v="Canned and dry goods"/>
    <n v="1"/>
    <n v="6"/>
    <n v="0.390625"/>
    <s v="SEASONING ITALIAN WHL"/>
    <x v="121"/>
    <x v="1"/>
    <n v="2.34375"/>
    <n v="1.0631071171875002"/>
    <n v="0.87"/>
    <n v="0.92490319195312509"/>
  </r>
  <r>
    <d v="2018-12-03T00:00:00"/>
    <s v="Canned and dry goods"/>
    <n v="2"/>
    <n v="6"/>
    <n v="1.125"/>
    <s v="SEASONING CARIBBEAN JERK"/>
    <x v="121"/>
    <x v="1"/>
    <n v="13.5"/>
    <n v="6.1234969950000009"/>
    <n v="0.87"/>
    <n v="5.3274423856500004"/>
  </r>
  <r>
    <d v="2018-12-03T00:00:00"/>
    <s v="Canned and dry goods"/>
    <n v="1"/>
    <n v="12"/>
    <n v="3"/>
    <s v="SALT KOSHER FLAKE COARSE"/>
    <x v="121"/>
    <x v="1"/>
    <n v="36"/>
    <n v="16.329325319999999"/>
    <n v="0.87"/>
    <n v="14.206513028399998"/>
  </r>
  <r>
    <d v="2018-12-05T00:00:00"/>
    <s v="Canned and dry goods"/>
    <n v="2"/>
    <n v="12"/>
    <n v="3"/>
    <s v="SALT KOSHER FLAKE COARSE"/>
    <x v="121"/>
    <x v="1"/>
    <n v="72"/>
    <n v="32.658650639999998"/>
    <n v="0.87"/>
    <n v="28.413026056799996"/>
  </r>
  <r>
    <d v="2018-12-01T00:00:00"/>
    <s v="Royal"/>
    <n v="7"/>
    <n v="1"/>
    <n v="10"/>
    <s v="Spinach Washed  Flatleaf"/>
    <x v="122"/>
    <x v="1"/>
    <n v="70"/>
    <n v="31.751465900000003"/>
    <n v="0.307"/>
    <n v="9.7477000313000008"/>
  </r>
  <r>
    <d v="2018-12-03T00:00:00"/>
    <s v="Royal"/>
    <n v="6"/>
    <n v="1"/>
    <n v="10"/>
    <s v="Spinach Washed  Flatleaf"/>
    <x v="122"/>
    <x v="1"/>
    <n v="60"/>
    <n v="27.215542200000002"/>
    <n v="0.307"/>
    <n v="8.3551714554000007"/>
  </r>
  <r>
    <d v="2018-12-04T00:00:00"/>
    <s v="Royal"/>
    <n v="7"/>
    <n v="1"/>
    <n v="10"/>
    <s v="Spinach Washed  Flatleaf"/>
    <x v="122"/>
    <x v="1"/>
    <n v="70"/>
    <n v="31.751465900000003"/>
    <n v="0.307"/>
    <n v="9.7477000313000008"/>
  </r>
  <r>
    <d v="2018-12-05T00:00:00"/>
    <s v="Royal"/>
    <n v="3"/>
    <n v="1"/>
    <n v="10"/>
    <s v="Spinach Washed  Flatleaf"/>
    <x v="122"/>
    <x v="1"/>
    <n v="30"/>
    <n v="13.607771100000001"/>
    <n v="0.307"/>
    <n v="4.1775857277000004"/>
  </r>
  <r>
    <d v="2018-12-06T00:00:00"/>
    <s v="Royal"/>
    <n v="3"/>
    <n v="1"/>
    <n v="10"/>
    <s v="spinach Washed  Flatleaf"/>
    <x v="122"/>
    <x v="1"/>
    <n v="30"/>
    <n v="13.607771100000001"/>
    <n v="0.307"/>
    <n v="4.1775857277000004"/>
  </r>
  <r>
    <d v="2018-11-30T00:00:00"/>
    <s v="Royal"/>
    <n v="3"/>
    <n v="1"/>
    <n v="20"/>
    <s v="Pr Squash Bnut Dice 1&quot; LOCAL"/>
    <x v="123"/>
    <x v="1"/>
    <n v="60"/>
    <n v="27.215542200000002"/>
    <n v="1.2290000000000001"/>
    <n v="33.447901363800007"/>
  </r>
  <r>
    <d v="2018-11-30T00:00:00"/>
    <s v="Royal"/>
    <n v="3"/>
    <n v="1"/>
    <n v="33"/>
    <s v="Squash   Yellow  #2 LOCAL"/>
    <x v="123"/>
    <x v="1"/>
    <n v="99"/>
    <n v="44.905644630000005"/>
    <n v="1.2290000000000001"/>
    <n v="55.189037250270012"/>
  </r>
  <r>
    <d v="2018-11-30T00:00:00"/>
    <s v="Royal"/>
    <n v="2"/>
    <n v="1"/>
    <n v="22"/>
    <s v="Squash   Zucchini  Medium LOCAL"/>
    <x v="123"/>
    <x v="1"/>
    <n v="44"/>
    <n v="19.958064280000002"/>
    <n v="1.2290000000000001"/>
    <n v="24.528461000120004"/>
  </r>
  <r>
    <d v="2018-12-01T00:00:00"/>
    <s v="Royal"/>
    <n v="4"/>
    <n v="1"/>
    <n v="33"/>
    <s v="Squash   Yellow  #2 LOCAL"/>
    <x v="123"/>
    <x v="1"/>
    <n v="132"/>
    <n v="59.874192840000006"/>
    <n v="1.2290000000000001"/>
    <n v="73.585383000360011"/>
  </r>
  <r>
    <d v="2018-12-01T00:00:00"/>
    <s v="Royal"/>
    <n v="5"/>
    <n v="1"/>
    <n v="22"/>
    <s v="Squash   Zucchini  Medium LOCAL"/>
    <x v="123"/>
    <x v="1"/>
    <n v="110"/>
    <n v="49.895160699999998"/>
    <n v="1.2290000000000001"/>
    <n v="61.321152500300002"/>
  </r>
  <r>
    <d v="2018-12-03T00:00:00"/>
    <s v="Royal"/>
    <n v="3"/>
    <n v="1"/>
    <n v="20"/>
    <s v="IDP Squash Yellow LOCAL"/>
    <x v="123"/>
    <x v="1"/>
    <n v="60"/>
    <n v="27.215542200000002"/>
    <n v="1.2290000000000001"/>
    <n v="33.447901363800007"/>
  </r>
  <r>
    <d v="2018-12-03T00:00:00"/>
    <s v="Royal"/>
    <n v="3"/>
    <n v="1"/>
    <n v="20"/>
    <s v="IDP Squash Zucchini LOCAL"/>
    <x v="123"/>
    <x v="1"/>
    <n v="60"/>
    <n v="27.215542200000002"/>
    <n v="1.2290000000000001"/>
    <n v="33.447901363800007"/>
  </r>
  <r>
    <d v="2018-12-04T00:00:00"/>
    <s v="Royal"/>
    <n v="2"/>
    <n v="1"/>
    <n v="20"/>
    <s v="Pr Squash Bnut Diced 3/4&quot; LOCAL"/>
    <x v="123"/>
    <x v="1"/>
    <n v="40"/>
    <n v="18.143694800000002"/>
    <n v="1.2290000000000001"/>
    <n v="22.298600909200005"/>
  </r>
  <r>
    <d v="2018-12-04T00:00:00"/>
    <s v="Royal"/>
    <n v="2"/>
    <n v="1"/>
    <n v="33"/>
    <s v="Squash   Yellow  #2 LOCAL"/>
    <x v="123"/>
    <x v="1"/>
    <n v="66"/>
    <n v="29.937096420000003"/>
    <n v="1.2290000000000001"/>
    <n v="36.792691500180005"/>
  </r>
  <r>
    <d v="2018-12-04T00:00:00"/>
    <s v="Royal"/>
    <n v="4"/>
    <n v="1"/>
    <n v="22"/>
    <s v="Squash   Zucchini  Medium LOCAL"/>
    <x v="123"/>
    <x v="1"/>
    <n v="88"/>
    <n v="39.916128560000004"/>
    <n v="1.2290000000000001"/>
    <n v="49.056922000240007"/>
  </r>
  <r>
    <d v="2018-12-05T00:00:00"/>
    <s v="Royal"/>
    <n v="2"/>
    <n v="1"/>
    <n v="22"/>
    <s v="Squash   Zucchini  Medium LOCAL"/>
    <x v="123"/>
    <x v="1"/>
    <n v="44"/>
    <n v="19.958064280000002"/>
    <n v="1.2290000000000001"/>
    <n v="24.528461000120004"/>
  </r>
  <r>
    <d v="2018-12-06T00:00:00"/>
    <s v="Royal"/>
    <n v="3"/>
    <n v="1"/>
    <n v="33"/>
    <s v="Squash   Yellow  #2 LOCAL"/>
    <x v="123"/>
    <x v="1"/>
    <n v="99"/>
    <n v="44.905644630000005"/>
    <n v="1.2290000000000001"/>
    <n v="55.189037250270012"/>
  </r>
  <r>
    <d v="2018-12-06T00:00:00"/>
    <s v="Royal"/>
    <n v="4"/>
    <n v="1"/>
    <n v="22"/>
    <s v="zucchini squash"/>
    <x v="123"/>
    <x v="1"/>
    <n v="88"/>
    <n v="39.916128560000004"/>
    <n v="1.2290000000000001"/>
    <n v="49.056922000240007"/>
  </r>
  <r>
    <d v="2018-11-30T00:00:00"/>
    <s v="Royal"/>
    <n v="8"/>
    <n v="1"/>
    <n v="8"/>
    <s v="Strawberry Clamshell (DAR)"/>
    <x v="124"/>
    <x v="1"/>
    <n v="64"/>
    <n v="29.029911680000001"/>
    <n v="0.61399999999999999"/>
    <n v="17.82436577152"/>
  </r>
  <r>
    <d v="2018-12-01T00:00:00"/>
    <s v="Royal"/>
    <n v="7"/>
    <n v="1"/>
    <n v="8"/>
    <s v="Strawberry Clamshell (DAR)"/>
    <x v="124"/>
    <x v="1"/>
    <n v="56"/>
    <n v="25.401172720000002"/>
    <n v="0.61399999999999999"/>
    <n v="15.596320050080001"/>
  </r>
  <r>
    <d v="2018-12-03T00:00:00"/>
    <s v="Royal"/>
    <n v="8"/>
    <n v="1"/>
    <n v="8"/>
    <s v="Strawberry Clamshell (DAR)"/>
    <x v="124"/>
    <x v="1"/>
    <n v="64"/>
    <n v="29.029911680000001"/>
    <n v="0.61399999999999999"/>
    <n v="17.82436577152"/>
  </r>
  <r>
    <d v="2018-12-05T00:00:00"/>
    <s v="Royal"/>
    <n v="8"/>
    <n v="1"/>
    <n v="8"/>
    <s v="Strawberry Clamshell (DAR)"/>
    <x v="124"/>
    <x v="1"/>
    <n v="64"/>
    <n v="29.029911680000001"/>
    <n v="0.61399999999999999"/>
    <n v="17.82436577152"/>
  </r>
  <r>
    <d v="2018-11-30T00:00:00"/>
    <s v="Canned and dry goods"/>
    <n v="1"/>
    <n v="1"/>
    <n v="50"/>
    <s v="SUGAR BROWN LIGHT CANE"/>
    <x v="125"/>
    <x v="1"/>
    <n v="50"/>
    <n v="22.6796185"/>
    <n v="0.7"/>
    <n v="15.87573295"/>
  </r>
  <r>
    <d v="2018-11-30T00:00:00"/>
    <s v="Canned and dry goods"/>
    <n v="2"/>
    <n v="1"/>
    <n v="25"/>
    <s v="SUGAR GRANULATED XFINE CANE"/>
    <x v="125"/>
    <x v="1"/>
    <n v="50"/>
    <n v="22.6796185"/>
    <n v="0.7"/>
    <n v="15.87573295"/>
  </r>
  <r>
    <d v="2018-12-03T00:00:00"/>
    <s v="Canned and dry goods"/>
    <n v="1"/>
    <n v="1"/>
    <n v="50"/>
    <s v="SUGAR GRANULATED XFN"/>
    <x v="125"/>
    <x v="1"/>
    <n v="50"/>
    <n v="22.6796185"/>
    <n v="0.7"/>
    <n v="15.87573295"/>
  </r>
  <r>
    <d v="2018-12-05T00:00:00"/>
    <s v="Canned and dry goods"/>
    <n v="1"/>
    <n v="1"/>
    <n v="50"/>
    <s v="SUGAR GRANULATED XFN"/>
    <x v="125"/>
    <x v="1"/>
    <n v="50"/>
    <n v="22.6796185"/>
    <n v="0.7"/>
    <n v="15.87573295"/>
  </r>
  <r>
    <d v="2018-10-26T00:00:00"/>
    <s v="Common Market"/>
    <n v="1"/>
    <n v="1"/>
    <n v="120"/>
    <s v="sweet potatoes"/>
    <x v="126"/>
    <x v="1"/>
    <n v="120"/>
    <n v="54.431084400000003"/>
    <n v="0.30199999999999999"/>
    <n v="16.438187488800001"/>
  </r>
  <r>
    <d v="2018-10-30T00:00:00"/>
    <s v="Common Market"/>
    <n v="1"/>
    <n v="1"/>
    <n v="120"/>
    <s v="sweet potatoes"/>
    <x v="126"/>
    <x v="1"/>
    <n v="120"/>
    <n v="54.431084400000003"/>
    <n v="0.30199999999999999"/>
    <n v="16.438187488800001"/>
  </r>
  <r>
    <d v="2018-12-06T00:00:00"/>
    <s v="Royal"/>
    <n v="4"/>
    <n v="1"/>
    <n v="40"/>
    <s v="sweet potato"/>
    <x v="126"/>
    <x v="1"/>
    <n v="160"/>
    <n v="72.574779200000009"/>
    <n v="0.30199999999999999"/>
    <n v="21.917583318400002"/>
  </r>
  <r>
    <d v="2018-12-03T00:00:00"/>
    <s v="Frozen"/>
    <n v="4"/>
    <n v="5"/>
    <n v="3"/>
    <s v="POTATO SWEET THIN REG CUT 5/16"/>
    <x v="126"/>
    <x v="1"/>
    <n v="60"/>
    <n v="27.215542200000002"/>
    <n v="0.30199999999999999"/>
    <n v="8.2190937444000003"/>
  </r>
  <r>
    <d v="2018-11-30T00:00:00"/>
    <s v="Royal"/>
    <n v="2"/>
    <n v="1"/>
    <n v="12"/>
    <s v="Chard Rainbow Swiss LOCAL"/>
    <x v="128"/>
    <x v="1"/>
    <n v="24"/>
    <n v="10.886216880000001"/>
    <n v="0.19600000000000001"/>
    <n v="2.1336985084800002"/>
  </r>
  <r>
    <d v="2018-12-04T00:00:00"/>
    <s v="Royal"/>
    <n v="1"/>
    <n v="1"/>
    <n v="12"/>
    <s v="Chard Green Swiss"/>
    <x v="128"/>
    <x v="1"/>
    <n v="12"/>
    <n v="5.4431084400000005"/>
    <n v="0.19600000000000001"/>
    <n v="1.0668492542400001"/>
  </r>
  <r>
    <d v="2018-12-05T00:00:00"/>
    <s v="Royal"/>
    <n v="2"/>
    <n v="1"/>
    <n v="12"/>
    <s v="Chard Green Swiss LOCAL"/>
    <x v="128"/>
    <x v="1"/>
    <n v="24"/>
    <n v="10.886216880000001"/>
    <n v="0.19600000000000001"/>
    <n v="2.1336985084800002"/>
  </r>
  <r>
    <d v="2018-12-03T00:00:00"/>
    <s v="Canned and dry goods"/>
    <n v="2"/>
    <n v="4"/>
    <n v="11.01"/>
    <s v="SYRUP PANCAKE &amp;  WAFFLE"/>
    <x v="129"/>
    <x v="1"/>
    <n v="88.08"/>
    <n v="39.952415949600002"/>
    <n v="6.7539999999999996"/>
    <n v="269.83861732359838"/>
  </r>
  <r>
    <d v="2018-11-30T00:00:00"/>
    <s v="Canned and dry goods"/>
    <n v="1"/>
    <n v="4"/>
    <n v="11.01"/>
    <s v="SYRUP PANCAKE &amp;  WAFFLE"/>
    <x v="130"/>
    <x v="1"/>
    <n v="44.04"/>
    <n v="19.976207974800001"/>
    <n v="6.7539999999999996"/>
    <n v="134.91930866179919"/>
  </r>
  <r>
    <d v="2018-11-30T00:00:00"/>
    <s v="Royal"/>
    <n v="8"/>
    <n v="1"/>
    <n v="4.1719999999999997"/>
    <s v="Tofu Firm 5 Gal"/>
    <x v="131"/>
    <x v="1"/>
    <n v="33.375999999999998"/>
    <n v="15.139098941119999"/>
    <n v="1.6639999999999999"/>
    <n v="25.191460638023678"/>
  </r>
  <r>
    <d v="2018-12-01T00:00:00"/>
    <s v="Royal"/>
    <n v="3"/>
    <n v="1"/>
    <n v="4.1719999999999997"/>
    <s v="Tofu Firm 5 Gal"/>
    <x v="131"/>
    <x v="1"/>
    <n v="12.515999999999998"/>
    <n v="5.6771621029199997"/>
    <n v="1.6639999999999999"/>
    <n v="9.4467977392588782"/>
  </r>
  <r>
    <d v="2018-12-04T00:00:00"/>
    <s v="Royal"/>
    <n v="4"/>
    <n v="1"/>
    <n v="4.1719999999999997"/>
    <s v="Tofu Firm 5 Gal"/>
    <x v="131"/>
    <x v="1"/>
    <n v="16.687999999999999"/>
    <n v="7.5695494705599993"/>
    <n v="1.6639999999999999"/>
    <n v="12.595730319011839"/>
  </r>
  <r>
    <d v="2018-12-05T00:00:00"/>
    <s v="Royal"/>
    <n v="4"/>
    <n v="1"/>
    <n v="4.1719999999999997"/>
    <s v="Tofu Firm 5 Gal"/>
    <x v="131"/>
    <x v="1"/>
    <n v="16.687999999999999"/>
    <n v="7.5695494705599993"/>
    <n v="1.6639999999999999"/>
    <n v="12.595730319011839"/>
  </r>
  <r>
    <d v="2018-12-06T00:00:00"/>
    <s v="Royal"/>
    <n v="4"/>
    <n v="1"/>
    <n v="4.1719999999999997"/>
    <s v="tofu Firm 5 Gal"/>
    <x v="131"/>
    <x v="1"/>
    <n v="16.687999999999999"/>
    <n v="7.5695494705599993"/>
    <n v="1.6639999999999999"/>
    <n v="12.595730319011839"/>
  </r>
  <r>
    <d v="2018-11-30T00:00:00"/>
    <s v="Royal"/>
    <n v="3"/>
    <n v="1"/>
    <n v="10"/>
    <s v="Pr Tomato Diced 1/4&quot; TY LOCAL"/>
    <x v="132"/>
    <x v="1"/>
    <n v="30"/>
    <n v="13.607771100000001"/>
    <n v="0.47"/>
    <n v="6.395652417"/>
  </r>
  <r>
    <d v="2018-11-30T00:00:00"/>
    <s v="Royal"/>
    <n v="2"/>
    <n v="1"/>
    <n v="25"/>
    <s v="Tomato"/>
    <x v="132"/>
    <x v="1"/>
    <n v="50"/>
    <n v="22.6796185"/>
    <n v="0.47"/>
    <n v="10.659420695"/>
  </r>
  <r>
    <d v="2018-11-30T00:00:00"/>
    <s v="Royal"/>
    <n v="10"/>
    <n v="1"/>
    <n v="10"/>
    <s v="Tomato   Grape Red Bulk LOCAL"/>
    <x v="132"/>
    <x v="1"/>
    <n v="100"/>
    <n v="45.359237"/>
    <n v="0.47"/>
    <n v="21.318841389999999"/>
  </r>
  <r>
    <d v="2018-12-01T00:00:00"/>
    <s v="Royal"/>
    <n v="2"/>
    <n v="1"/>
    <n v="10"/>
    <s v="Pr Tomato Diced 1/4&quot; TY LOCAL"/>
    <x v="132"/>
    <x v="1"/>
    <n v="20"/>
    <n v="9.0718474000000011"/>
    <n v="0.47"/>
    <n v="4.2637682780000006"/>
  </r>
  <r>
    <d v="2018-12-01T00:00:00"/>
    <s v="Royal"/>
    <n v="2"/>
    <n v="1"/>
    <n v="25"/>
    <s v="Tomato"/>
    <x v="132"/>
    <x v="1"/>
    <n v="50"/>
    <n v="22.6796185"/>
    <n v="0.47"/>
    <n v="10.659420695"/>
  </r>
  <r>
    <d v="2018-12-01T00:00:00"/>
    <s v="Royal"/>
    <n v="6"/>
    <n v="1"/>
    <n v="12"/>
    <s v="tomato grape red"/>
    <x v="132"/>
    <x v="1"/>
    <n v="72"/>
    <n v="32.658650639999998"/>
    <n v="0.47"/>
    <n v="15.349565800799999"/>
  </r>
  <r>
    <d v="2018-12-01T00:00:00"/>
    <s v="Royal"/>
    <n v="2"/>
    <n v="1"/>
    <n v="10"/>
    <s v="tomato grap red bulk local"/>
    <x v="132"/>
    <x v="1"/>
    <n v="20"/>
    <n v="9.0718474000000011"/>
    <n v="0.47"/>
    <n v="4.2637682780000006"/>
  </r>
  <r>
    <d v="2018-12-03T00:00:00"/>
    <s v="Royal"/>
    <n v="3"/>
    <n v="1"/>
    <n v="10"/>
    <s v="Pr Tomato Diced 1/4&quot; TY LOCAL"/>
    <x v="132"/>
    <x v="1"/>
    <n v="30"/>
    <n v="13.607771100000001"/>
    <n v="0.47"/>
    <n v="6.395652417"/>
  </r>
  <r>
    <d v="2018-12-03T00:00:00"/>
    <s v="Royal"/>
    <n v="1"/>
    <n v="1"/>
    <n v="25"/>
    <s v="Tomato"/>
    <x v="132"/>
    <x v="1"/>
    <n v="25"/>
    <n v="11.33980925"/>
    <n v="0.47"/>
    <n v="5.3297103474999998"/>
  </r>
  <r>
    <d v="2018-12-03T00:00:00"/>
    <s v="Royal"/>
    <n v="8"/>
    <n v="1"/>
    <n v="10"/>
    <s v="Tomato   Grape Red Bulk LOCAL"/>
    <x v="132"/>
    <x v="1"/>
    <n v="80"/>
    <n v="36.287389600000004"/>
    <n v="0.47"/>
    <n v="17.055073112000002"/>
  </r>
  <r>
    <d v="2018-12-04T00:00:00"/>
    <s v="Royal"/>
    <n v="2"/>
    <n v="1"/>
    <n v="10"/>
    <s v="Pr Tomato Diced 1/4&quot; TY LOCAL"/>
    <x v="132"/>
    <x v="1"/>
    <n v="20"/>
    <n v="9.0718474000000011"/>
    <n v="0.47"/>
    <n v="4.2637682780000006"/>
  </r>
  <r>
    <d v="2018-12-04T00:00:00"/>
    <s v="Royal"/>
    <n v="7"/>
    <n v="1"/>
    <n v="10"/>
    <s v="Tomato   Grape Red Bulk LOCAL"/>
    <x v="132"/>
    <x v="1"/>
    <n v="70"/>
    <n v="31.751465900000003"/>
    <n v="0.47"/>
    <n v="14.923188973"/>
  </r>
  <r>
    <d v="2018-12-05T00:00:00"/>
    <s v="Royal"/>
    <n v="3"/>
    <n v="1"/>
    <n v="25"/>
    <s v="Tomato"/>
    <x v="132"/>
    <x v="1"/>
    <n v="75"/>
    <n v="34.019427750000006"/>
    <n v="0.47"/>
    <n v="15.989131042500002"/>
  </r>
  <r>
    <d v="2018-12-05T00:00:00"/>
    <s v="Royal"/>
    <n v="8"/>
    <n v="1"/>
    <n v="10"/>
    <s v="Tomato   Grape Red Bulk LOCAL"/>
    <x v="132"/>
    <x v="1"/>
    <n v="80"/>
    <n v="36.287389600000004"/>
    <n v="0.47"/>
    <n v="17.055073112000002"/>
  </r>
  <r>
    <d v="2018-12-06T00:00:00"/>
    <s v="Royal"/>
    <n v="3"/>
    <n v="1"/>
    <n v="10"/>
    <s v="tomato diced"/>
    <x v="132"/>
    <x v="1"/>
    <n v="30"/>
    <n v="13.607771100000001"/>
    <n v="0.47"/>
    <n v="6.395652417"/>
  </r>
  <r>
    <d v="2018-12-06T00:00:00"/>
    <s v="Royal"/>
    <n v="5"/>
    <n v="1"/>
    <n v="10"/>
    <s v="tomato grape red"/>
    <x v="132"/>
    <x v="1"/>
    <n v="50"/>
    <n v="22.6796185"/>
    <n v="0.47"/>
    <n v="10.659420695"/>
  </r>
  <r>
    <d v="2018-11-30T00:00:00"/>
    <s v="Canned and dry goods"/>
    <n v="4"/>
    <n v="6"/>
    <n v="10"/>
    <s v="TOMATO DICED IN JCE NO SALT CA"/>
    <x v="132"/>
    <x v="1"/>
    <n v="240"/>
    <n v="108.86216880000001"/>
    <n v="0.47"/>
    <n v="51.165219336"/>
  </r>
  <r>
    <d v="2018-11-30T00:00:00"/>
    <s v="Canned and dry goods"/>
    <n v="4"/>
    <n v="6"/>
    <n v="10"/>
    <s v="TOMATO CRUSHED ALL PURP FCY CA"/>
    <x v="132"/>
    <x v="1"/>
    <n v="240"/>
    <n v="108.86216880000001"/>
    <n v="0.47"/>
    <n v="51.165219336"/>
  </r>
  <r>
    <d v="2018-11-30T00:00:00"/>
    <s v="Canned and dry goods"/>
    <n v="8"/>
    <n v="6"/>
    <n v="10"/>
    <s v="TOMATO GRND PLD IN PUREE"/>
    <x v="132"/>
    <x v="1"/>
    <n v="480"/>
    <n v="217.72433760000001"/>
    <n v="0.47"/>
    <n v="102.330438672"/>
  </r>
  <r>
    <d v="2018-12-03T00:00:00"/>
    <s v="Canned and dry goods"/>
    <n v="2"/>
    <n v="6"/>
    <n v="10"/>
    <s v="TOMATO CRUSHED ALL PURP FCY CA"/>
    <x v="132"/>
    <x v="1"/>
    <n v="120"/>
    <n v="54.431084400000003"/>
    <n v="0.47"/>
    <n v="25.582609668"/>
  </r>
  <r>
    <d v="2018-12-05T00:00:00"/>
    <s v="Canned and dry goods"/>
    <n v="6"/>
    <n v="6"/>
    <n v="10"/>
    <s v="TOMATO CRUSHED ALL PURP FCY CA"/>
    <x v="132"/>
    <x v="1"/>
    <n v="360"/>
    <n v="163.29325320000001"/>
    <n v="0.47"/>
    <n v="76.747829003999996"/>
  </r>
  <r>
    <d v="2018-12-05T00:00:00"/>
    <s v="Canned and dry goods"/>
    <n v="1"/>
    <n v="6"/>
    <n v="10"/>
    <s v="TOMATO GRND PLD IN PUREE"/>
    <x v="132"/>
    <x v="1"/>
    <n v="60"/>
    <n v="27.215542200000002"/>
    <n v="0.47"/>
    <n v="12.791304834"/>
  </r>
  <r>
    <d v="2018-12-03T00:00:00"/>
    <s v="Canned and dry goods"/>
    <n v="1"/>
    <n v="6"/>
    <n v="10"/>
    <s v="TOMATO PASTE FANCY CA"/>
    <x v="133"/>
    <x v="1"/>
    <n v="60"/>
    <n v="27.215542200000002"/>
    <n v="0.11799999999999999"/>
    <n v="3.2114339796000002"/>
  </r>
  <r>
    <d v="2018-11-30T00:00:00"/>
    <s v="Frozen"/>
    <n v="2"/>
    <n v="12"/>
    <n v="3.9683219999999997"/>
    <s v="TORTILLA CORN WHT 6 IN"/>
    <x v="134"/>
    <x v="1"/>
    <n v="95.239727999999985"/>
    <n v="43.200013941675351"/>
    <n v="1.28"/>
    <n v="55.296017845344451"/>
  </r>
  <r>
    <d v="2018-11-30T00:00:00"/>
    <s v="Frozen"/>
    <n v="2"/>
    <n v="6"/>
    <n v="0.79366439999999994"/>
    <s v="WRAP TORTILLA TOMATO BASIL 12"/>
    <x v="135"/>
    <x v="1"/>
    <n v="9.5239727999999992"/>
    <n v="4.3200013941675364"/>
    <n v="1.28"/>
    <n v="5.5296017845344467"/>
  </r>
  <r>
    <d v="2018-11-30T00:00:00"/>
    <s v="Frozen"/>
    <n v="2"/>
    <n v="6"/>
    <n v="0.79366439999999994"/>
    <s v="WRAP TORTILLA SPINACH HERB 12"/>
    <x v="135"/>
    <x v="1"/>
    <n v="9.5239727999999992"/>
    <n v="4.3200013941675364"/>
    <n v="1.28"/>
    <n v="5.5296017845344467"/>
  </r>
  <r>
    <d v="2018-12-03T00:00:00"/>
    <s v="Frozen"/>
    <n v="1"/>
    <n v="24"/>
    <n v="0.79366439999999994"/>
    <s v="TORTILLA FLOUR PRESSED 6 IN"/>
    <x v="135"/>
    <x v="1"/>
    <n v="19.047945599999998"/>
    <n v="8.6400027883350727"/>
    <n v="1.28"/>
    <n v="11.059203569068893"/>
  </r>
  <r>
    <d v="2018-12-03T00:00:00"/>
    <s v="Frozen"/>
    <n v="1"/>
    <n v="6"/>
    <n v="0.79366439999999994"/>
    <s v="WRAP TORTILLA SPINACH HERB 12"/>
    <x v="135"/>
    <x v="1"/>
    <n v="4.7619863999999996"/>
    <n v="2.1600006970837682"/>
    <n v="1.28"/>
    <n v="2.7648008922672234"/>
  </r>
  <r>
    <d v="2018-11-30T00:00:00"/>
    <s v="Canned and dry goods"/>
    <n v="1"/>
    <n v="6"/>
    <n v="4.15625"/>
    <s v="TUNA CHUNK SKIP JACK FAD FREE"/>
    <x v="136"/>
    <x v="0"/>
    <n v="24.9375"/>
    <n v="11.311459726875"/>
    <n v="2.1480000000000001"/>
    <n v="24.297015493327503"/>
  </r>
  <r>
    <d v="2018-12-03T00:00:00"/>
    <s v="Canned and dry goods"/>
    <n v="1"/>
    <n v="6"/>
    <n v="4.15625"/>
    <s v="TUNA CHUNK SKIP JACK FAD FREE"/>
    <x v="136"/>
    <x v="0"/>
    <n v="24.9375"/>
    <n v="11.311459726875"/>
    <n v="2.1480000000000001"/>
    <n v="24.297015493327503"/>
  </r>
  <r>
    <d v="2018-11-30T00:00:00"/>
    <s v="Poultry"/>
    <n v="1"/>
    <n v="1"/>
    <n v="72.5"/>
    <s v="TURKEY BRST SMKD SKLS PREM"/>
    <x v="137"/>
    <x v="0"/>
    <n v="72.5"/>
    <n v="32.885446825000002"/>
    <n v="2.5710000000000002"/>
    <n v="84.548483787075014"/>
  </r>
  <r>
    <d v="2018-12-03T00:00:00"/>
    <s v="Poultry"/>
    <n v="1"/>
    <n v="1"/>
    <n v="124.53"/>
    <s v="TURKEY BRST FRCH CUT RTC"/>
    <x v="137"/>
    <x v="0"/>
    <n v="124.53"/>
    <n v="56.485857836100003"/>
    <n v="2.5710000000000002"/>
    <n v="145.22514049661311"/>
  </r>
  <r>
    <d v="2018-12-03T00:00:00"/>
    <s v="Poultry"/>
    <n v="4"/>
    <n v="160"/>
    <n v="6.25E-2"/>
    <s v="TURKEY SAUSAGE LINK RAW"/>
    <x v="137"/>
    <x v="0"/>
    <n v="40"/>
    <n v="18.143694800000002"/>
    <n v="2.5710000000000002"/>
    <n v="46.647439330800012"/>
  </r>
  <r>
    <d v="2018-12-03T00:00:00"/>
    <s v="Poultry"/>
    <n v="4"/>
    <n v="2"/>
    <n v="6"/>
    <s v="BACON TURKEY LAYFLT"/>
    <x v="137"/>
    <x v="0"/>
    <n v="48"/>
    <n v="21.772433760000002"/>
    <n v="2.5710000000000002"/>
    <n v="55.976927196960006"/>
  </r>
  <r>
    <d v="2018-12-05T00:00:00"/>
    <s v="Poultry"/>
    <n v="3"/>
    <n v="160"/>
    <n v="6.25E-2"/>
    <s v="TURKEY SAUSAGE LINK RAW"/>
    <x v="137"/>
    <x v="0"/>
    <n v="30"/>
    <n v="13.607771100000001"/>
    <n v="2.5710000000000002"/>
    <n v="34.985579498100002"/>
  </r>
  <r>
    <d v="2018-11-30T00:00:00"/>
    <s v="Canned and dry goods"/>
    <n v="1"/>
    <n v="4"/>
    <n v="8.41"/>
    <s v="VINEGAR WINE RED PLS"/>
    <x v="138"/>
    <x v="1"/>
    <n v="33.64"/>
    <n v="15.258847326800002"/>
    <n v="0.34"/>
    <n v="5.1880080911120006"/>
  </r>
  <r>
    <d v="2018-12-03T00:00:00"/>
    <s v="Canned and dry goods"/>
    <n v="1"/>
    <n v="2"/>
    <n v="11.950000000000001"/>
    <s v="VINEGAR BALSAMIC ITALY"/>
    <x v="138"/>
    <x v="1"/>
    <n v="23.900000000000002"/>
    <n v="10.840857643000001"/>
    <n v="0.34"/>
    <n v="3.6858915986200009"/>
  </r>
  <r>
    <d v="2018-12-05T00:00:00"/>
    <s v="Canned and dry goods"/>
    <n v="1"/>
    <n v="4"/>
    <n v="8.41"/>
    <s v="VINEGAR RICE WINE SEAS 4.5%"/>
    <x v="138"/>
    <x v="1"/>
    <n v="33.64"/>
    <n v="15.258847326800002"/>
    <n v="0.34"/>
    <n v="5.1880080911120006"/>
  </r>
  <r>
    <d v="2018-12-03T00:00:00"/>
    <s v="Canned and dry goods"/>
    <n v="1"/>
    <n v="6"/>
    <n v="2"/>
    <s v="QUINOA GRAIN WHT"/>
    <x v="139"/>
    <x v="1"/>
    <n v="12"/>
    <n v="5.4431084400000005"/>
    <n v="0.34699999999999998"/>
    <n v="1.88875862868"/>
  </r>
  <r>
    <d v="2018-12-03T00:00:00"/>
    <s v="Canned and dry goods"/>
    <n v="1"/>
    <n v="4"/>
    <n v="8.41"/>
    <s v="WINE COOKING BURGUNDY"/>
    <x v="140"/>
    <x v="1"/>
    <n v="33.64"/>
    <n v="15.258847326800002"/>
    <n v="0.78"/>
    <n v="11.901900914904001"/>
  </r>
  <r>
    <d v="2018-12-03T00:00:00"/>
    <s v="Canned and dry goods"/>
    <n v="1"/>
    <n v="4"/>
    <n v="8.41"/>
    <s v="WINE COOKING SAUTERNE"/>
    <x v="140"/>
    <x v="1"/>
    <n v="33.64"/>
    <n v="15.258847326800002"/>
    <n v="0.78"/>
    <n v="11.901900914904001"/>
  </r>
  <r>
    <d v="2018-12-05T00:00:00"/>
    <s v="Canned and dry goods"/>
    <n v="1"/>
    <n v="8"/>
    <n v="0.79366439999999994"/>
    <s v="WRAP TORTILLA FLOUR 12"/>
    <x v="141"/>
    <x v="1"/>
    <n v="6.3493151999999995"/>
    <n v="2.8800009294450239"/>
    <n v="1.28"/>
    <n v="3.6864011896896307"/>
  </r>
  <r>
    <d v="2018-12-05T00:00:00"/>
    <s v="Frozen"/>
    <n v="1"/>
    <n v="6"/>
    <n v="0.79366439999999994"/>
    <s v="WRAP TORTILLA SPINACH HERB 12"/>
    <x v="141"/>
    <x v="1"/>
    <n v="4.7619863999999996"/>
    <n v="2.1600006970837682"/>
    <n v="1.28"/>
    <n v="2.7648008922672234"/>
  </r>
  <r>
    <d v="2018-11-30T00:00:00"/>
    <s v="Canned and dry goods"/>
    <n v="2"/>
    <n v="12"/>
    <n v="2"/>
    <s v="YEAST ACTIVE DRY"/>
    <x v="142"/>
    <x v="1"/>
    <n v="48"/>
    <n v="21.772433760000002"/>
    <m/>
    <n v="0"/>
  </r>
  <r>
    <d v="2018-11-30T00:00:00"/>
    <s v="Dairy Products"/>
    <n v="10"/>
    <n v="2"/>
    <n v="6"/>
    <s v="YOGURT PLAIN GREEK BAG OIKOS"/>
    <x v="143"/>
    <x v="2"/>
    <n v="120"/>
    <n v="54.431084400000003"/>
    <n v="1.33"/>
    <n v="72.393342252000011"/>
  </r>
  <r>
    <d v="2018-11-30T00:00:00"/>
    <s v="Dairy Products"/>
    <n v="10"/>
    <n v="2"/>
    <n v="6"/>
    <s v="YOGURT VANILLA GRK BAG OIKOS"/>
    <x v="143"/>
    <x v="2"/>
    <n v="120"/>
    <n v="54.431084400000003"/>
    <n v="1.33"/>
    <n v="72.393342252000011"/>
  </r>
  <r>
    <d v="2018-12-05T00:00:00"/>
    <s v="Dairy Products"/>
    <n v="2"/>
    <n v="2"/>
    <n v="6"/>
    <s v="YOGURT VANILLA GRK BAG OIKOS"/>
    <x v="143"/>
    <x v="2"/>
    <n v="24"/>
    <n v="10.886216880000001"/>
    <n v="1.33"/>
    <n v="14.478668450400002"/>
  </r>
  <r>
    <d v="2019-01-22T00:00:00"/>
    <s v="Common Market"/>
    <n v="1"/>
    <n v="1"/>
    <n v="79.2"/>
    <s v="fuji apples"/>
    <x v="1"/>
    <x v="1"/>
    <n v="79.2"/>
    <n v="35.924515704000008"/>
    <n v="0.22800000000000001"/>
    <n v="8.1907895805120017"/>
  </r>
  <r>
    <d v="2019-01-22T00:00:00"/>
    <s v="Common Market"/>
    <n v="1"/>
    <n v="1"/>
    <n v="80"/>
    <s v="golden delicious apples"/>
    <x v="1"/>
    <x v="1"/>
    <n v="80"/>
    <n v="36.287389600000004"/>
    <n v="0.22800000000000001"/>
    <n v="8.2735248288000012"/>
  </r>
  <r>
    <d v="2019-01-22T00:00:00"/>
    <s v="Common Market"/>
    <n v="1"/>
    <n v="1"/>
    <n v="69"/>
    <s v="pink lady apples"/>
    <x v="1"/>
    <x v="1"/>
    <n v="69"/>
    <n v="31.29787353"/>
    <n v="0.22800000000000001"/>
    <n v="7.1359151648400001"/>
  </r>
  <r>
    <d v="2019-01-18T00:00:00"/>
    <s v="Common Market"/>
    <n v="1"/>
    <n v="1"/>
    <n v="120"/>
    <s v="golden delicious apples"/>
    <x v="1"/>
    <x v="1"/>
    <n v="120"/>
    <n v="54.431084400000003"/>
    <n v="0.22800000000000001"/>
    <n v="12.410287243200001"/>
  </r>
  <r>
    <d v="2019-01-22T00:00:00"/>
    <s v="Royal"/>
    <n v="2"/>
    <n v="1"/>
    <n v="41.666666666666664"/>
    <s v="Apple   Fuji 125/138ct"/>
    <x v="1"/>
    <x v="1"/>
    <n v="83.333333333333329"/>
    <n v="37.79936416666667"/>
    <n v="0.22800000000000001"/>
    <n v="8.618255030000002"/>
  </r>
  <r>
    <d v="2019-01-22T00:00:00"/>
    <s v="Royal"/>
    <n v="3"/>
    <n v="1"/>
    <n v="29.333333333333332"/>
    <s v="Apple   Granny Smith"/>
    <x v="1"/>
    <x v="1"/>
    <n v="88"/>
    <n v="39.916128560000004"/>
    <n v="0.22800000000000001"/>
    <n v="9.1008773116800015"/>
  </r>
  <r>
    <d v="2019-01-18T00:00:00"/>
    <s v="Common Market"/>
    <n v="1"/>
    <n v="1"/>
    <n v="118.8"/>
    <s v="fuji apples"/>
    <x v="2"/>
    <x v="1"/>
    <n v="118.8"/>
    <n v="53.886773556000001"/>
    <n v="0.22800000000000001"/>
    <n v="12.286184370768002"/>
  </r>
  <r>
    <d v="2019-01-19T00:00:00"/>
    <s v="Royal"/>
    <n v="4"/>
    <n v="1"/>
    <n v="10"/>
    <s v="apples sliced"/>
    <x v="2"/>
    <x v="1"/>
    <n v="40"/>
    <n v="18.143694800000002"/>
    <n v="0.22800000000000001"/>
    <n v="4.1367624144000006"/>
  </r>
  <r>
    <d v="2019-01-22T00:00:00"/>
    <s v="Royal"/>
    <n v="7"/>
    <n v="1"/>
    <n v="11"/>
    <s v="Asparagus   Standard"/>
    <x v="6"/>
    <x v="1"/>
    <n v="77"/>
    <n v="34.926612490000004"/>
    <n v="2.1709999999999998"/>
    <n v="75.825675715789998"/>
  </r>
  <r>
    <d v="2019-01-24T00:00:00"/>
    <s v="Royal"/>
    <n v="9"/>
    <n v="1"/>
    <n v="11"/>
    <s v="Asparagus   Standard"/>
    <x v="6"/>
    <x v="1"/>
    <n v="99"/>
    <n v="44.905644630000005"/>
    <n v="2.1709999999999998"/>
    <n v="97.490154491729996"/>
  </r>
  <r>
    <d v="2019-01-22T00:00:00"/>
    <s v="Royal"/>
    <n v="2"/>
    <n v="1"/>
    <n v="48"/>
    <s v="Avocado"/>
    <x v="144"/>
    <x v="1"/>
    <n v="96"/>
    <n v="43.544867520000004"/>
    <n v="0.54700000000000004"/>
    <n v="23.819042533440005"/>
  </r>
  <r>
    <d v="2019-01-22T00:00:00"/>
    <s v="Royal"/>
    <n v="6"/>
    <n v="1"/>
    <n v="40"/>
    <s v="Bananas #4 Color"/>
    <x v="8"/>
    <x v="1"/>
    <n v="240"/>
    <n v="108.86216880000001"/>
    <n v="0.374"/>
    <n v="40.714451131200001"/>
  </r>
  <r>
    <d v="2019-01-24T00:00:00"/>
    <s v="Royal"/>
    <n v="4"/>
    <n v="1"/>
    <n v="40"/>
    <s v="Bananas #4 Color"/>
    <x v="8"/>
    <x v="1"/>
    <n v="160"/>
    <n v="72.574779200000009"/>
    <n v="0.374"/>
    <n v="27.142967420800002"/>
  </r>
  <r>
    <d v="2019-01-23T00:00:00"/>
    <s v="Royal"/>
    <n v="10"/>
    <n v="1"/>
    <n v="40"/>
    <s v="Bananas #4 Color"/>
    <x v="8"/>
    <x v="1"/>
    <n v="400"/>
    <n v="181.436948"/>
    <n v="0.374"/>
    <n v="67.857418551999999"/>
  </r>
  <r>
    <d v="2019-01-19T00:00:00"/>
    <s v="Royal"/>
    <n v="6"/>
    <n v="1"/>
    <n v="40"/>
    <s v="Bananas #4 Color"/>
    <x v="8"/>
    <x v="1"/>
    <n v="240"/>
    <n v="108.86216880000001"/>
    <n v="0.374"/>
    <n v="40.714451131200001"/>
  </r>
  <r>
    <d v="2019-01-18T00:00:00"/>
    <s v="Royal"/>
    <n v="8"/>
    <n v="1"/>
    <n v="40"/>
    <s v="Bananas #4 Color"/>
    <x v="8"/>
    <x v="1"/>
    <n v="320"/>
    <n v="145.14955840000002"/>
    <n v="0.374"/>
    <n v="54.285934841600003"/>
  </r>
  <r>
    <d v="2019-01-18T00:00:00"/>
    <s v="Canned and dry goods"/>
    <n v="1"/>
    <n v="12"/>
    <n v="1"/>
    <s v="BARLEY PEARLED"/>
    <x v="182"/>
    <x v="1"/>
    <n v="12"/>
    <n v="5.4431084400000005"/>
    <n v="0.39300000000000002"/>
    <n v="2.1391416169200004"/>
  </r>
  <r>
    <d v="2019-01-21T00:00:00"/>
    <s v="Canned and dry goods"/>
    <n v="1"/>
    <n v="12"/>
    <n v="1"/>
    <s v="BARLEY PEARLED"/>
    <x v="182"/>
    <x v="1"/>
    <n v="12"/>
    <n v="5.4431084400000005"/>
    <n v="0.39300000000000002"/>
    <n v="2.1391416169200004"/>
  </r>
  <r>
    <d v="2019-01-22T00:00:00"/>
    <s v="Royal"/>
    <n v="2"/>
    <n v="1"/>
    <n v="1"/>
    <s v="Herbs Basil"/>
    <x v="9"/>
    <x v="1"/>
    <n v="2"/>
    <n v="0.90718474000000004"/>
    <n v="0.221"/>
    <n v="0.20048782754000002"/>
  </r>
  <r>
    <d v="2019-01-24T00:00:00"/>
    <s v="Royal"/>
    <n v="3"/>
    <n v="1"/>
    <n v="1"/>
    <s v="Herbs Basil"/>
    <x v="9"/>
    <x v="1"/>
    <n v="3"/>
    <n v="1.3607771100000001"/>
    <n v="0.221"/>
    <n v="0.30073174131000002"/>
  </r>
  <r>
    <d v="2019-01-23T00:00:00"/>
    <s v="Royal"/>
    <n v="3"/>
    <n v="1"/>
    <n v="1"/>
    <s v="Herbs Basil"/>
    <x v="9"/>
    <x v="1"/>
    <n v="3"/>
    <n v="1.3607771100000001"/>
    <n v="0.221"/>
    <n v="0.30073174131000002"/>
  </r>
  <r>
    <d v="2019-01-18T00:00:00"/>
    <s v="Royal"/>
    <n v="3"/>
    <n v="1"/>
    <n v="1"/>
    <s v="Herbs Basil"/>
    <x v="9"/>
    <x v="1"/>
    <n v="3"/>
    <n v="1.3607771100000001"/>
    <n v="0.221"/>
    <n v="0.30073174131000002"/>
  </r>
  <r>
    <d v="2019-01-18T00:00:00"/>
    <s v="Canned and dry goods"/>
    <n v="1"/>
    <n v="6"/>
    <n v="10"/>
    <s v="BEAN BAKED VEGETARIAN RED SOD"/>
    <x v="183"/>
    <x v="1"/>
    <n v="60"/>
    <n v="27.215542200000002"/>
    <n v="0.308"/>
    <n v="8.3823869976000012"/>
  </r>
  <r>
    <d v="2019-01-18T00:00:00"/>
    <s v="Canned and dry goods"/>
    <n v="3"/>
    <n v="6"/>
    <n v="10"/>
    <s v="BEAN BLACK LOW SODIUM"/>
    <x v="10"/>
    <x v="1"/>
    <n v="180"/>
    <n v="81.646626600000005"/>
    <n v="0.308"/>
    <n v="25.1471609928"/>
  </r>
  <r>
    <d v="2019-01-18T00:00:00"/>
    <s v="Canned and dry goods"/>
    <n v="1"/>
    <n v="1"/>
    <n v="20"/>
    <s v="BEAN BLACK TURTLE DRIED WASH"/>
    <x v="10"/>
    <x v="1"/>
    <n v="20"/>
    <n v="9.0718474000000011"/>
    <n v="0.308"/>
    <n v="2.7941289992000002"/>
  </r>
  <r>
    <d v="2019-01-18T00:00:00"/>
    <s v="Canned and dry goods"/>
    <n v="1"/>
    <n v="1"/>
    <n v="20"/>
    <s v="BEAN GREAT NORTHERN DRIED"/>
    <x v="184"/>
    <x v="1"/>
    <n v="20"/>
    <n v="9.0718474000000011"/>
    <n v="0.308"/>
    <n v="2.7941289992000002"/>
  </r>
  <r>
    <d v="2019-01-21T00:00:00"/>
    <s v="Canned and dry goods"/>
    <n v="1"/>
    <n v="1"/>
    <n v="20"/>
    <s v="BEAN GREAT NORTHERN DRIED"/>
    <x v="184"/>
    <x v="1"/>
    <n v="20"/>
    <n v="9.0718474000000011"/>
    <n v="0.308"/>
    <n v="2.7941289992000002"/>
  </r>
  <r>
    <d v="2019-01-18T00:00:00"/>
    <s v="Canned and dry goods"/>
    <n v="1"/>
    <n v="1"/>
    <n v="20"/>
    <s v="BEAN KIDNEY LIGHT RED DRIED"/>
    <x v="14"/>
    <x v="1"/>
    <n v="20"/>
    <n v="9.0718474000000011"/>
    <n v="0.308"/>
    <n v="2.7941289992000002"/>
  </r>
  <r>
    <d v="2019-01-23T00:00:00"/>
    <s v="Canned and dry goods"/>
    <n v="1"/>
    <n v="1"/>
    <n v="20"/>
    <s v="BEAN KIDNEY LIGHT RED DRIED"/>
    <x v="14"/>
    <x v="1"/>
    <n v="20"/>
    <n v="9.0718474000000011"/>
    <n v="0.308"/>
    <n v="2.7941289992000002"/>
  </r>
  <r>
    <d v="2019-01-18T00:00:00"/>
    <s v="Canned and dry goods"/>
    <n v="1"/>
    <n v="1"/>
    <n v="20"/>
    <s v="BEAN PINTO DRIED MULTI-CLEAN"/>
    <x v="15"/>
    <x v="1"/>
    <n v="20"/>
    <n v="9.0718474000000011"/>
    <n v="0.308"/>
    <n v="2.7941289992000002"/>
  </r>
  <r>
    <d v="2019-01-23T00:00:00"/>
    <s v="Royal"/>
    <n v="4"/>
    <n v="1"/>
    <n v="10"/>
    <s v="Sugar Snap Pea Stringless"/>
    <x v="16"/>
    <x v="1"/>
    <n v="40"/>
    <n v="18.143694800000002"/>
    <n v="0.754"/>
    <n v="13.680345879200003"/>
  </r>
  <r>
    <d v="2019-01-18T00:00:00"/>
    <s v="Royal"/>
    <n v="1"/>
    <n v="1"/>
    <n v="10"/>
    <s v="Sugar Snap"/>
    <x v="16"/>
    <x v="1"/>
    <n v="10"/>
    <n v="4.5359237000000006"/>
    <n v="0.754"/>
    <n v="3.4200864698000006"/>
  </r>
  <r>
    <d v="2019-01-18T00:00:00"/>
    <s v="Royal"/>
    <n v="2"/>
    <n v="1"/>
    <n v="10"/>
    <s v="Sugar Snap Pea Stringless"/>
    <x v="16"/>
    <x v="1"/>
    <n v="20"/>
    <n v="9.0718474000000011"/>
    <n v="0.754"/>
    <n v="6.8401729396000013"/>
  </r>
  <r>
    <d v="2019-01-21T00:00:00"/>
    <s v="Canned and dry goods"/>
    <n v="1"/>
    <n v="6"/>
    <n v="10"/>
    <s v="BEAN BLACK LOW SODIUM"/>
    <x v="185"/>
    <x v="1"/>
    <n v="60"/>
    <n v="27.215542200000002"/>
    <n v="0.308"/>
    <n v="8.3823869976000012"/>
  </r>
  <r>
    <d v="2019-01-21T00:00:00"/>
    <s v="Royal"/>
    <n v="6"/>
    <n v="1"/>
    <n v="10"/>
    <s v="Beans Green Tip LOCAL"/>
    <x v="145"/>
    <x v="1"/>
    <n v="60"/>
    <n v="27.215542200000002"/>
    <n v="0.66200000000000003"/>
    <n v="18.016688936400001"/>
  </r>
  <r>
    <d v="2019-01-22T00:00:00"/>
    <s v="Royal"/>
    <n v="6"/>
    <n v="1"/>
    <n v="10"/>
    <s v="Beans Green Tip LOCAL"/>
    <x v="145"/>
    <x v="1"/>
    <n v="60"/>
    <n v="27.215542200000002"/>
    <n v="0.66200000000000003"/>
    <n v="18.016688936400001"/>
  </r>
  <r>
    <d v="2019-01-23T00:00:00"/>
    <s v="Royal"/>
    <n v="8"/>
    <n v="1"/>
    <n v="10"/>
    <s v="Beans Green Tip LOCAL"/>
    <x v="145"/>
    <x v="1"/>
    <n v="80"/>
    <n v="36.287389600000004"/>
    <n v="0.66200000000000003"/>
    <n v="24.022251915200005"/>
  </r>
  <r>
    <d v="2019-01-18T00:00:00"/>
    <s v="Royal"/>
    <n v="9"/>
    <n v="1"/>
    <n v="10"/>
    <s v="Beans Green Tip LOCAL"/>
    <x v="145"/>
    <x v="1"/>
    <n v="90"/>
    <n v="40.823313300000002"/>
    <n v="0.66200000000000003"/>
    <n v="27.025033404600002"/>
  </r>
  <r>
    <d v="2019-01-24T00:00:00"/>
    <s v="Georgia Halal Meat"/>
    <n v="1"/>
    <n v="1"/>
    <n v="142"/>
    <s v="beef bot"/>
    <x v="17"/>
    <x v="0"/>
    <n v="142"/>
    <n v="64.410116540000004"/>
    <n v="32.845999999999997"/>
    <n v="2115.61468787284"/>
  </r>
  <r>
    <d v="2019-01-24T00:00:00"/>
    <s v="Georgia Halal Meat"/>
    <n v="1"/>
    <n v="1"/>
    <n v="40.549999999999997"/>
    <s v="beef k"/>
    <x v="17"/>
    <x v="0"/>
    <n v="40.549999999999997"/>
    <n v="18.3931706035"/>
    <n v="32.845999999999997"/>
    <n v="604.14208164256092"/>
  </r>
  <r>
    <d v="2019-01-19T00:00:00"/>
    <s v="White Oak Pastures"/>
    <n v="1"/>
    <n v="1"/>
    <n v="150"/>
    <s v="beef patties"/>
    <x v="17"/>
    <x v="0"/>
    <n v="150"/>
    <n v="68.038855500000011"/>
    <n v="32.845999999999997"/>
    <n v="2234.8042477530003"/>
  </r>
  <r>
    <d v="2019-01-18T00:00:00"/>
    <s v="Meats"/>
    <n v="1"/>
    <n v="2"/>
    <n v="5"/>
    <s v="FRANK ALL-BEEF 8X1 6 IN"/>
    <x v="17"/>
    <x v="0"/>
    <n v="10"/>
    <n v="4.5359237000000006"/>
    <n v="32.845999999999997"/>
    <n v="148.98694985020001"/>
  </r>
  <r>
    <d v="2019-01-18T00:00:00"/>
    <s v="Meats"/>
    <n v="7"/>
    <n v="1"/>
    <n v="10"/>
    <s v="FRANK BEEF 8X1 F/C"/>
    <x v="17"/>
    <x v="0"/>
    <n v="70"/>
    <n v="31.751465900000003"/>
    <n v="32.845999999999997"/>
    <n v="1042.9086489514"/>
  </r>
  <r>
    <d v="2019-01-18T00:00:00"/>
    <s v="Meats"/>
    <n v="1"/>
    <n v="1"/>
    <n v="213.13"/>
    <s v="BEEF EYE OF RND HALAL IAP"/>
    <x v="17"/>
    <x v="0"/>
    <n v="213.13"/>
    <n v="96.674141818100011"/>
    <n v="32.845999999999997"/>
    <n v="3175.3588621573126"/>
  </r>
  <r>
    <d v="2019-01-18T00:00:00"/>
    <s v="Meats"/>
    <n v="1"/>
    <n v="1"/>
    <n v="81.400000000000006"/>
    <s v="BEEF BRISKET DCKL-OFF CH 120"/>
    <x v="17"/>
    <x v="0"/>
    <n v="81.400000000000006"/>
    <n v="36.922418918000005"/>
    <n v="32.845999999999997"/>
    <n v="1212.7537717806281"/>
  </r>
  <r>
    <d v="2019-01-23T00:00:00"/>
    <s v="Meats"/>
    <n v="10"/>
    <n v="1"/>
    <n v="10"/>
    <s v="FRANK BEEF 8X1 F/C"/>
    <x v="17"/>
    <x v="0"/>
    <n v="100"/>
    <n v="45.359237"/>
    <n v="32.845999999999997"/>
    <n v="1489.8694985019999"/>
  </r>
  <r>
    <d v="2019-01-23T00:00:00"/>
    <s v="Meats"/>
    <n v="1"/>
    <n v="1"/>
    <n v="60.11"/>
    <s v="BEEF EYE OF RND HALAL IAP"/>
    <x v="17"/>
    <x v="0"/>
    <n v="60.11"/>
    <n v="27.265437360700002"/>
    <n v="32.845999999999997"/>
    <n v="895.56055554955219"/>
  </r>
  <r>
    <d v="2019-01-21T00:00:00"/>
    <s v="Meats"/>
    <n v="3"/>
    <n v="1"/>
    <n v="10"/>
    <s v="FRANK ALL-BEEF 8X1 6 IN"/>
    <x v="17"/>
    <x v="0"/>
    <n v="30"/>
    <n v="13.607771100000001"/>
    <n v="32.845999999999997"/>
    <n v="446.96084955059996"/>
  </r>
  <r>
    <d v="2019-01-23T00:00:00"/>
    <s v="Royal"/>
    <n v="1"/>
    <n v="1"/>
    <n v="25"/>
    <s v="Beets Red"/>
    <x v="160"/>
    <x v="1"/>
    <n v="25"/>
    <n v="11.33980925"/>
    <n v="0.19400000000000001"/>
    <n v="2.1999229945000001"/>
  </r>
  <r>
    <d v="2019-01-18T00:00:00"/>
    <s v="Royal"/>
    <n v="1"/>
    <n v="1"/>
    <n v="25"/>
    <s v="Beets Red"/>
    <x v="160"/>
    <x v="1"/>
    <n v="25"/>
    <n v="11.33980925"/>
    <n v="0.19400000000000001"/>
    <n v="2.1999229945000001"/>
  </r>
  <r>
    <d v="2019-01-21T00:00:00"/>
    <s v="Frozen"/>
    <n v="4"/>
    <n v="40"/>
    <n v="0.25"/>
    <s v="BURGER VEG BEYOND PATTY"/>
    <x v="18"/>
    <x v="1"/>
    <n v="40"/>
    <n v="18.143694800000002"/>
    <n v="3.5270000000000001"/>
    <n v="63.992811559600007"/>
  </r>
  <r>
    <d v="2019-01-21T00:00:00"/>
    <s v="Frozen"/>
    <n v="3"/>
    <n v="2"/>
    <n v="5"/>
    <s v="STRIP CHICKEN-FREE LTY SEASON"/>
    <x v="186"/>
    <x v="1"/>
    <n v="30"/>
    <n v="13.607771100000001"/>
    <m/>
    <n v="0"/>
  </r>
  <r>
    <d v="2019-01-18T00:00:00"/>
    <s v="Frozen"/>
    <n v="3"/>
    <n v="48"/>
    <n v="0.18124999999999999"/>
    <s v="BURGER BLK BEAN SPCY"/>
    <x v="21"/>
    <x v="1"/>
    <n v="26.099999999999998"/>
    <n v="11.838760856999999"/>
    <n v="6.87"/>
    <n v="81.332287087589989"/>
  </r>
  <r>
    <d v="2019-01-23T00:00:00"/>
    <s v="Frozen"/>
    <n v="4"/>
    <n v="48"/>
    <n v="0.18124999999999999"/>
    <s v="BURGER BLK BEAN SPCY"/>
    <x v="21"/>
    <x v="1"/>
    <n v="34.799999999999997"/>
    <n v="15.785014475999999"/>
    <n v="6.87"/>
    <n v="108.44304945012"/>
  </r>
  <r>
    <d v="2019-01-18T00:00:00"/>
    <s v="Royal"/>
    <n v="3"/>
    <n v="1"/>
    <n v="6"/>
    <s v="Blackberry Driscoll"/>
    <x v="22"/>
    <x v="1"/>
    <n v="18"/>
    <n v="8.1646626599999994"/>
    <n v="0.59899999999999998"/>
    <n v="4.8906329333399992"/>
  </r>
  <r>
    <d v="2019-01-18T00:00:00"/>
    <s v="Royal"/>
    <n v="3"/>
    <n v="1"/>
    <n v="6"/>
    <s v="Blueberry FB"/>
    <x v="23"/>
    <x v="1"/>
    <n v="18"/>
    <n v="8.1646626599999994"/>
    <n v="0.59899999999999998"/>
    <n v="4.8906329333399992"/>
  </r>
  <r>
    <d v="2019-01-19T00:00:00"/>
    <s v="Frozen"/>
    <n v="1"/>
    <n v="16"/>
    <s v="675 GR"/>
    <s v="BREAD SANDWICH WHT"/>
    <x v="24"/>
    <x v="1"/>
    <n v="0"/>
    <n v="0"/>
    <n v="1.28"/>
    <n v="0"/>
  </r>
  <r>
    <d v="2019-01-21T00:00:00"/>
    <s v="Frozen"/>
    <n v="1"/>
    <n v="12"/>
    <n v="1.77"/>
    <s v="BREAD PITA FLAT 7"/>
    <x v="24"/>
    <x v="1"/>
    <n v="21.240000000000002"/>
    <n v="9.634301938800002"/>
    <n v="1.28"/>
    <n v="12.331906481664003"/>
  </r>
  <r>
    <d v="2019-01-18T00:00:00"/>
    <s v="Frozen"/>
    <n v="4"/>
    <n v="12"/>
    <n v="1.77"/>
    <s v="BREAD PITA FLAT 7"/>
    <x v="187"/>
    <x v="1"/>
    <n v="84.960000000000008"/>
    <n v="38.537207755200008"/>
    <n v="1.28"/>
    <n v="49.327625926656012"/>
  </r>
  <r>
    <d v="2019-01-21T00:00:00"/>
    <s v="Royal"/>
    <n v="12"/>
    <n v="1"/>
    <n v="12"/>
    <s v="Broccoli Florets 4/3"/>
    <x v="25"/>
    <x v="1"/>
    <n v="144"/>
    <n v="65.317301279999995"/>
    <n v="0.79700000000000004"/>
    <n v="52.057889120159999"/>
  </r>
  <r>
    <d v="2019-01-22T00:00:00"/>
    <s v="Royal"/>
    <n v="7"/>
    <n v="1"/>
    <n v="12"/>
    <s v="Broccoli Florets 4/3"/>
    <x v="25"/>
    <x v="1"/>
    <n v="84"/>
    <n v="38.101759080000001"/>
    <n v="0.79700000000000004"/>
    <n v="30.367101986760002"/>
  </r>
  <r>
    <d v="2019-01-24T00:00:00"/>
    <s v="Royal"/>
    <n v="7"/>
    <n v="1"/>
    <n v="18"/>
    <s v="Broccoli Florets 6/3"/>
    <x v="25"/>
    <x v="1"/>
    <n v="126"/>
    <n v="57.152638620000005"/>
    <n v="0.79700000000000004"/>
    <n v="45.550652980140008"/>
  </r>
  <r>
    <d v="2019-01-23T00:00:00"/>
    <s v="Royal"/>
    <n v="12"/>
    <n v="1"/>
    <n v="12"/>
    <s v="Broccoli Florets 4/3"/>
    <x v="25"/>
    <x v="1"/>
    <n v="144"/>
    <n v="65.317301279999995"/>
    <n v="0.79700000000000004"/>
    <n v="52.057889120159999"/>
  </r>
  <r>
    <d v="2019-01-19T00:00:00"/>
    <s v="Royal"/>
    <n v="4"/>
    <n v="1"/>
    <n v="12"/>
    <s v="Broccoli Florets 4/3"/>
    <x v="25"/>
    <x v="1"/>
    <n v="48"/>
    <n v="21.772433760000002"/>
    <n v="0.79700000000000004"/>
    <n v="17.352629706720002"/>
  </r>
  <r>
    <d v="2019-01-18T00:00:00"/>
    <s v="Royal"/>
    <n v="14"/>
    <n v="1"/>
    <n v="12"/>
    <s v="Broccoli Florets 4/3"/>
    <x v="25"/>
    <x v="1"/>
    <n v="168"/>
    <n v="76.203518160000002"/>
    <n v="0.79700000000000004"/>
    <n v="60.734203973520003"/>
  </r>
  <r>
    <d v="2019-01-21T00:00:00"/>
    <s v="Royal"/>
    <n v="2"/>
    <n v="1"/>
    <n v="20"/>
    <s v="Pr Brussels Sprouts Halved"/>
    <x v="176"/>
    <x v="1"/>
    <n v="40"/>
    <n v="18.143694800000002"/>
    <n v="0.49"/>
    <n v="8.8904104520000011"/>
  </r>
  <r>
    <d v="2019-01-24T00:00:00"/>
    <s v="Royal"/>
    <n v="3"/>
    <n v="1"/>
    <n v="25"/>
    <s v="Brussels Sprouts"/>
    <x v="176"/>
    <x v="1"/>
    <n v="75"/>
    <n v="34.019427750000006"/>
    <n v="0.49"/>
    <n v="16.669519597500003"/>
  </r>
  <r>
    <d v="2019-01-24T00:00:00"/>
    <s v="Royal"/>
    <n v="1"/>
    <n v="1"/>
    <n v="20"/>
    <s v="Pr Brussels Sprouts Halved"/>
    <x v="176"/>
    <x v="1"/>
    <n v="20"/>
    <n v="9.0718474000000011"/>
    <n v="0.49"/>
    <n v="4.4452052260000006"/>
  </r>
  <r>
    <d v="2019-01-18T00:00:00"/>
    <s v="Royal"/>
    <n v="3"/>
    <n v="1"/>
    <n v="20"/>
    <s v="Pr Brussels Sprouts Halved"/>
    <x v="176"/>
    <x v="1"/>
    <n v="60"/>
    <n v="27.215542200000002"/>
    <n v="0.49"/>
    <n v="13.335615678"/>
  </r>
  <r>
    <d v="2019-01-19T00:00:00"/>
    <s v="Frozen"/>
    <n v="3"/>
    <n v="8"/>
    <n v="16.799999999999997"/>
    <s v="BUN WHITE HMBRGR SLI 4 IN"/>
    <x v="29"/>
    <x v="1"/>
    <n v="403.19999999999993"/>
    <n v="182.88844358399996"/>
    <n v="1.28"/>
    <n v="234.09720778751995"/>
  </r>
  <r>
    <d v="2019-01-19T00:00:00"/>
    <s v="Frozen"/>
    <n v="2"/>
    <n v="8"/>
    <n v="16.799999999999997"/>
    <s v="BUN HOT DOG"/>
    <x v="29"/>
    <x v="1"/>
    <n v="268.79999999999995"/>
    <n v="121.92562905599999"/>
    <n v="1.28"/>
    <n v="156.06480519167999"/>
  </r>
  <r>
    <d v="2019-01-18T00:00:00"/>
    <s v="Dairy Products"/>
    <n v="1"/>
    <n v="36"/>
    <n v="1"/>
    <s v="BUTTER SOLID UNSLTD USDA AA"/>
    <x v="30"/>
    <x v="2"/>
    <n v="36"/>
    <n v="16.329325319999999"/>
    <n v="11.52"/>
    <n v="188.11382768639999"/>
  </r>
  <r>
    <d v="2019-01-18T00:00:00"/>
    <s v="Royal"/>
    <n v="3"/>
    <n v="1"/>
    <n v="45"/>
    <s v="Cabbage Green Box"/>
    <x v="31"/>
    <x v="1"/>
    <n v="135"/>
    <n v="61.23496995"/>
    <n v="0.219"/>
    <n v="13.41045841905"/>
  </r>
  <r>
    <d v="2019-01-21T00:00:00"/>
    <s v="Royal"/>
    <n v="4"/>
    <n v="1"/>
    <n v="27"/>
    <s v="Melon   Cantaloupe  9 Ct"/>
    <x v="33"/>
    <x v="1"/>
    <n v="108"/>
    <n v="48.987975960000007"/>
    <n v="0.49"/>
    <n v="24.004108220400003"/>
  </r>
  <r>
    <d v="2019-01-22T00:00:00"/>
    <s v="Royal"/>
    <n v="6"/>
    <n v="1"/>
    <n v="27"/>
    <s v="Melon   Cantaloupe  9 Ct"/>
    <x v="33"/>
    <x v="1"/>
    <n v="162"/>
    <n v="73.48196394"/>
    <n v="0.49"/>
    <n v="36.006162330599999"/>
  </r>
  <r>
    <d v="2019-01-24T00:00:00"/>
    <s v="Royal"/>
    <n v="6"/>
    <n v="1"/>
    <n v="27"/>
    <s v="Melon   Cantaloupe  9 Ct"/>
    <x v="33"/>
    <x v="1"/>
    <n v="162"/>
    <n v="73.48196394"/>
    <n v="0.49"/>
    <n v="36.006162330599999"/>
  </r>
  <r>
    <d v="2019-01-23T00:00:00"/>
    <s v="Royal"/>
    <n v="8"/>
    <n v="1"/>
    <n v="27"/>
    <s v="Melon   Cantaloupe  9 Ct"/>
    <x v="33"/>
    <x v="1"/>
    <n v="216"/>
    <n v="97.975951920000014"/>
    <n v="0.49"/>
    <n v="48.008216440800005"/>
  </r>
  <r>
    <d v="2019-01-18T00:00:00"/>
    <s v="Royal"/>
    <n v="8"/>
    <n v="1"/>
    <n v="27"/>
    <s v="Melon   Cantaloupe  9 Ct"/>
    <x v="33"/>
    <x v="1"/>
    <n v="216"/>
    <n v="97.975951920000014"/>
    <n v="0.49"/>
    <n v="48.008216440800005"/>
  </r>
  <r>
    <d v="2019-01-18T00:00:00"/>
    <s v="Canned and dry goods"/>
    <n v="1"/>
    <n v="6"/>
    <n v="0.125"/>
    <s v="CAPER SPANISH NONPAREIL"/>
    <x v="188"/>
    <x v="1"/>
    <n v="0.75"/>
    <n v="0.34019427750000003"/>
    <n v="0.48199999999999998"/>
    <n v="0.16397364175500001"/>
  </r>
  <r>
    <d v="2019-01-21T00:00:00"/>
    <s v="Royal"/>
    <n v="2"/>
    <n v="1"/>
    <n v="50"/>
    <s v="carrot"/>
    <x v="34"/>
    <x v="1"/>
    <n v="100"/>
    <n v="45.359237"/>
    <n v="9.1999999999999998E-2"/>
    <n v="4.1730498039999997"/>
  </r>
  <r>
    <d v="2019-01-21T00:00:00"/>
    <s v="Royal"/>
    <n v="1"/>
    <n v="1"/>
    <n v="20"/>
    <s v="Pr Carrot Shred"/>
    <x v="34"/>
    <x v="1"/>
    <n v="20"/>
    <n v="9.0718474000000011"/>
    <n v="9.1999999999999998E-2"/>
    <n v="0.83460996080000005"/>
  </r>
  <r>
    <d v="2019-01-21T00:00:00"/>
    <s v="Royal"/>
    <n v="1"/>
    <n v="1"/>
    <n v="20"/>
    <s v="Pr Carrot Stick"/>
    <x v="34"/>
    <x v="1"/>
    <n v="20"/>
    <n v="9.0718474000000011"/>
    <n v="9.1999999999999998E-2"/>
    <n v="0.83460996080000005"/>
  </r>
  <r>
    <d v="2019-01-24T00:00:00"/>
    <s v="Royal"/>
    <n v="2"/>
    <n v="1"/>
    <n v="20"/>
    <s v="Pr Carrot Shred"/>
    <x v="34"/>
    <x v="1"/>
    <n v="40"/>
    <n v="18.143694800000002"/>
    <n v="9.1999999999999998E-2"/>
    <n v="1.6692199216000001"/>
  </r>
  <r>
    <d v="2019-01-23T00:00:00"/>
    <s v="Royal"/>
    <n v="2"/>
    <n v="1"/>
    <n v="50"/>
    <s v="Carrot"/>
    <x v="34"/>
    <x v="1"/>
    <n v="100"/>
    <n v="45.359237"/>
    <n v="9.1999999999999998E-2"/>
    <n v="4.1730498039999997"/>
  </r>
  <r>
    <d v="2019-01-23T00:00:00"/>
    <s v="Royal"/>
    <n v="1"/>
    <n v="1"/>
    <n v="20"/>
    <s v="Pr Carrot Shred"/>
    <x v="34"/>
    <x v="1"/>
    <n v="20"/>
    <n v="9.0718474000000011"/>
    <n v="9.1999999999999998E-2"/>
    <n v="0.83460996080000005"/>
  </r>
  <r>
    <d v="2019-01-19T00:00:00"/>
    <s v="Royal"/>
    <n v="1"/>
    <n v="1"/>
    <n v="20"/>
    <s v="Pr Carrot Diced 1/4&quot;"/>
    <x v="34"/>
    <x v="1"/>
    <n v="20"/>
    <n v="9.0718474000000011"/>
    <n v="9.1999999999999998E-2"/>
    <n v="0.83460996080000005"/>
  </r>
  <r>
    <d v="2019-01-19T00:00:00"/>
    <s v="Royal"/>
    <n v="1"/>
    <n v="1"/>
    <n v="20"/>
    <s v="Pr Carrot Shred"/>
    <x v="34"/>
    <x v="1"/>
    <n v="20"/>
    <n v="9.0718474000000011"/>
    <n v="9.1999999999999998E-2"/>
    <n v="0.83460996080000005"/>
  </r>
  <r>
    <d v="2019-01-19T00:00:00"/>
    <s v="Royal"/>
    <n v="1"/>
    <n v="1"/>
    <n v="20"/>
    <s v="Pr Carrot Stick"/>
    <x v="34"/>
    <x v="1"/>
    <n v="20"/>
    <n v="9.0718474000000011"/>
    <n v="9.1999999999999998E-2"/>
    <n v="0.83460996080000005"/>
  </r>
  <r>
    <d v="2019-01-18T00:00:00"/>
    <s v="Royal"/>
    <n v="4"/>
    <n v="1"/>
    <n v="50"/>
    <s v="Carrot"/>
    <x v="34"/>
    <x v="1"/>
    <n v="200"/>
    <n v="90.718474000000001"/>
    <n v="9.1999999999999998E-2"/>
    <n v="8.3460996079999994"/>
  </r>
  <r>
    <d v="2019-01-18T00:00:00"/>
    <s v="Royal"/>
    <n v="1"/>
    <n v="1"/>
    <n v="20"/>
    <s v="Pr Carrot Diced 1/4&quot;"/>
    <x v="34"/>
    <x v="1"/>
    <n v="20"/>
    <n v="9.0718474000000011"/>
    <n v="9.1999999999999998E-2"/>
    <n v="0.83460996080000005"/>
  </r>
  <r>
    <d v="2019-01-18T00:00:00"/>
    <s v="Royal"/>
    <n v="2"/>
    <n v="1"/>
    <n v="20"/>
    <s v="Pr Carrot Shred"/>
    <x v="34"/>
    <x v="1"/>
    <n v="40"/>
    <n v="18.143694800000002"/>
    <n v="9.1999999999999998E-2"/>
    <n v="1.6692199216000001"/>
  </r>
  <r>
    <d v="2019-01-18T00:00:00"/>
    <s v="Royal"/>
    <n v="1"/>
    <n v="1"/>
    <n v="20"/>
    <s v="Pr Carrot Stick"/>
    <x v="34"/>
    <x v="1"/>
    <n v="20"/>
    <n v="9.0718474000000011"/>
    <n v="9.1999999999999998E-2"/>
    <n v="0.83460996080000005"/>
  </r>
  <r>
    <d v="2019-01-24T00:00:00"/>
    <s v="Inland Seafood"/>
    <n v="1"/>
    <n v="1"/>
    <n v="60"/>
    <s v="catfish (farmed)"/>
    <x v="189"/>
    <x v="0"/>
    <n v="60"/>
    <n v="27.215542200000002"/>
    <n v="5.7169999999999996"/>
    <n v="155.59125475740001"/>
  </r>
  <r>
    <d v="2019-01-21T00:00:00"/>
    <s v="Royal"/>
    <n v="3"/>
    <n v="1"/>
    <n v="15.600000000000001"/>
    <s v="Cauliflower"/>
    <x v="36"/>
    <x v="1"/>
    <n v="46.800000000000004"/>
    <n v="21.228122916000004"/>
    <n v="0.93400000000000005"/>
    <n v="19.827066803544003"/>
  </r>
  <r>
    <d v="2019-01-24T00:00:00"/>
    <s v="Royal"/>
    <n v="3"/>
    <n v="1"/>
    <n v="12"/>
    <s v="Pr Cauliflower Florets"/>
    <x v="36"/>
    <x v="1"/>
    <n v="36"/>
    <n v="16.329325319999999"/>
    <n v="0.93400000000000005"/>
    <n v="15.25158984888"/>
  </r>
  <r>
    <d v="2019-01-19T00:00:00"/>
    <s v="Royal"/>
    <n v="3"/>
    <n v="1"/>
    <n v="12"/>
    <s v="Pr Cauliflower Florets FB"/>
    <x v="36"/>
    <x v="1"/>
    <n v="36"/>
    <n v="16.329325319999999"/>
    <n v="0.93400000000000005"/>
    <n v="15.25158984888"/>
  </r>
  <r>
    <d v="2019-01-18T00:00:00"/>
    <s v="Royal"/>
    <n v="3"/>
    <n v="1"/>
    <n v="12"/>
    <s v="Pr Cauliflower Florets"/>
    <x v="36"/>
    <x v="1"/>
    <n v="36"/>
    <n v="16.329325319999999"/>
    <n v="0.93400000000000005"/>
    <n v="15.25158984888"/>
  </r>
  <r>
    <d v="2019-01-21T00:00:00"/>
    <s v="Royal"/>
    <n v="1"/>
    <n v="1"/>
    <n v="20"/>
    <s v="Pr Celery Sticks 4/5#"/>
    <x v="37"/>
    <x v="1"/>
    <n v="20"/>
    <n v="9.0718474000000011"/>
    <n v="0.33100000000000002"/>
    <n v="3.0027814894000007"/>
  </r>
  <r>
    <d v="2019-01-22T00:00:00"/>
    <s v="Royal"/>
    <n v="1"/>
    <n v="1"/>
    <n v="36"/>
    <s v="Celery"/>
    <x v="37"/>
    <x v="1"/>
    <n v="36"/>
    <n v="16.329325319999999"/>
    <n v="0.33100000000000002"/>
    <n v="5.4050066809199997"/>
  </r>
  <r>
    <d v="2019-01-19T00:00:00"/>
    <s v="Royal"/>
    <n v="1"/>
    <n v="1"/>
    <n v="20"/>
    <s v="Pr Celery Sticks 4/5#"/>
    <x v="37"/>
    <x v="1"/>
    <n v="20"/>
    <n v="9.0718474000000011"/>
    <n v="0.33100000000000002"/>
    <n v="3.0027814894000007"/>
  </r>
  <r>
    <d v="2019-01-18T00:00:00"/>
    <s v="Royal"/>
    <n v="1"/>
    <n v="1"/>
    <n v="20"/>
    <s v="Pr Celery Diced 1/4&quot; 4/5#"/>
    <x v="37"/>
    <x v="1"/>
    <n v="20"/>
    <n v="9.0718474000000011"/>
    <n v="0.33100000000000002"/>
    <n v="3.0027814894000007"/>
  </r>
  <r>
    <d v="2019-01-18T00:00:00"/>
    <s v="Royal"/>
    <n v="1"/>
    <n v="1"/>
    <n v="20"/>
    <s v="Pr Celery Sticks 4/5#"/>
    <x v="37"/>
    <x v="1"/>
    <n v="20"/>
    <n v="9.0718474000000011"/>
    <n v="0.33100000000000002"/>
    <n v="3.0027814894000007"/>
  </r>
  <r>
    <d v="2019-01-18T00:00:00"/>
    <s v="Royal"/>
    <n v="1"/>
    <n v="1"/>
    <n v="36"/>
    <s v="Celery LOCAL"/>
    <x v="37"/>
    <x v="1"/>
    <n v="36"/>
    <n v="16.329325319999999"/>
    <n v="0.33100000000000002"/>
    <n v="5.4050066809199997"/>
  </r>
  <r>
    <d v="2019-01-18T00:00:00"/>
    <s v="Canned and dry goods"/>
    <n v="2"/>
    <n v="4"/>
    <n v="2.5"/>
    <s v="CEREAL FROSTED FLAKES"/>
    <x v="38"/>
    <x v="1"/>
    <n v="20"/>
    <n v="9.0718474000000011"/>
    <n v="1.61"/>
    <n v="14.605674314000003"/>
  </r>
  <r>
    <d v="2019-01-18T00:00:00"/>
    <s v="Canned and dry goods"/>
    <n v="1"/>
    <n v="4"/>
    <n v="2.1875"/>
    <s v="CEREAL LUCKY CHARMS GLUTN FR"/>
    <x v="38"/>
    <x v="1"/>
    <n v="8.75"/>
    <n v="3.9689332375000004"/>
    <n v="1.61"/>
    <n v="6.3899825123750009"/>
  </r>
  <r>
    <d v="2019-01-18T00:00:00"/>
    <s v="Canned and dry goods"/>
    <n v="2"/>
    <n v="4"/>
    <n v="2.8125"/>
    <s v="CEREAL CINN TST CRUN BULKPAK"/>
    <x v="38"/>
    <x v="1"/>
    <n v="22.5"/>
    <n v="10.205828325000001"/>
    <n v="1.61"/>
    <n v="16.431383603250001"/>
  </r>
  <r>
    <d v="2019-01-18T00:00:00"/>
    <s v="Canned and dry goods"/>
    <n v="1"/>
    <n v="12"/>
    <n v="2.9375"/>
    <s v="CEREAL HOT OAT KETTLE HEARTY"/>
    <x v="38"/>
    <x v="1"/>
    <n v="35.25"/>
    <n v="15.989131042500002"/>
    <n v="1.61"/>
    <n v="25.742500978425007"/>
  </r>
  <r>
    <d v="2019-01-18T00:00:00"/>
    <s v="Canned and dry goods"/>
    <n v="2"/>
    <n v="4"/>
    <n v="3.125"/>
    <s v="CEREAL GRANOLA OATSN HNY BLKPK"/>
    <x v="38"/>
    <x v="1"/>
    <n v="25"/>
    <n v="11.33980925"/>
    <n v="1.61"/>
    <n v="18.257092892500001"/>
  </r>
  <r>
    <d v="2019-01-21T00:00:00"/>
    <s v="Canned and dry goods"/>
    <n v="2"/>
    <n v="4"/>
    <n v="1.8125"/>
    <s v="CEREAL CHEERIO GLUTEN FR"/>
    <x v="38"/>
    <x v="1"/>
    <n v="14.5"/>
    <n v="6.577089365"/>
    <n v="1.61"/>
    <n v="10.58911387765"/>
  </r>
  <r>
    <d v="2019-01-21T00:00:00"/>
    <s v="Canned and dry goods"/>
    <n v="3"/>
    <n v="4"/>
    <n v="2.5"/>
    <s v="CEREAL FROSTED FLAKES"/>
    <x v="38"/>
    <x v="1"/>
    <n v="30"/>
    <n v="13.607771100000001"/>
    <n v="1.61"/>
    <n v="21.908511471000004"/>
  </r>
  <r>
    <d v="2019-01-21T00:00:00"/>
    <s v="Canned and dry goods"/>
    <n v="2"/>
    <n v="4"/>
    <n v="2.1875"/>
    <s v="CEREAL LUCKY CHARMS GLUTN FR"/>
    <x v="38"/>
    <x v="1"/>
    <n v="17.5"/>
    <n v="7.9378664750000008"/>
    <n v="1.61"/>
    <n v="12.779965024750002"/>
  </r>
  <r>
    <d v="2019-01-21T00:00:00"/>
    <s v="Canned and dry goods"/>
    <n v="2"/>
    <n v="4"/>
    <n v="2.1875"/>
    <s v="CEREAL COCOA PUFFS BULKPAK"/>
    <x v="38"/>
    <x v="1"/>
    <n v="17.5"/>
    <n v="7.9378664750000008"/>
    <n v="1.61"/>
    <n v="12.779965024750002"/>
  </r>
  <r>
    <d v="2019-01-21T00:00:00"/>
    <s v="Canned and dry goods"/>
    <n v="1"/>
    <n v="4"/>
    <n v="3.125"/>
    <s v="CEREAL GRANOLA OATSN HNY BLKPK"/>
    <x v="38"/>
    <x v="1"/>
    <n v="12.5"/>
    <n v="5.669904625"/>
    <n v="1.61"/>
    <n v="9.1285464462500006"/>
  </r>
  <r>
    <d v="2019-01-23T00:00:00"/>
    <s v="Canned and dry goods"/>
    <n v="1"/>
    <n v="4"/>
    <n v="2.5"/>
    <s v="CEREAL FROSTED FLAKES"/>
    <x v="38"/>
    <x v="1"/>
    <n v="10"/>
    <n v="4.5359237000000006"/>
    <n v="1.61"/>
    <n v="7.3028371570000017"/>
  </r>
  <r>
    <d v="2019-01-23T00:00:00"/>
    <s v="Canned and dry goods"/>
    <n v="2"/>
    <n v="4"/>
    <n v="2.8125"/>
    <s v="CEREAL CINN TST CRUN BULKPAK"/>
    <x v="38"/>
    <x v="1"/>
    <n v="22.5"/>
    <n v="10.205828325000001"/>
    <n v="1.61"/>
    <n v="16.431383603250001"/>
  </r>
  <r>
    <d v="2019-01-23T00:00:00"/>
    <s v="Canned and dry goods"/>
    <n v="1"/>
    <n v="4"/>
    <n v="3.125"/>
    <s v="CEREAL GRANOLA OATSN HNY BLKPK"/>
    <x v="38"/>
    <x v="1"/>
    <n v="12.5"/>
    <n v="5.669904625"/>
    <n v="1.61"/>
    <n v="9.1285464462500006"/>
  </r>
  <r>
    <d v="2019-01-18T00:00:00"/>
    <s v="Dairy Products"/>
    <n v="2"/>
    <n v="12"/>
    <n v="0.28125"/>
    <s v="CHEESE BRIE IMPORTED"/>
    <x v="42"/>
    <x v="2"/>
    <n v="6.75"/>
    <n v="3.0617484975000004"/>
    <n v="9.9740000000000002"/>
    <n v="30.537879514065004"/>
  </r>
  <r>
    <d v="2019-01-18T00:00:00"/>
    <s v="Dairy Products"/>
    <n v="1"/>
    <n v="6"/>
    <n v="3"/>
    <s v="CHEESE CREAM ORIG LOAF"/>
    <x v="42"/>
    <x v="2"/>
    <n v="18"/>
    <n v="8.1646626599999994"/>
    <n v="9.9740000000000002"/>
    <n v="81.434345370839992"/>
  </r>
  <r>
    <d v="2019-01-18T00:00:00"/>
    <s v="Dairy Products"/>
    <n v="2"/>
    <n v="2"/>
    <n v="5"/>
    <s v="CHEESE COTTAGE SMALL CURD 4%"/>
    <x v="42"/>
    <x v="2"/>
    <n v="20"/>
    <n v="9.0718474000000011"/>
    <n v="9.9740000000000002"/>
    <n v="90.482605967600009"/>
  </r>
  <r>
    <d v="2019-01-18T00:00:00"/>
    <s v="Dairy Products"/>
    <n v="2"/>
    <n v="4"/>
    <n v="5"/>
    <s v="CHEESE AMER YEL 160 SLI"/>
    <x v="42"/>
    <x v="2"/>
    <n v="40"/>
    <n v="18.143694800000002"/>
    <n v="9.9740000000000002"/>
    <n v="180.96521193520002"/>
  </r>
  <r>
    <d v="2019-01-18T00:00:00"/>
    <s v="Dairy Products"/>
    <n v="5"/>
    <n v="4"/>
    <n v="5"/>
    <s v="CHEESE CHDR MILD FTHR SHRD"/>
    <x v="42"/>
    <x v="2"/>
    <n v="100"/>
    <n v="45.359237"/>
    <n v="9.9740000000000002"/>
    <n v="452.413029838"/>
  </r>
  <r>
    <d v="2019-01-18T00:00:00"/>
    <s v="Dairy Products"/>
    <n v="10"/>
    <n v="4"/>
    <n v="5"/>
    <s v="CHEESE MOZZ FTHR SHRD PART SKM"/>
    <x v="42"/>
    <x v="2"/>
    <n v="200"/>
    <n v="90.718474000000001"/>
    <n v="9.9740000000000002"/>
    <n v="904.826059676"/>
  </r>
  <r>
    <d v="2019-01-18T00:00:00"/>
    <s v="Dairy Products"/>
    <n v="1"/>
    <n v="4"/>
    <n v="2.5"/>
    <s v="CHEESE PEPPER JACK SLI .70.3125"/>
    <x v="42"/>
    <x v="2"/>
    <n v="10"/>
    <n v="4.5359237000000006"/>
    <n v="9.9740000000000002"/>
    <n v="45.241302983800004"/>
  </r>
  <r>
    <d v="2019-01-18T00:00:00"/>
    <s v="Dairy Products"/>
    <n v="1"/>
    <n v="8"/>
    <n v="1.25"/>
    <s v="CHEESE CHDR MILD SLI .0.3125"/>
    <x v="42"/>
    <x v="2"/>
    <n v="10"/>
    <n v="4.5359237000000006"/>
    <n v="9.9740000000000002"/>
    <n v="45.241302983800004"/>
  </r>
  <r>
    <d v="2019-01-18T00:00:00"/>
    <s v="Dairy Products"/>
    <n v="1"/>
    <n v="4"/>
    <n v="2.5"/>
    <s v="CHEESE PROVOLONE SLI .0.3125"/>
    <x v="42"/>
    <x v="2"/>
    <n v="10"/>
    <n v="4.5359237000000006"/>
    <n v="9.9740000000000002"/>
    <n v="45.241302983800004"/>
  </r>
  <r>
    <d v="2019-01-18T00:00:00"/>
    <s v="Dairy Products"/>
    <n v="2"/>
    <n v="2"/>
    <n v="5"/>
    <s v="CHEESE PARM GRATED PURE"/>
    <x v="42"/>
    <x v="2"/>
    <n v="20"/>
    <n v="9.0718474000000011"/>
    <n v="9.9740000000000002"/>
    <n v="90.482605967600009"/>
  </r>
  <r>
    <d v="2019-01-18T00:00:00"/>
    <s v="Dairy Products"/>
    <n v="1"/>
    <n v="6"/>
    <n v="3"/>
    <s v="CHEESE RICOTTA WHL MLK CLS"/>
    <x v="42"/>
    <x v="2"/>
    <n v="18"/>
    <n v="8.1646626599999994"/>
    <n v="9.9740000000000002"/>
    <n v="81.434345370839992"/>
  </r>
  <r>
    <d v="2019-01-21T00:00:00"/>
    <s v="Dairy Products"/>
    <n v="1"/>
    <n v="10"/>
    <n v="3"/>
    <s v="CHEESE CREAM LOAF"/>
    <x v="42"/>
    <x v="2"/>
    <n v="30"/>
    <n v="13.607771100000001"/>
    <n v="9.9740000000000002"/>
    <n v="135.72390895140001"/>
  </r>
  <r>
    <d v="2019-01-21T00:00:00"/>
    <s v="Dairy Products"/>
    <n v="1"/>
    <n v="2"/>
    <n v="5"/>
    <s v="CHEESE COTTAGE SMALL CURD 4%"/>
    <x v="42"/>
    <x v="2"/>
    <n v="10"/>
    <n v="4.5359237000000006"/>
    <n v="9.9740000000000002"/>
    <n v="45.241302983800004"/>
  </r>
  <r>
    <d v="2019-01-21T00:00:00"/>
    <s v="Dairy Products"/>
    <n v="1"/>
    <n v="1"/>
    <n v="23.85"/>
    <s v="CHEESE GOUDA SMK"/>
    <x v="42"/>
    <x v="2"/>
    <n v="23.85"/>
    <n v="10.818178024500002"/>
    <n v="9.9740000000000002"/>
    <n v="107.90050761636302"/>
  </r>
  <r>
    <d v="2019-01-21T00:00:00"/>
    <s v="Dairy Products"/>
    <n v="2"/>
    <n v="4"/>
    <n v="5"/>
    <s v="CHEESE CHDR MILD FTHR SHRD"/>
    <x v="42"/>
    <x v="2"/>
    <n v="40"/>
    <n v="18.143694800000002"/>
    <n v="9.9740000000000002"/>
    <n v="180.96521193520002"/>
  </r>
  <r>
    <d v="2019-01-21T00:00:00"/>
    <s v="Dairy Products"/>
    <n v="5"/>
    <n v="4"/>
    <n v="5"/>
    <s v="CHEESE MOZZ FTHR SHRD PART SKM"/>
    <x v="42"/>
    <x v="2"/>
    <n v="100"/>
    <n v="45.359237"/>
    <n v="9.9740000000000002"/>
    <n v="452.413029838"/>
  </r>
  <r>
    <d v="2019-01-21T00:00:00"/>
    <s v="Dairy Products"/>
    <n v="1"/>
    <n v="8"/>
    <n v="1.25"/>
    <s v="CHEESE CHDR MILD SLI .0.3125"/>
    <x v="42"/>
    <x v="2"/>
    <n v="10"/>
    <n v="4.5359237000000006"/>
    <n v="9.9740000000000002"/>
    <n v="45.241302983800004"/>
  </r>
  <r>
    <d v="2019-01-21T00:00:00"/>
    <s v="Dairy Products"/>
    <n v="2"/>
    <n v="2"/>
    <n v="5"/>
    <s v="CHEESE PARM GRATED PURE"/>
    <x v="42"/>
    <x v="2"/>
    <n v="20"/>
    <n v="9.0718474000000011"/>
    <n v="9.9740000000000002"/>
    <n v="90.482605967600009"/>
  </r>
  <r>
    <d v="2019-01-23T00:00:00"/>
    <s v="Dairy Products"/>
    <n v="2"/>
    <n v="4"/>
    <n v="5"/>
    <s v="CHEESE AMER YEL 160 SLI"/>
    <x v="42"/>
    <x v="2"/>
    <n v="40"/>
    <n v="18.143694800000002"/>
    <n v="9.9740000000000002"/>
    <n v="180.96521193520002"/>
  </r>
  <r>
    <d v="2019-01-23T00:00:00"/>
    <s v="Dairy Products"/>
    <n v="1"/>
    <n v="4"/>
    <n v="5"/>
    <s v="CHEESE CHDR MILD FTHR SHRD"/>
    <x v="42"/>
    <x v="2"/>
    <n v="20"/>
    <n v="9.0718474000000011"/>
    <n v="9.9740000000000002"/>
    <n v="90.482605967600009"/>
  </r>
  <r>
    <d v="2019-01-23T00:00:00"/>
    <s v="Dairy Products"/>
    <n v="4"/>
    <n v="4"/>
    <n v="5"/>
    <s v="CHEESE MOZZ FTHR SHRD PART SKM"/>
    <x v="42"/>
    <x v="2"/>
    <n v="80"/>
    <n v="36.287389600000004"/>
    <n v="9.9740000000000002"/>
    <n v="361.93042387040003"/>
  </r>
  <r>
    <d v="2019-01-23T00:00:00"/>
    <s v="Dairy Products"/>
    <n v="1"/>
    <n v="8"/>
    <n v="1.25"/>
    <s v="CHEESE CHDR MILD SLI .0.3125"/>
    <x v="42"/>
    <x v="2"/>
    <n v="10"/>
    <n v="4.5359237000000006"/>
    <n v="9.9740000000000002"/>
    <n v="45.241302983800004"/>
  </r>
  <r>
    <d v="2019-01-23T00:00:00"/>
    <s v="Dairy Products"/>
    <n v="1"/>
    <n v="2"/>
    <n v="5"/>
    <s v="CHEESE PARM GRATED PURE"/>
    <x v="42"/>
    <x v="2"/>
    <n v="10"/>
    <n v="4.5359237000000006"/>
    <n v="9.9740000000000002"/>
    <n v="45.241302983800004"/>
  </r>
  <r>
    <d v="2019-01-18T00:00:00"/>
    <s v="Frozen"/>
    <n v="4"/>
    <n v="2"/>
    <n v="4"/>
    <s v="CHEESE STICK PLANK 5CHEESE"/>
    <x v="42"/>
    <x v="2"/>
    <n v="32"/>
    <n v="14.514955840000001"/>
    <n v="9.9740000000000002"/>
    <n v="144.77216954816001"/>
  </r>
  <r>
    <d v="2019-01-24T00:00:00"/>
    <s v="Georgia Halal Meat"/>
    <n v="1"/>
    <n v="1"/>
    <n v="80"/>
    <s v="chicken breast"/>
    <x v="43"/>
    <x v="0"/>
    <n v="80"/>
    <n v="36.287389600000004"/>
    <n v="4.1879999999999997"/>
    <n v="151.9715876448"/>
  </r>
  <r>
    <d v="2019-01-23T00:00:00"/>
    <s v="Inland Seafodd"/>
    <n v="1"/>
    <n v="1"/>
    <n v="200"/>
    <s v="chicken breast filet"/>
    <x v="43"/>
    <x v="0"/>
    <n v="200"/>
    <n v="90.718474000000001"/>
    <n v="4.1879999999999997"/>
    <n v="379.928969112"/>
  </r>
  <r>
    <d v="2019-01-23T00:00:00"/>
    <s v="Inland Seafodd"/>
    <n v="1"/>
    <n v="1"/>
    <n v="20"/>
    <s v="chicken boneless thighs"/>
    <x v="43"/>
    <x v="0"/>
    <n v="20"/>
    <n v="9.0718474000000011"/>
    <n v="4.1879999999999997"/>
    <n v="37.992896911199999"/>
  </r>
  <r>
    <d v="2019-01-23T00:00:00"/>
    <s v="Inland Seafodd"/>
    <n v="1"/>
    <n v="1"/>
    <n v="160"/>
    <s v="chicken boneless thighs"/>
    <x v="43"/>
    <x v="0"/>
    <n v="160"/>
    <n v="72.574779200000009"/>
    <n v="4.1879999999999997"/>
    <n v="303.94317528959999"/>
  </r>
  <r>
    <d v="2019-01-23T00:00:00"/>
    <s v="Inland Seafodd"/>
    <n v="1"/>
    <n v="1"/>
    <n v="160"/>
    <s v="chicken breast chunk"/>
    <x v="43"/>
    <x v="0"/>
    <n v="160"/>
    <n v="72.574779200000009"/>
    <n v="4.1879999999999997"/>
    <n v="303.94317528959999"/>
  </r>
  <r>
    <d v="2019-01-24T00:00:00"/>
    <s v="Inland Seafodd"/>
    <n v="1"/>
    <n v="1"/>
    <n v="300"/>
    <s v="chicken breast filet"/>
    <x v="43"/>
    <x v="0"/>
    <n v="300"/>
    <n v="136.07771100000002"/>
    <n v="4.1879999999999997"/>
    <n v="569.89345366800001"/>
  </r>
  <r>
    <d v="2019-01-22T00:00:00"/>
    <s v="Inland Seafood"/>
    <n v="1"/>
    <n v="1"/>
    <n v="160"/>
    <s v="chicken breast filet"/>
    <x v="43"/>
    <x v="0"/>
    <n v="160"/>
    <n v="72.574779200000009"/>
    <n v="4.1879999999999997"/>
    <n v="303.94317528959999"/>
  </r>
  <r>
    <d v="2019-01-19T00:00:00"/>
    <s v="Inland Seafood"/>
    <n v="1"/>
    <n v="1"/>
    <n v="100"/>
    <s v="chicken breast"/>
    <x v="43"/>
    <x v="0"/>
    <n v="100"/>
    <n v="45.359237"/>
    <n v="4.1879999999999997"/>
    <n v="189.964484556"/>
  </r>
  <r>
    <d v="2019-01-19T00:00:00"/>
    <s v="Inland Seafood"/>
    <n v="1"/>
    <n v="1"/>
    <n v="80"/>
    <s v="chicken boneless thighs"/>
    <x v="43"/>
    <x v="0"/>
    <n v="80"/>
    <n v="36.287389600000004"/>
    <n v="4.1879999999999997"/>
    <n v="151.9715876448"/>
  </r>
  <r>
    <d v="2019-01-18T00:00:00"/>
    <s v="Inland Seafood"/>
    <n v="1"/>
    <n v="1"/>
    <n v="300"/>
    <s v="chicken breast filet"/>
    <x v="43"/>
    <x v="0"/>
    <n v="300"/>
    <n v="136.07771100000002"/>
    <n v="4.1879999999999997"/>
    <n v="569.89345366800001"/>
  </r>
  <r>
    <d v="2019-01-18T00:00:00"/>
    <s v="Inland Seafood"/>
    <n v="1"/>
    <n v="1"/>
    <n v="120"/>
    <s v="chicken breast chunk"/>
    <x v="43"/>
    <x v="0"/>
    <n v="120"/>
    <n v="54.431084400000003"/>
    <n v="4.1879999999999997"/>
    <n v="227.95738146720001"/>
  </r>
  <r>
    <d v="2019-01-21T00:00:00"/>
    <s v="Inland Seafood"/>
    <n v="1"/>
    <n v="1"/>
    <n v="300"/>
    <s v="chicken breast filet"/>
    <x v="43"/>
    <x v="0"/>
    <n v="300"/>
    <n v="136.07771100000002"/>
    <n v="4.1879999999999997"/>
    <n v="569.89345366800001"/>
  </r>
  <r>
    <d v="2019-01-21T00:00:00"/>
    <s v="Inland Seafood"/>
    <n v="1"/>
    <n v="1"/>
    <n v="300"/>
    <s v="chicken boneless thighs"/>
    <x v="43"/>
    <x v="0"/>
    <n v="300"/>
    <n v="136.07771100000002"/>
    <n v="4.1879999999999997"/>
    <n v="569.89345366800001"/>
  </r>
  <r>
    <d v="2019-01-21T00:00:00"/>
    <s v="Inland Seafood"/>
    <n v="1"/>
    <n v="1"/>
    <n v="20"/>
    <s v="chicken bone in thighs"/>
    <x v="43"/>
    <x v="0"/>
    <n v="20"/>
    <n v="9.0718474000000011"/>
    <n v="4.1879999999999997"/>
    <n v="37.992896911199999"/>
  </r>
  <r>
    <d v="2019-01-21T00:00:00"/>
    <s v="Inland Seafood"/>
    <n v="1"/>
    <n v="1"/>
    <n v="120"/>
    <s v="chicken breast chunk"/>
    <x v="43"/>
    <x v="0"/>
    <n v="120"/>
    <n v="54.431084400000003"/>
    <n v="4.1879999999999997"/>
    <n v="227.95738146720001"/>
  </r>
  <r>
    <d v="2019-01-18T00:00:00"/>
    <s v="Poultry"/>
    <n v="6"/>
    <n v="160"/>
    <n v="6.25E-2"/>
    <s v="SAUSAGE CHICKEN BRK LINK"/>
    <x v="43"/>
    <x v="0"/>
    <n v="60"/>
    <n v="27.215542200000002"/>
    <n v="4.1879999999999997"/>
    <n v="113.9786907336"/>
  </r>
  <r>
    <d v="2019-01-21T00:00:00"/>
    <s v="Poultry"/>
    <n v="5"/>
    <n v="160"/>
    <n v="6.25E-2"/>
    <s v="SAUSAGE CHICKEN BRK LINK"/>
    <x v="43"/>
    <x v="0"/>
    <n v="50"/>
    <n v="22.6796185"/>
    <n v="4.1879999999999997"/>
    <n v="94.982242278000001"/>
  </r>
  <r>
    <d v="2019-01-18T00:00:00"/>
    <s v="Canned and dry goods"/>
    <n v="3"/>
    <n v="6"/>
    <n v="10"/>
    <s v="BEAN GARBANZO LOW SODIUM"/>
    <x v="44"/>
    <x v="1"/>
    <n v="180"/>
    <n v="81.646626600000005"/>
    <n v="0.49099999999999999"/>
    <n v="40.088493660600001"/>
  </r>
  <r>
    <d v="2019-01-21T00:00:00"/>
    <s v="Canned and dry goods"/>
    <n v="3"/>
    <n v="6"/>
    <n v="10"/>
    <s v="BEAN GARBANZO LOW SODIUM"/>
    <x v="44"/>
    <x v="1"/>
    <n v="180"/>
    <n v="81.646626600000005"/>
    <n v="0.49099999999999999"/>
    <n v="40.088493660600001"/>
  </r>
  <r>
    <d v="2019-01-23T00:00:00"/>
    <s v="Canned and dry goods"/>
    <n v="3"/>
    <n v="6"/>
    <n v="10"/>
    <s v="BEAN GARBANZO LOW SODIUM"/>
    <x v="44"/>
    <x v="1"/>
    <n v="180"/>
    <n v="81.646626600000005"/>
    <n v="0.49099999999999999"/>
    <n v="40.088493660600001"/>
  </r>
  <r>
    <d v="2019-01-18T00:00:00"/>
    <s v="Royal"/>
    <n v="2"/>
    <n v="1"/>
    <n v="5.25"/>
    <s v="Cilantro"/>
    <x v="47"/>
    <x v="1"/>
    <n v="10.5"/>
    <n v="4.7627198850000001"/>
    <n v="0.26100000000000001"/>
    <n v="1.2430698899850001"/>
  </r>
  <r>
    <d v="2019-01-18T00:00:00"/>
    <s v="Canned and dry goods"/>
    <n v="1"/>
    <n v="6"/>
    <s v="50 CT"/>
    <s v="COCOA MIX INDIV"/>
    <x v="190"/>
    <x v="1"/>
    <n v="0"/>
    <n v="0"/>
    <n v="33.646999999999998"/>
    <n v="0"/>
  </r>
  <r>
    <d v="2019-01-22T00:00:00"/>
    <s v="Café Campesino"/>
    <n v="1"/>
    <n v="1"/>
    <n v="5"/>
    <s v="medium coffee blend"/>
    <x v="164"/>
    <x v="1"/>
    <n v="5"/>
    <n v="2.2679618500000003"/>
    <n v="6.2789999999999999"/>
    <n v="14.240532456150001"/>
  </r>
  <r>
    <d v="2019-01-22T00:00:00"/>
    <s v="Café Campesino"/>
    <n v="1"/>
    <n v="1"/>
    <n v="5"/>
    <s v="decaf coffee"/>
    <x v="164"/>
    <x v="1"/>
    <n v="5"/>
    <n v="2.2679618500000003"/>
    <n v="6.2789999999999999"/>
    <n v="14.240532456150001"/>
  </r>
  <r>
    <d v="2019-01-23T00:00:00"/>
    <s v="Royal"/>
    <n v="4"/>
    <n v="1"/>
    <n v="10"/>
    <s v="Pr Collards Cleaned-Chopped LOCAL"/>
    <x v="151"/>
    <x v="1"/>
    <n v="40"/>
    <n v="18.143694800000002"/>
    <n v="0.20599999999999999"/>
    <n v="3.7376011288000002"/>
  </r>
  <r>
    <d v="2019-01-18T00:00:00"/>
    <s v="Canned and dry goods"/>
    <n v="1"/>
    <n v="12"/>
    <n v="1.5625"/>
    <s v="SAUCE CHILI SWEET THAI"/>
    <x v="50"/>
    <x v="1"/>
    <n v="18.75"/>
    <n v="8.5048569375000014"/>
    <n v="3.33"/>
    <n v="28.321173601875007"/>
  </r>
  <r>
    <d v="2019-01-18T00:00:00"/>
    <s v="Canned and dry goods"/>
    <n v="1"/>
    <n v="4"/>
    <n v="8.35"/>
    <s v="SAUCE SOY LESS SODIUM"/>
    <x v="50"/>
    <x v="1"/>
    <n v="33.4"/>
    <n v="15.149985158"/>
    <n v="3.33"/>
    <n v="50.449450576140002"/>
  </r>
  <r>
    <d v="2019-01-18T00:00:00"/>
    <s v="Canned and dry goods"/>
    <n v="1"/>
    <n v="12"/>
    <n v="1.0625"/>
    <s v="SAUCE CHILI SRIRACHA"/>
    <x v="50"/>
    <x v="1"/>
    <n v="12.75"/>
    <n v="5.7833027175000007"/>
    <n v="3.33"/>
    <n v="19.258398049275002"/>
  </r>
  <r>
    <d v="2019-01-18T00:00:00"/>
    <s v="Canned and dry goods"/>
    <n v="1"/>
    <n v="6"/>
    <n v="7.125"/>
    <s v="KETCHUP POUCH-PK FCY (= 6/10)"/>
    <x v="50"/>
    <x v="1"/>
    <n v="42.75"/>
    <n v="19.391073817500001"/>
    <n v="3.33"/>
    <n v="64.572275812275009"/>
  </r>
  <r>
    <d v="2019-01-19T00:00:00"/>
    <s v="Canned and dry goods"/>
    <n v="1"/>
    <n v="24"/>
    <n v="0.3125"/>
    <s v="SAUCE PEPPER CAYENNE RED HOT"/>
    <x v="50"/>
    <x v="1"/>
    <n v="7.5"/>
    <n v="3.4019427750000002"/>
    <n v="3.33"/>
    <n v="11.32846944075"/>
  </r>
  <r>
    <d v="2019-01-19T00:00:00"/>
    <s v="Canned and dry goods"/>
    <n v="1"/>
    <n v="12"/>
    <n v="1.5625"/>
    <s v="SAUCE CHILI SWEET THAI"/>
    <x v="50"/>
    <x v="1"/>
    <n v="18.75"/>
    <n v="8.5048569375000014"/>
    <n v="3.33"/>
    <n v="28.321173601875007"/>
  </r>
  <r>
    <d v="2019-01-21T00:00:00"/>
    <s v="Canned and dry goods"/>
    <n v="1"/>
    <n v="6"/>
    <n v="4.1887800000000004"/>
    <s v="SAUCE SOY GLUTEN FREE"/>
    <x v="50"/>
    <x v="1"/>
    <n v="25.132680000000001"/>
    <n v="11.399991885651602"/>
    <n v="3.33"/>
    <n v="37.961972979219837"/>
  </r>
  <r>
    <d v="2019-01-21T00:00:00"/>
    <s v="Canned and dry goods"/>
    <n v="2"/>
    <n v="6"/>
    <n v="7.125"/>
    <s v="KETCHUP POUCH-PK FCY (= 6/10)"/>
    <x v="50"/>
    <x v="1"/>
    <n v="85.5"/>
    <n v="38.782147635000001"/>
    <n v="3.33"/>
    <n v="129.14455162455002"/>
  </r>
  <r>
    <d v="2019-01-21T00:00:00"/>
    <s v="Canned and dry goods"/>
    <n v="1"/>
    <n v="24"/>
    <n v="0.375"/>
    <s v="SAUCE HOT"/>
    <x v="50"/>
    <x v="1"/>
    <n v="9"/>
    <n v="4.0823313299999997"/>
    <n v="3.33"/>
    <n v="13.594163328899999"/>
  </r>
  <r>
    <d v="2019-01-23T00:00:00"/>
    <s v="Canned and dry goods"/>
    <n v="2"/>
    <n v="6"/>
    <n v="7.125"/>
    <s v="KETCHUP POUCH-PK FCY (= 6/10)"/>
    <x v="50"/>
    <x v="1"/>
    <n v="85.5"/>
    <n v="38.782147635000001"/>
    <n v="3.33"/>
    <n v="129.14455162455002"/>
  </r>
  <r>
    <d v="2019-01-23T00:00:00"/>
    <s v="Canned and dry goods"/>
    <n v="2"/>
    <n v="4"/>
    <n v="7.79"/>
    <s v="MAYONNAISE REAL"/>
    <x v="51"/>
    <x v="2"/>
    <n v="62.32"/>
    <n v="28.2678764984"/>
    <n v="3.33"/>
    <n v="94.132028739671995"/>
  </r>
  <r>
    <d v="2019-01-18T00:00:00"/>
    <s v="Canned and dry goods"/>
    <n v="2"/>
    <n v="4"/>
    <n v="7.79"/>
    <s v="MAYONNAISE REAL"/>
    <x v="51"/>
    <x v="2"/>
    <n v="62.32"/>
    <n v="28.2678764984"/>
    <n v="3.2"/>
    <n v="90.457204794879999"/>
  </r>
  <r>
    <d v="2019-01-21T00:00:00"/>
    <s v="Canned and dry goods"/>
    <n v="1"/>
    <n v="4"/>
    <n v="2.5"/>
    <s v="COOKIE CRUMB OREO MED CRUNCH"/>
    <x v="191"/>
    <x v="1"/>
    <n v="10"/>
    <n v="4.5359237000000006"/>
    <n v="2.21"/>
    <n v="10.024391377000001"/>
  </r>
  <r>
    <d v="2019-01-18T00:00:00"/>
    <s v="Poultry"/>
    <n v="7"/>
    <n v="240"/>
    <n v="4.1875000000000002E-2"/>
    <s v="CORN DOG TURKEY MINI"/>
    <x v="192"/>
    <x v="0"/>
    <n v="70.350000000000009"/>
    <n v="31.910223229500009"/>
    <n v="2.5710000000000002"/>
    <n v="82.041183923044528"/>
  </r>
  <r>
    <d v="2019-01-23T00:00:00"/>
    <s v="Canned and dry goods"/>
    <n v="1"/>
    <n v="24"/>
    <n v="1"/>
    <s v="CORN STARCH"/>
    <x v="55"/>
    <x v="1"/>
    <n v="24"/>
    <n v="10.886216880000001"/>
    <n v="0.76"/>
    <n v="8.2735248288000012"/>
  </r>
  <r>
    <d v="2019-01-18T00:00:00"/>
    <s v="Royal"/>
    <n v="3"/>
    <n v="1"/>
    <s v="4 Bags"/>
    <s v="Pr Corn Shucked / Yellow LOCAL"/>
    <x v="193"/>
    <x v="1"/>
    <n v="0"/>
    <n v="0"/>
    <n v="0.75700000000000001"/>
    <n v="0"/>
  </r>
  <r>
    <d v="2019-01-21T00:00:00"/>
    <s v="Canned and dry goods"/>
    <n v="1"/>
    <n v="6"/>
    <n v="1.9375"/>
    <s v="CRACKER GOLDFISH WHL GRAIN"/>
    <x v="194"/>
    <x v="1"/>
    <n v="11.625"/>
    <n v="5.2730113012500004"/>
    <n v="2.5299999999999998"/>
    <n v="13.340718592162499"/>
  </r>
  <r>
    <d v="2019-01-23T00:00:00"/>
    <s v="Canned and dry goods"/>
    <n v="1"/>
    <n v="150"/>
    <n v="3.125E-2"/>
    <s v="CRACKER OYSTER DOTS"/>
    <x v="195"/>
    <x v="1"/>
    <n v="4.6875"/>
    <n v="2.1262142343750003"/>
    <n v="2.5299999999999998"/>
    <n v="5.3793220129687507"/>
  </r>
  <r>
    <d v="2019-01-23T00:00:00"/>
    <s v="Canned and dry goods"/>
    <n v="1"/>
    <n v="500"/>
    <s v="2pk"/>
    <s v="CRACKER SALTINE ZESTA"/>
    <x v="196"/>
    <x v="1"/>
    <n v="0"/>
    <n v="0"/>
    <n v="2.5299999999999998"/>
    <n v="0"/>
  </r>
  <r>
    <d v="2019-01-24T00:00:00"/>
    <s v="Royal"/>
    <n v="3"/>
    <n v="1"/>
    <n v="18"/>
    <s v="Cranberries Frozen"/>
    <x v="197"/>
    <x v="1"/>
    <n v="54"/>
    <n v="24.493987980000004"/>
    <n v="1.4179999999999999"/>
    <n v="34.732474955640001"/>
  </r>
  <r>
    <d v="2019-01-18T00:00:00"/>
    <s v="Canned and dry goods"/>
    <n v="1"/>
    <n v="1"/>
    <n v="10"/>
    <s v="CRANBERRY DRIED CRAISINS"/>
    <x v="198"/>
    <x v="1"/>
    <n v="10"/>
    <n v="4.5359237000000006"/>
    <n v="3.8250000000000002"/>
    <n v="17.349908152500003"/>
  </r>
  <r>
    <d v="2019-01-18T00:00:00"/>
    <s v="Dairy Products"/>
    <n v="1"/>
    <n v="1"/>
    <n v="2"/>
    <s v="CREAM SOUR SEL 13%"/>
    <x v="59"/>
    <x v="2"/>
    <n v="2"/>
    <n v="0.90718474000000004"/>
    <n v="5.32"/>
    <n v="4.8262228168000005"/>
  </r>
  <r>
    <d v="2019-01-18T00:00:00"/>
    <s v="Dairy Products"/>
    <n v="2"/>
    <n v="12"/>
    <n v="0.125"/>
    <s v="CREAM HEAVY WHIPPING 36% ESL"/>
    <x v="59"/>
    <x v="2"/>
    <n v="3"/>
    <n v="1.3607771100000001"/>
    <n v="5.32"/>
    <n v="7.2393342252000012"/>
  </r>
  <r>
    <d v="2019-01-21T00:00:00"/>
    <s v="Frozen"/>
    <n v="5"/>
    <n v="4"/>
    <n v="13.5"/>
    <s v="CROISSANT BUTTER SLI 0.125"/>
    <x v="199"/>
    <x v="1"/>
    <n v="270"/>
    <n v="122.4699399"/>
    <n v="1.28"/>
    <n v="156.76152307200002"/>
  </r>
  <r>
    <d v="2019-01-21T00:00:00"/>
    <s v="Royal"/>
    <n v="1"/>
    <n v="1"/>
    <n v="55.555555555555557"/>
    <s v="Cucumber"/>
    <x v="60"/>
    <x v="1"/>
    <n v="55.555555555555557"/>
    <n v="25.199576111111114"/>
    <n v="0.40899999999999997"/>
    <n v="10.306626629444445"/>
  </r>
  <r>
    <d v="2019-01-22T00:00:00"/>
    <s v="Royal"/>
    <n v="1"/>
    <n v="1"/>
    <n v="55.555555555555557"/>
    <s v="Cucumber"/>
    <x v="60"/>
    <x v="1"/>
    <n v="55.555555555555557"/>
    <n v="25.199576111111114"/>
    <n v="0.40899999999999997"/>
    <n v="10.306626629444445"/>
  </r>
  <r>
    <d v="2019-01-24T00:00:00"/>
    <s v="Royal"/>
    <n v="1"/>
    <n v="1"/>
    <n v="55.555555555555557"/>
    <s v="Cucumber"/>
    <x v="60"/>
    <x v="1"/>
    <n v="55.555555555555557"/>
    <n v="25.199576111111114"/>
    <n v="0.40899999999999997"/>
    <n v="10.306626629444445"/>
  </r>
  <r>
    <d v="2019-01-23T00:00:00"/>
    <s v="Royal"/>
    <n v="1"/>
    <n v="1"/>
    <n v="55.555555555555557"/>
    <s v="Cucumber"/>
    <x v="60"/>
    <x v="1"/>
    <n v="55.555555555555557"/>
    <n v="25.199576111111114"/>
    <n v="0.40899999999999997"/>
    <n v="10.306626629444445"/>
  </r>
  <r>
    <d v="2019-01-19T00:00:00"/>
    <s v="Royal"/>
    <n v="1"/>
    <n v="1"/>
    <n v="55.555555555555557"/>
    <s v="Cucumber"/>
    <x v="60"/>
    <x v="1"/>
    <n v="55.555555555555557"/>
    <n v="25.199576111111114"/>
    <n v="0.40899999999999997"/>
    <n v="10.306626629444445"/>
  </r>
  <r>
    <d v="2019-01-18T00:00:00"/>
    <s v="Royal"/>
    <n v="2"/>
    <n v="1"/>
    <n v="55.555555555555557"/>
    <s v="Cucumber"/>
    <x v="60"/>
    <x v="1"/>
    <n v="111.11111111111111"/>
    <n v="50.399152222222227"/>
    <n v="0.40899999999999997"/>
    <n v="20.613253258888889"/>
  </r>
  <r>
    <d v="2019-01-18T00:00:00"/>
    <s v="Frozen"/>
    <n v="3"/>
    <n v="168"/>
    <n v="0.198125"/>
    <s v="DOUGH BISCUIT SOTHRN E-Z SPLIT"/>
    <x v="200"/>
    <x v="1"/>
    <n v="99.855000000000004"/>
    <n v="45.293466106350003"/>
    <n v="2.2999999999999998"/>
    <n v="104.174972044605"/>
  </r>
  <r>
    <d v="2019-01-23T00:00:00"/>
    <s v="Frozen"/>
    <n v="1"/>
    <n v="210"/>
    <n v="7.4999999999999997E-2"/>
    <s v="DOUGH BISCUIT SOUTHERN STY MIN"/>
    <x v="200"/>
    <x v="1"/>
    <n v="15.75"/>
    <n v="7.1440798275000006"/>
    <n v="2.2999999999999998"/>
    <n v="16.431383603250001"/>
  </r>
  <r>
    <d v="2019-01-18T00:00:00"/>
    <s v="Frozen"/>
    <n v="1"/>
    <n v="24"/>
    <n v="1"/>
    <s v="DOUGH COBBLER CRUST SHEET"/>
    <x v="201"/>
    <x v="1"/>
    <n v="24"/>
    <n v="10.886216880000001"/>
    <n v="1.28"/>
    <n v="13.934357606400001"/>
  </r>
  <r>
    <d v="2019-01-18T00:00:00"/>
    <s v="Dairy Products"/>
    <n v="22"/>
    <n v="2"/>
    <n v="20"/>
    <s v="EGG LIQ WHL CAGE FREE W/CITRIC"/>
    <x v="62"/>
    <x v="2"/>
    <n v="880"/>
    <n v="399.16128559999999"/>
    <n v="3.754"/>
    <n v="1498.4514661424"/>
  </r>
  <r>
    <d v="2019-01-18T00:00:00"/>
    <s v="Dairy Products"/>
    <n v="1"/>
    <n v="15"/>
    <n v="2"/>
    <s v="EGG WHITE CAGE FREE LIQ"/>
    <x v="62"/>
    <x v="2"/>
    <n v="30"/>
    <n v="13.607771100000001"/>
    <n v="3.754"/>
    <n v="51.083572709400002"/>
  </r>
  <r>
    <d v="2019-01-18T00:00:00"/>
    <s v="Dairy Products"/>
    <n v="2"/>
    <n v="15"/>
    <n v="1.5"/>
    <s v="EGG SHELL CG FR LG HFAC GR A"/>
    <x v="62"/>
    <x v="2"/>
    <n v="45"/>
    <n v="20.411656650000001"/>
    <n v="3.754"/>
    <n v="76.62535906410001"/>
  </r>
  <r>
    <d v="2019-01-21T00:00:00"/>
    <s v="Dairy Products"/>
    <n v="5"/>
    <n v="2"/>
    <n v="20"/>
    <s v="EGG LIQ WHL CAGE FREE W/CITRIC"/>
    <x v="62"/>
    <x v="2"/>
    <n v="200"/>
    <n v="90.718474000000001"/>
    <n v="3.754"/>
    <n v="340.55715139599999"/>
  </r>
  <r>
    <d v="2019-01-21T00:00:00"/>
    <s v="Dairy Products"/>
    <n v="2"/>
    <n v="15"/>
    <n v="2"/>
    <s v="EGG WHITE CAGE FREE LIQ"/>
    <x v="62"/>
    <x v="2"/>
    <n v="60"/>
    <n v="27.215542200000002"/>
    <n v="3.754"/>
    <n v="102.1671454188"/>
  </r>
  <r>
    <d v="2019-01-21T00:00:00"/>
    <s v="Dairy Products"/>
    <n v="3"/>
    <n v="15"/>
    <n v="1.5"/>
    <s v="EGG SHELL CG FR LG HFAC GR A"/>
    <x v="62"/>
    <x v="2"/>
    <n v="67.5"/>
    <n v="30.617484975"/>
    <n v="3.754"/>
    <n v="114.93803859614999"/>
  </r>
  <r>
    <d v="2019-01-23T00:00:00"/>
    <s v="Dairy Products"/>
    <n v="5"/>
    <n v="2"/>
    <n v="20"/>
    <s v="EGG LIQ WHL CAGE FREE W/CITRIC"/>
    <x v="62"/>
    <x v="2"/>
    <n v="200"/>
    <n v="90.718474000000001"/>
    <n v="3.754"/>
    <n v="340.55715139599999"/>
  </r>
  <r>
    <d v="2019-01-23T00:00:00"/>
    <s v="Dairy Products"/>
    <n v="1"/>
    <n v="15"/>
    <n v="2"/>
    <s v="EGG WHITE CAGE FREE LIQ"/>
    <x v="62"/>
    <x v="2"/>
    <n v="30"/>
    <n v="13.607771100000001"/>
    <n v="3.754"/>
    <n v="51.083572709400002"/>
  </r>
  <r>
    <d v="2019-01-21T00:00:00"/>
    <s v="Royal"/>
    <n v="2"/>
    <n v="1"/>
    <n v="38.888888888888893"/>
    <s v="Eggplant   Choice"/>
    <x v="63"/>
    <x v="1"/>
    <n v="77.777777777777786"/>
    <n v="35.27940655555556"/>
    <n v="0.52600000000000002"/>
    <n v="18.556967848222225"/>
  </r>
  <r>
    <d v="2019-01-24T00:00:00"/>
    <s v="Royal"/>
    <n v="1"/>
    <n v="1"/>
    <n v="38.888888888888893"/>
    <s v="Eggplant   Choice"/>
    <x v="63"/>
    <x v="1"/>
    <n v="38.888888888888893"/>
    <n v="17.63970327777778"/>
    <n v="0.52600000000000002"/>
    <n v="9.2784839241111126"/>
  </r>
  <r>
    <d v="2019-01-23T00:00:00"/>
    <s v="Royal"/>
    <n v="2"/>
    <n v="1"/>
    <n v="38.888888888888893"/>
    <s v="Eggplant   Choice"/>
    <x v="63"/>
    <x v="1"/>
    <n v="77.777777777777786"/>
    <n v="35.27940655555556"/>
    <n v="0.52600000000000002"/>
    <n v="18.556967848222225"/>
  </r>
  <r>
    <d v="2019-01-18T00:00:00"/>
    <s v="Royal"/>
    <n v="2"/>
    <n v="1"/>
    <n v="38.888888888888893"/>
    <s v="Eggplant   Choice"/>
    <x v="63"/>
    <x v="1"/>
    <n v="77.777777777777786"/>
    <n v="35.27940655555556"/>
    <n v="0.52600000000000002"/>
    <n v="18.556967848222225"/>
  </r>
  <r>
    <d v="2019-01-18T00:00:00"/>
    <s v="Frozen"/>
    <n v="4"/>
    <n v="6"/>
    <n v="1.5"/>
    <s v="MUFFIN ENGLISH ORIG 0.125"/>
    <x v="202"/>
    <x v="1"/>
    <n v="36"/>
    <n v="16.329325319999999"/>
    <n v="1.28"/>
    <n v="20.901536409599998"/>
  </r>
  <r>
    <d v="2019-01-18T00:00:00"/>
    <s v="Canned and dry goods"/>
    <n v="2"/>
    <n v="6"/>
    <n v="2"/>
    <s v="EXTRACT VANILLA IMIT"/>
    <x v="203"/>
    <x v="1"/>
    <n v="24"/>
    <n v="10.886216880000001"/>
    <m/>
    <n v="0"/>
  </r>
  <r>
    <d v="2019-01-18T00:00:00"/>
    <s v="Canned and dry goods"/>
    <n v="4"/>
    <n v="1"/>
    <n v="50"/>
    <s v="FLOUR HI-GLUTEN ALL TRUMP"/>
    <x v="65"/>
    <x v="1"/>
    <n v="200"/>
    <n v="90.718474000000001"/>
    <n v="0.35799999999999998"/>
    <n v="32.477213691999999"/>
  </r>
  <r>
    <d v="2019-01-21T00:00:00"/>
    <s v="Canned and dry goods"/>
    <n v="3"/>
    <n v="1"/>
    <n v="50"/>
    <s v="FLOUR HI-GLUTEN ALL TRUMP"/>
    <x v="65"/>
    <x v="1"/>
    <n v="150"/>
    <n v="68.038855500000011"/>
    <n v="0.35799999999999998"/>
    <n v="24.357910269000001"/>
  </r>
  <r>
    <d v="2019-01-23T00:00:00"/>
    <s v="Canned and dry goods"/>
    <n v="2"/>
    <n v="1"/>
    <n v="50"/>
    <s v="FLOUR HI-GLUTEN ALL TRUMP"/>
    <x v="65"/>
    <x v="1"/>
    <n v="100"/>
    <n v="45.359237"/>
    <n v="0.35799999999999998"/>
    <n v="16.238606846"/>
  </r>
  <r>
    <d v="2019-01-22T00:00:00"/>
    <s v="Royal"/>
    <n v="1"/>
    <n v="1"/>
    <n v="33.4"/>
    <s v="Garlic   Peeled Choice (U.S. GROWN)"/>
    <x v="66"/>
    <x v="1"/>
    <n v="33.4"/>
    <n v="15.149985158"/>
    <n v="0.74299999999999999"/>
    <n v="11.256438972393999"/>
  </r>
  <r>
    <d v="2019-01-24T00:00:00"/>
    <s v="Royal"/>
    <n v="1"/>
    <n v="1"/>
    <n v="33.4"/>
    <s v="Garlic   Peeled Choice (U.S. GROWN)"/>
    <x v="66"/>
    <x v="1"/>
    <n v="33.4"/>
    <n v="15.149985158"/>
    <n v="0.74299999999999999"/>
    <n v="11.256438972393999"/>
  </r>
  <r>
    <d v="2019-01-23T00:00:00"/>
    <s v="Royal"/>
    <n v="1"/>
    <n v="1"/>
    <n v="33.4"/>
    <s v="Garlic   Peeled Choice (U.S. GROWN)"/>
    <x v="66"/>
    <x v="1"/>
    <n v="33.4"/>
    <n v="15.149985158"/>
    <n v="0.74299999999999999"/>
    <n v="11.256438972393999"/>
  </r>
  <r>
    <d v="2019-01-18T00:00:00"/>
    <s v="Royal"/>
    <n v="1"/>
    <n v="1"/>
    <n v="33.4"/>
    <s v="Garlic   Peeled Choice (U.S. GROWN)"/>
    <x v="66"/>
    <x v="1"/>
    <n v="33.4"/>
    <n v="15.149985158"/>
    <n v="0.74299999999999999"/>
    <n v="11.256438972393999"/>
  </r>
  <r>
    <d v="2019-01-23T00:00:00"/>
    <s v="Royal"/>
    <n v="2"/>
    <n v="1"/>
    <n v="25"/>
    <s v="Root Ginger"/>
    <x v="67"/>
    <x v="1"/>
    <n v="50"/>
    <n v="22.6796185"/>
    <n v="0.95"/>
    <n v="21.545637575000001"/>
  </r>
  <r>
    <d v="2019-01-22T00:00:00"/>
    <s v="Royal"/>
    <n v="5"/>
    <n v="1"/>
    <n v="18"/>
    <s v="Grape   Red"/>
    <x v="68"/>
    <x v="1"/>
    <n v="90"/>
    <n v="40.823313300000002"/>
    <n v="0.47799999999999998"/>
    <n v="19.513543757400001"/>
  </r>
  <r>
    <d v="2019-01-23T00:00:00"/>
    <s v="Royal"/>
    <n v="4"/>
    <n v="1"/>
    <n v="18"/>
    <s v="Grape   Red"/>
    <x v="68"/>
    <x v="1"/>
    <n v="72"/>
    <n v="32.658650639999998"/>
    <n v="0.47799999999999998"/>
    <n v="15.610835005919999"/>
  </r>
  <r>
    <d v="2019-01-19T00:00:00"/>
    <s v="Royal"/>
    <n v="4"/>
    <n v="1"/>
    <n v="18"/>
    <s v="Grape   Red"/>
    <x v="68"/>
    <x v="1"/>
    <n v="72"/>
    <n v="32.658650639999998"/>
    <n v="0.47799999999999998"/>
    <n v="15.610835005919999"/>
  </r>
  <r>
    <d v="2019-01-18T00:00:00"/>
    <s v="Royal"/>
    <n v="8"/>
    <n v="1"/>
    <n v="18"/>
    <s v="Grape   Red"/>
    <x v="68"/>
    <x v="1"/>
    <n v="144"/>
    <n v="65.317301279999995"/>
    <n v="0.47799999999999998"/>
    <n v="31.221670011839997"/>
  </r>
  <r>
    <d v="2019-01-22T00:00:00"/>
    <s v="Royal"/>
    <n v="2"/>
    <n v="1"/>
    <n v="19.574999999999999"/>
    <s v="Grapefruit Red"/>
    <x v="177"/>
    <x v="1"/>
    <n v="39.15"/>
    <n v="17.758141285500002"/>
    <n v="1.21"/>
    <n v="21.487350955455003"/>
  </r>
  <r>
    <d v="2019-01-23T00:00:00"/>
    <s v="Mayfield Dairy"/>
    <n v="24"/>
    <n v="1"/>
    <n v="2.0499999999999998"/>
    <s v="h and h"/>
    <x v="72"/>
    <x v="2"/>
    <n v="49.199999999999996"/>
    <n v="22.316744604"/>
    <n v="3.2614999999999998"/>
    <n v="72.786062525945994"/>
  </r>
  <r>
    <d v="2019-01-18T00:00:00"/>
    <s v="Mayfield Dairy"/>
    <n v="2"/>
    <n v="1"/>
    <n v="2.0499999999999998"/>
    <s v="h and h"/>
    <x v="72"/>
    <x v="2"/>
    <n v="4.0999999999999996"/>
    <n v="1.8597287170000001"/>
    <n v="3.2614999999999998"/>
    <n v="6.0655052104955001"/>
  </r>
  <r>
    <d v="2019-01-22T00:00:00"/>
    <s v="Royal"/>
    <n v="1"/>
    <n v="1"/>
    <n v="1"/>
    <s v="Herbs Oregano"/>
    <x v="152"/>
    <x v="1"/>
    <n v="1"/>
    <n v="0.45359237000000002"/>
    <n v="0.221"/>
    <n v="0.10024391377000001"/>
  </r>
  <r>
    <d v="2019-01-22T00:00:00"/>
    <s v="Royal"/>
    <n v="1"/>
    <n v="1"/>
    <n v="1"/>
    <s v="Herbs Thyme"/>
    <x v="152"/>
    <x v="1"/>
    <n v="1"/>
    <n v="0.45359237000000002"/>
    <n v="0.221"/>
    <n v="0.10024391377000001"/>
  </r>
  <r>
    <d v="2019-01-24T00:00:00"/>
    <s v="Royal"/>
    <n v="1"/>
    <n v="1"/>
    <n v="1"/>
    <s v="Herbs Oregano"/>
    <x v="152"/>
    <x v="1"/>
    <n v="1"/>
    <n v="0.45359237000000002"/>
    <n v="0.221"/>
    <n v="0.10024391377000001"/>
  </r>
  <r>
    <d v="2019-01-18T00:00:00"/>
    <s v="Royal"/>
    <n v="2"/>
    <n v="1"/>
    <n v="1"/>
    <s v="Herbs Oregano"/>
    <x v="152"/>
    <x v="1"/>
    <n v="2"/>
    <n v="0.90718474000000004"/>
    <n v="0.221"/>
    <n v="0.20048782754000002"/>
  </r>
  <r>
    <d v="2019-01-18T00:00:00"/>
    <s v="Royal"/>
    <n v="1"/>
    <n v="1"/>
    <n v="1"/>
    <s v="Herbs Rosemary"/>
    <x v="152"/>
    <x v="1"/>
    <n v="1"/>
    <n v="0.45359237000000002"/>
    <n v="0.221"/>
    <n v="0.10024391377000001"/>
  </r>
  <r>
    <d v="2019-01-18T00:00:00"/>
    <s v="Royal"/>
    <n v="1"/>
    <n v="1"/>
    <n v="1"/>
    <s v="Herbs Thyme"/>
    <x v="152"/>
    <x v="1"/>
    <n v="1"/>
    <n v="0.45359237000000002"/>
    <n v="0.221"/>
    <n v="0.10024391377000001"/>
  </r>
  <r>
    <d v="2019-01-18T00:00:00"/>
    <s v="Royal"/>
    <n v="3"/>
    <n v="1"/>
    <n v="30"/>
    <s v="Lemon  Grass"/>
    <x v="152"/>
    <x v="1"/>
    <n v="90"/>
    <n v="40.823313300000002"/>
    <n v="0.221"/>
    <n v="9.0219522393000009"/>
  </r>
  <r>
    <d v="2019-01-23T00:00:00"/>
    <s v="Canned and dry goods"/>
    <n v="1"/>
    <n v="6"/>
    <n v="5"/>
    <s v="HONEY LIGHT AMBER"/>
    <x v="75"/>
    <x v="1"/>
    <n v="30"/>
    <n v="13.607771100000001"/>
    <n v="2.44"/>
    <n v="33.202961483999999"/>
  </r>
  <r>
    <d v="2019-01-22T00:00:00"/>
    <s v="Royal"/>
    <n v="6"/>
    <n v="1"/>
    <n v="32"/>
    <s v="Melon   Honeydew 8ct"/>
    <x v="76"/>
    <x v="1"/>
    <n v="192"/>
    <n v="87.089735040000008"/>
    <n v="0.28399999999999997"/>
    <n v="24.733484751359999"/>
  </r>
  <r>
    <d v="2019-01-24T00:00:00"/>
    <s v="Royal"/>
    <n v="6"/>
    <n v="1"/>
    <n v="24"/>
    <s v="Melon   Honeydew 6ct"/>
    <x v="76"/>
    <x v="1"/>
    <n v="144"/>
    <n v="65.317301279999995"/>
    <n v="0.28399999999999997"/>
    <n v="18.550113563519997"/>
  </r>
  <r>
    <d v="2019-01-23T00:00:00"/>
    <s v="Royal"/>
    <n v="8"/>
    <n v="1"/>
    <n v="32"/>
    <s v="Melon   Honeydew 8ct"/>
    <x v="76"/>
    <x v="1"/>
    <n v="256"/>
    <n v="116.11964672000001"/>
    <n v="0.28399999999999997"/>
    <n v="32.977979668479996"/>
  </r>
  <r>
    <d v="2019-01-19T00:00:00"/>
    <s v="Royal"/>
    <n v="6"/>
    <n v="1"/>
    <n v="32"/>
    <s v="Melon   Honeydew 8ct"/>
    <x v="76"/>
    <x v="1"/>
    <n v="192"/>
    <n v="87.089735040000008"/>
    <n v="0.28399999999999997"/>
    <n v="24.733484751359999"/>
  </r>
  <r>
    <d v="2019-01-18T00:00:00"/>
    <s v="Royal"/>
    <n v="8"/>
    <n v="1"/>
    <n v="32"/>
    <s v="Melon   Honeydew 8ct"/>
    <x v="76"/>
    <x v="1"/>
    <n v="256"/>
    <n v="116.11964672000001"/>
    <n v="0.28399999999999997"/>
    <n v="32.977979668479996"/>
  </r>
  <r>
    <d v="2019-01-18T00:00:00"/>
    <s v="Honeysuckle Gelato"/>
    <n v="1"/>
    <n v="1"/>
    <n v="50"/>
    <s v="vanilla"/>
    <x v="77"/>
    <x v="2"/>
    <n v="50"/>
    <n v="22.6796185"/>
    <n v="3.84"/>
    <n v="87.089735039999994"/>
  </r>
  <r>
    <d v="2019-01-18T00:00:00"/>
    <s v="Honeysuckle Gelato"/>
    <n v="1"/>
    <n v="1"/>
    <n v="50"/>
    <s v="dark chocolate"/>
    <x v="77"/>
    <x v="2"/>
    <n v="50"/>
    <n v="22.6796185"/>
    <n v="3.84"/>
    <n v="87.089735039999994"/>
  </r>
  <r>
    <d v="2019-01-18T00:00:00"/>
    <s v="Honeysuckle Gelato"/>
    <n v="1"/>
    <n v="1"/>
    <n v="25"/>
    <s v="white chocolate w/ raspberry swirl"/>
    <x v="77"/>
    <x v="2"/>
    <n v="25"/>
    <n v="11.33980925"/>
    <n v="3.84"/>
    <n v="43.544867519999997"/>
  </r>
  <r>
    <d v="2019-01-18T00:00:00"/>
    <s v="Honeysuckle Gelato"/>
    <n v="1"/>
    <n v="1"/>
    <n v="25"/>
    <s v="honey fig"/>
    <x v="77"/>
    <x v="2"/>
    <n v="25"/>
    <n v="11.33980925"/>
    <n v="3.84"/>
    <n v="43.544867519999997"/>
  </r>
  <r>
    <d v="2019-01-21T00:00:00"/>
    <s v="Dairy Products"/>
    <n v="1"/>
    <n v="1"/>
    <n v="18.21"/>
    <s v="ICE CREAM JUST PEACHY"/>
    <x v="77"/>
    <x v="2"/>
    <n v="18.21"/>
    <n v="8.259917057700001"/>
    <n v="3.84"/>
    <n v="31.718081501568001"/>
  </r>
  <r>
    <d v="2019-01-21T00:00:00"/>
    <s v="Dairy Products"/>
    <n v="2"/>
    <n v="1"/>
    <n v="18.21"/>
    <s v="ICE CREAM STWBRY"/>
    <x v="77"/>
    <x v="2"/>
    <n v="36.42"/>
    <n v="16.519834115400002"/>
    <n v="3.84"/>
    <n v="63.436163003136002"/>
  </r>
  <r>
    <d v="2019-01-21T00:00:00"/>
    <s v="Dairy Products"/>
    <n v="2"/>
    <n v="1"/>
    <n v="18.21"/>
    <s v="ICE CREAM CHOC"/>
    <x v="77"/>
    <x v="2"/>
    <n v="36.42"/>
    <n v="16.519834115400002"/>
    <n v="3.84"/>
    <n v="63.436163003136002"/>
  </r>
  <r>
    <d v="2019-01-21T00:00:00"/>
    <s v="Dairy Products"/>
    <n v="3"/>
    <n v="1"/>
    <n v="18.21"/>
    <s v="ICE CREAM FRCH VAN"/>
    <x v="77"/>
    <x v="2"/>
    <n v="54.63"/>
    <n v="24.779751173100003"/>
    <n v="3.84"/>
    <n v="95.15424450470401"/>
  </r>
  <r>
    <d v="2019-01-21T00:00:00"/>
    <s v="Dairy Products"/>
    <n v="1"/>
    <n v="1"/>
    <n v="18.21"/>
    <s v="ICE CREAM BIRTHDAY CAKE"/>
    <x v="77"/>
    <x v="2"/>
    <n v="18.21"/>
    <n v="8.259917057700001"/>
    <n v="3.84"/>
    <n v="31.718081501568001"/>
  </r>
  <r>
    <d v="2019-01-23T00:00:00"/>
    <s v="Canned and dry goods"/>
    <n v="1"/>
    <n v="6"/>
    <n v="4"/>
    <s v="JELLY GRAPE"/>
    <x v="204"/>
    <x v="1"/>
    <n v="24"/>
    <n v="10.886216880000001"/>
    <n v="3.1"/>
    <n v="33.747272328000001"/>
  </r>
  <r>
    <d v="2019-01-19T00:00:00"/>
    <s v="Canned and dry goods"/>
    <n v="1"/>
    <n v="6"/>
    <n v="4"/>
    <s v="JELLY GRAPE"/>
    <x v="78"/>
    <x v="1"/>
    <n v="24"/>
    <n v="10.886216880000001"/>
    <n v="3.1"/>
    <n v="33.747272328000001"/>
  </r>
  <r>
    <d v="2019-01-24T00:00:00"/>
    <s v="Royal"/>
    <n v="1"/>
    <n v="1"/>
    <n v="10"/>
    <s v="Pr Kale Chopped &amp; Cleaned NL"/>
    <x v="79"/>
    <x v="1"/>
    <n v="10"/>
    <n v="4.5359237000000006"/>
    <n v="0.193"/>
    <n v="0.87543327410000016"/>
  </r>
  <r>
    <d v="2019-01-23T00:00:00"/>
    <s v="Royal"/>
    <n v="3"/>
    <n v="1"/>
    <n v="10"/>
    <s v="Pr Kale Chopped &amp; Cleaned NL"/>
    <x v="79"/>
    <x v="1"/>
    <n v="30"/>
    <n v="13.607771100000001"/>
    <n v="0.193"/>
    <n v="2.6262998223"/>
  </r>
  <r>
    <d v="2019-01-19T00:00:00"/>
    <s v="Royal"/>
    <n v="2"/>
    <n v="1"/>
    <n v="10"/>
    <s v="Pr Kale Chopped &amp; Cleaned NL"/>
    <x v="79"/>
    <x v="1"/>
    <n v="20"/>
    <n v="9.0718474000000011"/>
    <n v="0.193"/>
    <n v="1.7508665482000003"/>
  </r>
  <r>
    <d v="2019-01-18T00:00:00"/>
    <s v="Canned and dry goods"/>
    <n v="4"/>
    <n v="6"/>
    <n v="7.125"/>
    <s v="KETCHUP POUCH-PK FCY (= 6/10)"/>
    <x v="205"/>
    <x v="1"/>
    <n v="171"/>
    <n v="77.564295270000002"/>
    <n v="3.2"/>
    <n v="248.20574486400002"/>
  </r>
  <r>
    <d v="2019-01-22T00:00:00"/>
    <s v="Royal"/>
    <n v="1"/>
    <n v="1"/>
    <n v="48"/>
    <s v="Juice Lemon Qt 12/1"/>
    <x v="82"/>
    <x v="1"/>
    <n v="48"/>
    <n v="21.772433760000002"/>
    <n v="0.33200000000000002"/>
    <n v="7.2284480083200009"/>
  </r>
  <r>
    <d v="2019-01-18T00:00:00"/>
    <s v="Canned and dry goods"/>
    <n v="1"/>
    <n v="1"/>
    <n v="20"/>
    <s v="BEAN LENTIL DRIED"/>
    <x v="206"/>
    <x v="1"/>
    <n v="20"/>
    <n v="9.0718474000000011"/>
    <n v="1.88"/>
    <n v="17.055073112000002"/>
  </r>
  <r>
    <d v="2019-01-21T00:00:00"/>
    <s v="Royal"/>
    <n v="1"/>
    <n v="1"/>
    <n v="12"/>
    <s v="Lettuce Field Mix 12#"/>
    <x v="83"/>
    <x v="1"/>
    <n v="12"/>
    <n v="5.4431084400000005"/>
    <n v="0.22"/>
    <n v="1.1974838568000001"/>
  </r>
  <r>
    <d v="2019-01-22T00:00:00"/>
    <s v="Royal"/>
    <n v="2"/>
    <n v="1"/>
    <n v="12"/>
    <s v="Lettuce Field Mix 12#"/>
    <x v="83"/>
    <x v="1"/>
    <n v="24"/>
    <n v="10.886216880000001"/>
    <n v="0.22"/>
    <n v="2.3949677136000003"/>
  </r>
  <r>
    <d v="2019-01-24T00:00:00"/>
    <s v="Royal"/>
    <n v="2"/>
    <n v="1"/>
    <n v="12"/>
    <s v="Lettuce Field Mix 12#"/>
    <x v="83"/>
    <x v="1"/>
    <n v="24"/>
    <n v="10.886216880000001"/>
    <n v="0.22"/>
    <n v="2.3949677136000003"/>
  </r>
  <r>
    <d v="2019-01-23T00:00:00"/>
    <s v="Royal"/>
    <n v="2"/>
    <n v="1"/>
    <n v="12"/>
    <s v="Lettuce Field Mix 12#"/>
    <x v="83"/>
    <x v="1"/>
    <n v="24"/>
    <n v="10.886216880000001"/>
    <n v="0.22"/>
    <n v="2.3949677136000003"/>
  </r>
  <r>
    <d v="2019-01-23T00:00:00"/>
    <s v="Royal"/>
    <n v="1"/>
    <n v="1"/>
    <n v="10"/>
    <s v="Lettuce Green Leaf Filet"/>
    <x v="83"/>
    <x v="1"/>
    <n v="10"/>
    <n v="4.5359237000000006"/>
    <n v="0.22"/>
    <n v="0.99790321400000015"/>
  </r>
  <r>
    <d v="2019-01-19T00:00:00"/>
    <s v="Royal"/>
    <n v="1"/>
    <n v="1"/>
    <n v="10"/>
    <s v="Lettuce Green Leaf Filet"/>
    <x v="83"/>
    <x v="1"/>
    <n v="10"/>
    <n v="4.5359237000000006"/>
    <n v="0.22"/>
    <n v="0.99790321400000015"/>
  </r>
  <r>
    <d v="2019-01-18T00:00:00"/>
    <s v="Royal"/>
    <n v="2"/>
    <n v="1"/>
    <n v="12"/>
    <s v="Lettuce Field Mix 12#"/>
    <x v="83"/>
    <x v="1"/>
    <n v="24"/>
    <n v="10.886216880000001"/>
    <n v="0.22"/>
    <n v="2.3949677136000003"/>
  </r>
  <r>
    <d v="2019-01-18T00:00:00"/>
    <s v="Royal"/>
    <n v="1"/>
    <n v="1"/>
    <n v="10"/>
    <s v="Lettuce Green Leaf Filet"/>
    <x v="83"/>
    <x v="1"/>
    <n v="10"/>
    <n v="4.5359237000000006"/>
    <n v="0.22"/>
    <n v="0.99790321400000015"/>
  </r>
  <r>
    <d v="2019-01-21T00:00:00"/>
    <s v="Royal"/>
    <n v="1"/>
    <n v="1"/>
    <n v="48"/>
    <s v="Juice Lime Quart 12/1"/>
    <x v="84"/>
    <x v="1"/>
    <n v="48"/>
    <n v="21.772433760000002"/>
    <n v="1.9430000000000001"/>
    <n v="42.303838795680008"/>
  </r>
  <r>
    <d v="2019-01-18T00:00:00"/>
    <s v="Dairy Products"/>
    <n v="1"/>
    <n v="6"/>
    <n v="5"/>
    <s v="MARGARINE SOFT BUTRY SPRD TUB"/>
    <x v="207"/>
    <x v="1"/>
    <n v="30"/>
    <n v="13.607771100000001"/>
    <m/>
    <n v="0"/>
  </r>
  <r>
    <d v="2019-01-23T00:00:00"/>
    <s v="Mayfield Dairy"/>
    <n v="2"/>
    <n v="1"/>
    <n v="43"/>
    <s v="homo disp milk"/>
    <x v="86"/>
    <x v="2"/>
    <n v="86"/>
    <n v="39.008943819999999"/>
    <n v="1.23"/>
    <n v="47.981000898600001"/>
  </r>
  <r>
    <d v="2019-01-23T00:00:00"/>
    <s v="Mayfield Dairy"/>
    <n v="5"/>
    <n v="1"/>
    <n v="43"/>
    <s v="2% milk"/>
    <x v="86"/>
    <x v="2"/>
    <n v="215"/>
    <n v="97.522359550000004"/>
    <n v="1.23"/>
    <n v="119.9525022465"/>
  </r>
  <r>
    <d v="2019-01-24T00:00:00"/>
    <s v="Mayfield Dairy"/>
    <n v="5"/>
    <n v="1"/>
    <n v="43"/>
    <s v="homo disp milk"/>
    <x v="86"/>
    <x v="2"/>
    <n v="215"/>
    <n v="97.522359550000004"/>
    <n v="1.23"/>
    <n v="119.9525022465"/>
  </r>
  <r>
    <d v="2019-01-24T00:00:00"/>
    <s v="Mayfield Dairy"/>
    <n v="4"/>
    <n v="1"/>
    <n v="43"/>
    <s v="2% milk"/>
    <x v="86"/>
    <x v="2"/>
    <n v="172"/>
    <n v="78.017887639999998"/>
    <n v="1.23"/>
    <n v="95.962001797200003"/>
  </r>
  <r>
    <d v="2019-01-24T00:00:00"/>
    <s v="Mayfield Dairy"/>
    <n v="2"/>
    <n v="1"/>
    <n v="43"/>
    <s v="skim milk"/>
    <x v="86"/>
    <x v="2"/>
    <n v="86"/>
    <n v="39.008943819999999"/>
    <n v="1.23"/>
    <n v="47.981000898600001"/>
  </r>
  <r>
    <d v="2019-01-24T00:00:00"/>
    <s v="Mayfield Dairy"/>
    <n v="8"/>
    <n v="1"/>
    <n v="43"/>
    <s v="true moo choc"/>
    <x v="86"/>
    <x v="2"/>
    <n v="344"/>
    <n v="156.03577528"/>
    <n v="1.23"/>
    <n v="191.92400359440001"/>
  </r>
  <r>
    <d v="2019-01-18T00:00:00"/>
    <s v="Mayfield Dairy"/>
    <n v="4"/>
    <n v="1"/>
    <n v="43"/>
    <s v="homo disp milk"/>
    <x v="86"/>
    <x v="2"/>
    <n v="172"/>
    <n v="78.017887639999998"/>
    <n v="1.23"/>
    <n v="95.962001797200003"/>
  </r>
  <r>
    <d v="2019-01-18T00:00:00"/>
    <s v="Mayfield Dairy"/>
    <n v="5"/>
    <n v="1"/>
    <n v="43"/>
    <s v="2% milk"/>
    <x v="86"/>
    <x v="2"/>
    <n v="215"/>
    <n v="97.522359550000004"/>
    <n v="1.23"/>
    <n v="119.9525022465"/>
  </r>
  <r>
    <d v="2019-01-18T00:00:00"/>
    <s v="Mayfield Dairy"/>
    <n v="2"/>
    <n v="1"/>
    <n v="43"/>
    <s v="skim milk"/>
    <x v="86"/>
    <x v="2"/>
    <n v="86"/>
    <n v="39.008943819999999"/>
    <n v="1.23"/>
    <n v="47.981000898600001"/>
  </r>
  <r>
    <d v="2019-01-18T00:00:00"/>
    <s v="Mayfield Dairy"/>
    <n v="2"/>
    <n v="1"/>
    <n v="8.6"/>
    <s v="buttermilk"/>
    <x v="86"/>
    <x v="2"/>
    <n v="17.2"/>
    <n v="7.8017887640000003"/>
    <n v="1.23"/>
    <n v="9.5962001797200003"/>
  </r>
  <r>
    <d v="2019-01-18T00:00:00"/>
    <s v="Dairy Products"/>
    <n v="1"/>
    <n v="20"/>
    <n v="0.5"/>
    <s v="MILK NFAT 100% LACT CAL ENRCHD"/>
    <x v="86"/>
    <x v="2"/>
    <n v="10"/>
    <n v="4.5359237000000006"/>
    <n v="1.23"/>
    <n v="5.5791861510000009"/>
  </r>
  <r>
    <d v="2019-01-21T00:00:00"/>
    <s v="Dairy Products"/>
    <n v="2"/>
    <n v="20"/>
    <n v="0.5"/>
    <s v="MILK NFAT 100% LACT CAL ENRCHD"/>
    <x v="86"/>
    <x v="2"/>
    <n v="20"/>
    <n v="9.0718474000000011"/>
    <n v="1.23"/>
    <n v="11.158372302000002"/>
  </r>
  <r>
    <d v="2019-01-23T00:00:00"/>
    <s v="Dairy Products"/>
    <n v="2"/>
    <n v="20"/>
    <n v="0.5"/>
    <s v="MILK NFAT 100% LACT CAL ENRCHD"/>
    <x v="86"/>
    <x v="2"/>
    <n v="20"/>
    <n v="9.0718474000000011"/>
    <n v="1.23"/>
    <n v="11.158372302000002"/>
  </r>
  <r>
    <d v="2019-01-18T00:00:00"/>
    <s v="Canned and dry goods"/>
    <n v="1"/>
    <n v="4"/>
    <n v="11.89"/>
    <s v="MOLASSES UNSULFURED"/>
    <x v="208"/>
    <x v="1"/>
    <n v="47.56"/>
    <n v="21.572853117200001"/>
    <n v="0.48799999999999999"/>
    <n v="10.5275523211936"/>
  </r>
  <r>
    <d v="2019-01-21T00:00:00"/>
    <s v="Canned and dry goods"/>
    <n v="1"/>
    <n v="4"/>
    <n v="11.89"/>
    <s v="MOLASSES UNSULFURED"/>
    <x v="208"/>
    <x v="1"/>
    <n v="47.56"/>
    <n v="21.572853117200001"/>
    <n v="0.48799999999999999"/>
    <n v="10.5275523211936"/>
  </r>
  <r>
    <d v="2019-01-21T00:00:00"/>
    <s v="Royal"/>
    <n v="5"/>
    <n v="1"/>
    <n v="5"/>
    <s v="Mushroom"/>
    <x v="88"/>
    <x v="1"/>
    <n v="25"/>
    <n v="11.33980925"/>
    <n v="3.093"/>
    <n v="35.074030010249999"/>
  </r>
  <r>
    <d v="2019-01-22T00:00:00"/>
    <s v="Royal"/>
    <n v="4"/>
    <n v="1"/>
    <n v="5"/>
    <s v="Mushroom    Sliced Thick 5#"/>
    <x v="88"/>
    <x v="1"/>
    <n v="20"/>
    <n v="9.0718474000000011"/>
    <n v="3.093"/>
    <n v="28.059224008200005"/>
  </r>
  <r>
    <d v="2019-01-24T00:00:00"/>
    <s v="Royal"/>
    <n v="2"/>
    <n v="1"/>
    <n v="10"/>
    <s v="Mushroom"/>
    <x v="88"/>
    <x v="1"/>
    <n v="20"/>
    <n v="9.0718474000000011"/>
    <n v="3.093"/>
    <n v="28.059224008200005"/>
  </r>
  <r>
    <d v="2019-01-23T00:00:00"/>
    <s v="Royal"/>
    <n v="8"/>
    <n v="1"/>
    <n v="5"/>
    <s v="Mushroom"/>
    <x v="88"/>
    <x v="1"/>
    <n v="40"/>
    <n v="18.143694800000002"/>
    <n v="3.093"/>
    <n v="56.118448016400009"/>
  </r>
  <r>
    <d v="2019-01-19T00:00:00"/>
    <s v="Royal"/>
    <n v="4"/>
    <n v="1"/>
    <n v="5"/>
    <s v="Mushroom"/>
    <x v="88"/>
    <x v="1"/>
    <n v="20"/>
    <n v="9.0718474000000011"/>
    <n v="3.093"/>
    <n v="28.059224008200005"/>
  </r>
  <r>
    <d v="2019-01-19T00:00:00"/>
    <s v="Royal"/>
    <n v="6"/>
    <n v="1"/>
    <n v="5"/>
    <s v="Mushroom"/>
    <x v="88"/>
    <x v="1"/>
    <n v="30"/>
    <n v="13.607771100000001"/>
    <n v="3.093"/>
    <n v="42.0888360123"/>
  </r>
  <r>
    <d v="2019-01-19T00:00:00"/>
    <s v="Royal"/>
    <n v="5"/>
    <n v="1"/>
    <n v="5"/>
    <s v="Mushroom    Sliced Thick 5#"/>
    <x v="88"/>
    <x v="1"/>
    <n v="25"/>
    <n v="11.33980925"/>
    <n v="3.093"/>
    <n v="35.074030010249999"/>
  </r>
  <r>
    <d v="2019-01-18T00:00:00"/>
    <s v="Royal"/>
    <n v="4"/>
    <n v="1"/>
    <n v="5"/>
    <s v="Mushroom"/>
    <x v="88"/>
    <x v="1"/>
    <n v="20"/>
    <n v="9.0718474000000011"/>
    <n v="3.093"/>
    <n v="28.059224008200005"/>
  </r>
  <r>
    <d v="2019-01-18T00:00:00"/>
    <s v="Royal"/>
    <n v="10"/>
    <n v="1"/>
    <n v="5"/>
    <s v="Mushroom"/>
    <x v="88"/>
    <x v="1"/>
    <n v="50"/>
    <n v="22.6796185"/>
    <n v="3.093"/>
    <n v="70.148060020499997"/>
  </r>
  <r>
    <d v="2019-01-21T00:00:00"/>
    <s v="Canned and dry goods"/>
    <n v="6"/>
    <n v="6"/>
    <n v="10"/>
    <s v="NOODLE CHOW MEIN"/>
    <x v="89"/>
    <x v="1"/>
    <n v="360"/>
    <n v="163.29325320000001"/>
    <n v="5.99"/>
    <n v="978.12658666800007"/>
  </r>
  <r>
    <d v="2019-01-21T00:00:00"/>
    <s v="Canned and dry goods"/>
    <n v="3"/>
    <n v="4"/>
    <n v="5"/>
    <s v="NOODLE YAKI SOBA"/>
    <x v="89"/>
    <x v="1"/>
    <n v="60"/>
    <n v="27.215542200000002"/>
    <n v="5.99"/>
    <n v="163.02109777800001"/>
  </r>
  <r>
    <d v="2019-01-21T00:00:00"/>
    <s v="Canned and dry goods"/>
    <n v="1"/>
    <n v="6"/>
    <n v="10"/>
    <s v="OLIVE RIPE SLICED"/>
    <x v="91"/>
    <x v="1"/>
    <n v="60"/>
    <n v="27.215542200000002"/>
    <n v="0.48199999999999998"/>
    <n v="13.1178913404"/>
  </r>
  <r>
    <d v="2019-01-23T00:00:00"/>
    <s v="Canned and dry goods"/>
    <n v="1"/>
    <n v="6"/>
    <n v="10"/>
    <s v="OLIVE RIPE SLICED"/>
    <x v="91"/>
    <x v="1"/>
    <n v="60"/>
    <n v="27.215542200000002"/>
    <n v="0.48199999999999998"/>
    <n v="13.1178913404"/>
  </r>
  <r>
    <d v="2019-01-21T00:00:00"/>
    <s v="Royal"/>
    <n v="1"/>
    <n v="1"/>
    <n v="25"/>
    <s v="Onion   Red"/>
    <x v="92"/>
    <x v="1"/>
    <n v="25"/>
    <n v="11.33980925"/>
    <n v="0.26900000000000002"/>
    <n v="3.0504086882500001"/>
  </r>
  <r>
    <d v="2019-01-21T00:00:00"/>
    <s v="Royal"/>
    <n v="1"/>
    <n v="1"/>
    <n v="50"/>
    <s v="Onion   Yellow Jumbo"/>
    <x v="92"/>
    <x v="1"/>
    <n v="50"/>
    <n v="22.6796185"/>
    <n v="0.26900000000000002"/>
    <n v="6.1008173765000002"/>
  </r>
  <r>
    <d v="2019-01-21T00:00:00"/>
    <s v="Royal"/>
    <n v="1"/>
    <n v="1"/>
    <n v="20"/>
    <s v="Pr Onion  Yel  Diced 1/4&quot;"/>
    <x v="92"/>
    <x v="1"/>
    <n v="20"/>
    <n v="9.0718474000000011"/>
    <n v="0.26900000000000002"/>
    <n v="2.4403269506000003"/>
  </r>
  <r>
    <d v="2019-01-24T00:00:00"/>
    <s v="Royal"/>
    <n v="1"/>
    <n v="1"/>
    <n v="50"/>
    <s v="Onion   Yellow Jumbo"/>
    <x v="92"/>
    <x v="1"/>
    <n v="50"/>
    <n v="22.6796185"/>
    <n v="0.26900000000000002"/>
    <n v="6.1008173765000002"/>
  </r>
  <r>
    <d v="2019-01-24T00:00:00"/>
    <s v="Royal"/>
    <n v="1"/>
    <n v="1"/>
    <n v="20"/>
    <s v="Pr Onion  Yel  Diced 1/4&quot;"/>
    <x v="92"/>
    <x v="1"/>
    <n v="20"/>
    <n v="9.0718474000000011"/>
    <n v="0.26900000000000002"/>
    <n v="2.4403269506000003"/>
  </r>
  <r>
    <d v="2019-01-24T00:00:00"/>
    <s v="Royal"/>
    <n v="1"/>
    <n v="1"/>
    <n v="20"/>
    <s v="Pr Onion  Yel  Diced 1/4&quot;"/>
    <x v="92"/>
    <x v="1"/>
    <n v="20"/>
    <n v="9.0718474000000011"/>
    <n v="0.26900000000000002"/>
    <n v="2.4403269506000003"/>
  </r>
  <r>
    <d v="2019-01-23T00:00:00"/>
    <s v="Royal"/>
    <n v="2"/>
    <n v="1"/>
    <n v="25"/>
    <s v="Onion   Red"/>
    <x v="92"/>
    <x v="1"/>
    <n v="50"/>
    <n v="22.6796185"/>
    <n v="0.26900000000000002"/>
    <n v="6.1008173765000002"/>
  </r>
  <r>
    <d v="2019-01-23T00:00:00"/>
    <s v="Royal"/>
    <n v="2"/>
    <n v="1"/>
    <n v="50"/>
    <s v="Onion   Yellow Jumbo"/>
    <x v="92"/>
    <x v="1"/>
    <n v="100"/>
    <n v="45.359237"/>
    <n v="0.26900000000000002"/>
    <n v="12.201634753"/>
  </r>
  <r>
    <d v="2019-01-23T00:00:00"/>
    <s v="Royal"/>
    <n v="1"/>
    <n v="1"/>
    <n v="20"/>
    <s v="Pr Onion  Yel  Diced 1/4&quot;"/>
    <x v="92"/>
    <x v="1"/>
    <n v="20"/>
    <n v="9.0718474000000011"/>
    <n v="0.26900000000000002"/>
    <n v="2.4403269506000003"/>
  </r>
  <r>
    <d v="2019-01-19T00:00:00"/>
    <s v="Royal"/>
    <n v="3"/>
    <n v="1"/>
    <n v="20"/>
    <s v="Pr Onion  Yel  Diced 1/4&quot;"/>
    <x v="92"/>
    <x v="1"/>
    <n v="60"/>
    <n v="27.215542200000002"/>
    <n v="0.26900000000000002"/>
    <n v="7.3209808518000008"/>
  </r>
  <r>
    <d v="2019-01-18T00:00:00"/>
    <s v="Royal"/>
    <n v="1"/>
    <n v="1"/>
    <n v="25"/>
    <s v="Onion   Red"/>
    <x v="92"/>
    <x v="1"/>
    <n v="25"/>
    <n v="11.33980925"/>
    <n v="0.26900000000000002"/>
    <n v="3.0504086882500001"/>
  </r>
  <r>
    <d v="2019-01-18T00:00:00"/>
    <s v="Royal"/>
    <n v="1"/>
    <n v="1"/>
    <n v="50"/>
    <s v="Onion   Yellow Jumbo"/>
    <x v="92"/>
    <x v="1"/>
    <n v="50"/>
    <n v="22.6796185"/>
    <n v="0.26900000000000002"/>
    <n v="6.1008173765000002"/>
  </r>
  <r>
    <d v="2019-01-18T00:00:00"/>
    <s v="Royal"/>
    <n v="2"/>
    <n v="1"/>
    <n v="20"/>
    <s v="Pr Onion  Yel  Diced 1/4&quot;"/>
    <x v="92"/>
    <x v="1"/>
    <n v="40"/>
    <n v="18.143694800000002"/>
    <n v="0.26900000000000002"/>
    <n v="4.8806539012000005"/>
  </r>
  <r>
    <d v="2019-01-23T00:00:00"/>
    <s v="Royal"/>
    <n v="1"/>
    <n v="1"/>
    <n v="1.5"/>
    <s v="Onion   Green Iceless"/>
    <x v="93"/>
    <x v="1"/>
    <n v="1.5"/>
    <n v="0.68038855500000006"/>
    <n v="8.5000000000000006E-2"/>
    <n v="5.783302717500001E-2"/>
  </r>
  <r>
    <d v="2019-01-18T00:00:00"/>
    <s v="Royal"/>
    <n v="2"/>
    <n v="1"/>
    <n v="1.5"/>
    <s v="Onion   Green Iceless"/>
    <x v="93"/>
    <x v="1"/>
    <n v="3"/>
    <n v="1.3607771100000001"/>
    <n v="8.5000000000000006E-2"/>
    <n v="0.11566605435000002"/>
  </r>
  <r>
    <d v="2019-01-18T00:00:00"/>
    <s v="Common Market"/>
    <n v="1"/>
    <n v="1"/>
    <n v="79.2"/>
    <s v="mandarin orange"/>
    <x v="209"/>
    <x v="1"/>
    <n v="79.2"/>
    <n v="35.924515704000008"/>
    <n v="0.29399999999999998"/>
    <n v="10.561807616976001"/>
  </r>
  <r>
    <d v="2019-01-22T00:00:00"/>
    <s v="Common Market"/>
    <n v="1"/>
    <n v="1"/>
    <n v="79.2"/>
    <s v="mandarin orange"/>
    <x v="96"/>
    <x v="1"/>
    <n v="79.2"/>
    <n v="35.924515704000008"/>
    <n v="0.29399999999999998"/>
    <n v="10.561807616976001"/>
  </r>
  <r>
    <d v="2019-01-21T00:00:00"/>
    <s v="Royal"/>
    <n v="20"/>
    <n v="1"/>
    <n v="32.635078"/>
    <s v="oranges"/>
    <x v="96"/>
    <x v="1"/>
    <n v="652.70155999999997"/>
    <n v="296.06044750309718"/>
    <n v="0.29399999999999998"/>
    <n v="87.041771565910565"/>
  </r>
  <r>
    <d v="2019-01-22T00:00:00"/>
    <s v="Royal"/>
    <n v="20"/>
    <n v="1"/>
    <n v="32.635078"/>
    <s v="oranges"/>
    <x v="96"/>
    <x v="1"/>
    <n v="652.70155999999997"/>
    <n v="296.06044750309718"/>
    <n v="0.29399999999999998"/>
    <n v="87.041771565910565"/>
  </r>
  <r>
    <d v="2019-01-23T00:00:00"/>
    <s v="Royal"/>
    <n v="20"/>
    <n v="1"/>
    <n v="32.635078"/>
    <s v="oranges"/>
    <x v="96"/>
    <x v="1"/>
    <n v="652.70155999999997"/>
    <n v="296.06044750309718"/>
    <n v="0.29399999999999998"/>
    <n v="87.041771565910565"/>
  </r>
  <r>
    <d v="2019-01-24T00:00:00"/>
    <s v="Royal"/>
    <n v="17"/>
    <n v="1"/>
    <n v="32.635078"/>
    <s v="oranges"/>
    <x v="96"/>
    <x v="1"/>
    <n v="554.79632600000002"/>
    <n v="251.65138037763265"/>
    <n v="0.29399999999999998"/>
    <n v="73.985505831024"/>
  </r>
  <r>
    <d v="2019-01-18T00:00:00"/>
    <s v="Royal"/>
    <n v="20"/>
    <n v="1"/>
    <n v="32.635078"/>
    <s v="oranges"/>
    <x v="96"/>
    <x v="1"/>
    <n v="652.70155999999997"/>
    <n v="296.06044750309718"/>
    <n v="0.29399999999999998"/>
    <n v="87.041771565910565"/>
  </r>
  <r>
    <d v="2019-01-19T00:00:00"/>
    <s v="Royal"/>
    <n v="30"/>
    <n v="1"/>
    <n v="32.635078"/>
    <s v="oranges"/>
    <x v="96"/>
    <x v="1"/>
    <n v="979.05233999999996"/>
    <n v="444.09067125464583"/>
    <n v="0.29399999999999998"/>
    <n v="130.56265734886586"/>
  </r>
  <r>
    <d v="2019-01-18T00:00:00"/>
    <s v="Canned and dry goods"/>
    <n v="2"/>
    <n v="6"/>
    <n v="5"/>
    <s v="MIX PANCAKE BTRMLK COMPLT"/>
    <x v="97"/>
    <x v="1"/>
    <n v="60"/>
    <n v="27.215542200000002"/>
    <m/>
    <n v="0"/>
  </r>
  <r>
    <d v="2019-01-23T00:00:00"/>
    <s v="Canned and dry goods"/>
    <n v="2"/>
    <n v="6"/>
    <n v="5"/>
    <s v="MIX PANCAKE BTRMLK COMPLT"/>
    <x v="97"/>
    <x v="1"/>
    <n v="60"/>
    <n v="27.215542200000002"/>
    <m/>
    <n v="0"/>
  </r>
  <r>
    <d v="2019-01-21T00:00:00"/>
    <s v="Royal"/>
    <n v="1"/>
    <n v="1"/>
    <n v="3.75"/>
    <s v="Parsley  Italian"/>
    <x v="98"/>
    <x v="1"/>
    <n v="3.75"/>
    <n v="1.7009713875000001"/>
    <n v="0.23200000000000001"/>
    <n v="0.39462536190000003"/>
  </r>
  <r>
    <d v="2019-01-23T00:00:00"/>
    <s v="Royal"/>
    <n v="1"/>
    <n v="1"/>
    <n v="3.75"/>
    <s v="Parsley  Italian"/>
    <x v="98"/>
    <x v="1"/>
    <n v="3.75"/>
    <n v="1.7009713875000001"/>
    <n v="0.23200000000000001"/>
    <n v="0.39462536190000003"/>
  </r>
  <r>
    <d v="2019-01-18T00:00:00"/>
    <s v="Royal"/>
    <n v="2"/>
    <n v="1"/>
    <n v="3.75"/>
    <s v="Parsley  Italian"/>
    <x v="98"/>
    <x v="1"/>
    <n v="7.5"/>
    <n v="3.4019427750000002"/>
    <n v="0.23200000000000001"/>
    <n v="0.78925072380000005"/>
  </r>
  <r>
    <d v="2019-01-18T00:00:00"/>
    <s v="Canned and dry goods"/>
    <n v="4"/>
    <n v="2"/>
    <n v="10"/>
    <s v="PASTA FARFALLE"/>
    <x v="99"/>
    <x v="1"/>
    <n v="80"/>
    <n v="36.287389600000004"/>
    <n v="5.99"/>
    <n v="217.36146370400004"/>
  </r>
  <r>
    <d v="2019-01-18T00:00:00"/>
    <s v="Canned and dry goods"/>
    <n v="3"/>
    <n v="2"/>
    <n v="10"/>
    <s v="PASTA MACARONI ELBOW"/>
    <x v="99"/>
    <x v="1"/>
    <n v="60"/>
    <n v="27.215542200000002"/>
    <n v="5.99"/>
    <n v="163.02109777800001"/>
  </r>
  <r>
    <d v="2019-01-18T00:00:00"/>
    <s v="Canned and dry goods"/>
    <n v="3"/>
    <n v="2"/>
    <n v="10"/>
    <s v="PASTA PENNE WHL GRAIN 100%"/>
    <x v="99"/>
    <x v="1"/>
    <n v="60"/>
    <n v="27.215542200000002"/>
    <n v="5.99"/>
    <n v="163.02109777800001"/>
  </r>
  <r>
    <d v="2019-01-18T00:00:00"/>
    <s v="Canned and dry goods"/>
    <n v="2"/>
    <n v="8"/>
    <n v="0.75"/>
    <s v="PASTA PENNE RIGATE GLUTEN FREE"/>
    <x v="99"/>
    <x v="1"/>
    <n v="12"/>
    <n v="5.4431084400000005"/>
    <n v="5.99"/>
    <n v="32.604219555600004"/>
  </r>
  <r>
    <d v="2019-01-21T00:00:00"/>
    <s v="Canned and dry goods"/>
    <n v="3"/>
    <n v="2"/>
    <n v="10"/>
    <s v="PASTA ZITI"/>
    <x v="99"/>
    <x v="1"/>
    <n v="60"/>
    <n v="27.215542200000002"/>
    <n v="5.99"/>
    <n v="163.02109777800001"/>
  </r>
  <r>
    <d v="2019-01-21T00:00:00"/>
    <s v="Canned and dry goods"/>
    <n v="2"/>
    <n v="2"/>
    <n v="10"/>
    <s v="PASTA SPAGHETTI"/>
    <x v="99"/>
    <x v="1"/>
    <n v="40"/>
    <n v="18.143694800000002"/>
    <n v="5.99"/>
    <n v="108.68073185200002"/>
  </r>
  <r>
    <d v="2019-01-21T00:00:00"/>
    <s v="Canned and dry goods"/>
    <n v="4"/>
    <n v="2"/>
    <n v="10"/>
    <s v="PASTA PENNE RIGATE"/>
    <x v="99"/>
    <x v="1"/>
    <n v="80"/>
    <n v="36.287389600000004"/>
    <n v="5.99"/>
    <n v="217.36146370400004"/>
  </r>
  <r>
    <d v="2019-01-21T00:00:00"/>
    <s v="Canned and dry goods"/>
    <n v="3"/>
    <n v="2"/>
    <n v="10"/>
    <s v="PASTA GEMELLI"/>
    <x v="99"/>
    <x v="1"/>
    <n v="60"/>
    <n v="27.215542200000002"/>
    <n v="5.99"/>
    <n v="163.02109777800001"/>
  </r>
  <r>
    <d v="2019-01-21T00:00:00"/>
    <s v="Canned and dry goods"/>
    <n v="4"/>
    <n v="2"/>
    <n v="10"/>
    <s v="PASTA FARFALLE"/>
    <x v="99"/>
    <x v="1"/>
    <n v="80"/>
    <n v="36.287389600000004"/>
    <n v="5.99"/>
    <n v="217.36146370400004"/>
  </r>
  <r>
    <d v="2019-01-21T00:00:00"/>
    <s v="Canned and dry goods"/>
    <n v="4"/>
    <n v="2"/>
    <n v="10"/>
    <s v="PASTA MACARONI ELBOW"/>
    <x v="99"/>
    <x v="1"/>
    <n v="80"/>
    <n v="36.287389600000004"/>
    <n v="5.99"/>
    <n v="217.36146370400004"/>
  </r>
  <r>
    <d v="2019-01-23T00:00:00"/>
    <s v="Canned and dry goods"/>
    <n v="1"/>
    <n v="2"/>
    <n v="5"/>
    <s v="SUNFLOWER SEED SPREAD CREAMY"/>
    <x v="210"/>
    <x v="1"/>
    <n v="10"/>
    <n v="4.5359237000000006"/>
    <n v="1.1319999999999999"/>
    <n v="5.1346656284000005"/>
  </r>
  <r>
    <d v="2019-01-22T00:00:00"/>
    <s v="Royal"/>
    <n v="2"/>
    <n v="1"/>
    <n v="46.800000000000004"/>
    <s v="Pear 100-120 Ct"/>
    <x v="155"/>
    <x v="1"/>
    <n v="93.600000000000009"/>
    <n v="42.456245832000008"/>
    <n v="0.249"/>
    <n v="10.571605212168002"/>
  </r>
  <r>
    <d v="2019-01-21T00:00:00"/>
    <s v="Royal"/>
    <n v="2"/>
    <n v="1"/>
    <n v="33.333333333333336"/>
    <s v="Pepper   Green  Large LOCAL"/>
    <x v="104"/>
    <x v="1"/>
    <n v="66.666666666666671"/>
    <n v="30.239491333333337"/>
    <n v="0.52500000000000002"/>
    <n v="15.875732950000003"/>
  </r>
  <r>
    <d v="2019-01-21T00:00:00"/>
    <s v="Royal"/>
    <n v="1"/>
    <n v="1"/>
    <n v="33.333333333333336"/>
    <s v="Pepper   Red"/>
    <x v="104"/>
    <x v="1"/>
    <n v="33.333333333333336"/>
    <n v="15.119745666666669"/>
    <n v="0.52500000000000002"/>
    <n v="7.9378664750000016"/>
  </r>
  <r>
    <d v="2019-01-24T00:00:00"/>
    <s v="Royal"/>
    <n v="1"/>
    <n v="1"/>
    <n v="33.333333333333336"/>
    <s v="Pepper   Green  Large LOCAL"/>
    <x v="104"/>
    <x v="1"/>
    <n v="33.333333333333336"/>
    <n v="15.119745666666669"/>
    <n v="0.52500000000000002"/>
    <n v="7.9378664750000016"/>
  </r>
  <r>
    <d v="2019-01-24T00:00:00"/>
    <s v="Royal"/>
    <n v="1"/>
    <n v="1"/>
    <n v="33.333333333333336"/>
    <s v="Pepper   Red"/>
    <x v="104"/>
    <x v="1"/>
    <n v="33.333333333333336"/>
    <n v="15.119745666666669"/>
    <n v="0.52500000000000002"/>
    <n v="7.9378664750000016"/>
  </r>
  <r>
    <d v="2019-01-23T00:00:00"/>
    <s v="Royal"/>
    <n v="4"/>
    <n v="1"/>
    <n v="33.333333333333336"/>
    <s v="Pepper   Green  Large LOCAL"/>
    <x v="104"/>
    <x v="1"/>
    <n v="133.33333333333334"/>
    <n v="60.478982666666674"/>
    <n v="0.52500000000000002"/>
    <n v="31.751465900000007"/>
  </r>
  <r>
    <d v="2019-01-23T00:00:00"/>
    <s v="Royal"/>
    <n v="1"/>
    <n v="1"/>
    <n v="33.333333333333336"/>
    <s v="Pepper   Red"/>
    <x v="104"/>
    <x v="1"/>
    <n v="33.333333333333336"/>
    <n v="15.119745666666669"/>
    <n v="0.52500000000000002"/>
    <n v="7.9378664750000016"/>
  </r>
  <r>
    <d v="2019-01-19T00:00:00"/>
    <s v="Royal"/>
    <n v="1"/>
    <n v="1"/>
    <n v="33.333333333333336"/>
    <s v="Pepper   Green  Large LOCAL"/>
    <x v="104"/>
    <x v="1"/>
    <n v="33.333333333333336"/>
    <n v="15.119745666666669"/>
    <n v="0.52500000000000002"/>
    <n v="7.9378664750000016"/>
  </r>
  <r>
    <d v="2019-01-19T00:00:00"/>
    <s v="Royal"/>
    <n v="1"/>
    <n v="1"/>
    <n v="33.333333333333336"/>
    <s v="Pepper   Red"/>
    <x v="104"/>
    <x v="1"/>
    <n v="33.333333333333336"/>
    <n v="15.119745666666669"/>
    <n v="0.52500000000000002"/>
    <n v="7.9378664750000016"/>
  </r>
  <r>
    <d v="2019-01-19T00:00:00"/>
    <s v="Royal"/>
    <n v="3"/>
    <n v="1"/>
    <n v="20"/>
    <s v="Pr Pepper  Green Diced 1/4&quot; LOCAL"/>
    <x v="104"/>
    <x v="1"/>
    <n v="60"/>
    <n v="27.215542200000002"/>
    <n v="0.52500000000000002"/>
    <n v="14.288159655000001"/>
  </r>
  <r>
    <d v="2019-01-18T00:00:00"/>
    <s v="Royal"/>
    <n v="2"/>
    <n v="1"/>
    <n v="33.333333333333336"/>
    <s v="Pepper   Green  Large"/>
    <x v="104"/>
    <x v="1"/>
    <n v="66.666666666666671"/>
    <n v="30.239491333333337"/>
    <n v="0.52500000000000002"/>
    <n v="15.875732950000003"/>
  </r>
  <r>
    <d v="2019-01-18T00:00:00"/>
    <s v="Royal"/>
    <n v="2"/>
    <n v="1"/>
    <n v="33.333333333333336"/>
    <s v="Pepper   Red"/>
    <x v="104"/>
    <x v="1"/>
    <n v="66.666666666666671"/>
    <n v="30.239491333333337"/>
    <n v="0.52500000000000002"/>
    <n v="15.875732950000003"/>
  </r>
  <r>
    <d v="2019-01-21T00:00:00"/>
    <s v="Canned and dry goods"/>
    <n v="1"/>
    <n v="3"/>
    <n v="5"/>
    <s v="SPICE PEPPER BLK SHAKER GRND"/>
    <x v="105"/>
    <x v="1"/>
    <n v="15"/>
    <n v="6.8038855500000004"/>
    <n v="0.87"/>
    <n v="5.9193804285000002"/>
  </r>
  <r>
    <d v="2019-01-21T00:00:00"/>
    <s v="Royal"/>
    <n v="2"/>
    <n v="1"/>
    <n v="33.333333333333336"/>
    <s v="Pepper   Jalapeno Bulk"/>
    <x v="107"/>
    <x v="1"/>
    <n v="66.666666666666671"/>
    <n v="30.239491333333337"/>
    <n v="0.79900000000000004"/>
    <n v="24.161353575333337"/>
  </r>
  <r>
    <d v="2019-01-21T00:00:00"/>
    <s v="Canned and dry goods"/>
    <n v="1"/>
    <n v="4"/>
    <n v="4.54"/>
    <s v="PEPPER BANANA RINGS"/>
    <x v="107"/>
    <x v="1"/>
    <n v="18.16"/>
    <n v="8.2372374392000012"/>
    <n v="0.79900000000000004"/>
    <n v="6.581552713920801"/>
  </r>
  <r>
    <d v="2019-01-21T00:00:00"/>
    <s v="Canned and dry goods"/>
    <n v="1"/>
    <n v="4"/>
    <n v="8.35"/>
    <s v="PEPPER JALAPENO NACHO SLI"/>
    <x v="107"/>
    <x v="1"/>
    <n v="33.4"/>
    <n v="15.149985158"/>
    <n v="0.79900000000000004"/>
    <n v="12.104838141242"/>
  </r>
  <r>
    <d v="2019-01-21T00:00:00"/>
    <s v="Meats"/>
    <n v="2"/>
    <n v="2"/>
    <n v="5"/>
    <s v="PEPPERONI SLI CHRPRF 15-17 CT"/>
    <x v="211"/>
    <x v="0"/>
    <n v="20"/>
    <n v="9.0718474000000011"/>
    <n v="19.202999999999999"/>
    <n v="174.20668562220001"/>
  </r>
  <r>
    <d v="2019-01-21T00:00:00"/>
    <s v="Royal"/>
    <n v="2"/>
    <n v="1"/>
    <n v="20"/>
    <s v="Pineapple Crownless 8-11ct"/>
    <x v="108"/>
    <x v="1"/>
    <n v="40"/>
    <n v="18.143694800000002"/>
    <n v="0.91400000000000003"/>
    <n v="16.583337047200004"/>
  </r>
  <r>
    <d v="2019-01-22T00:00:00"/>
    <s v="Royal"/>
    <n v="6"/>
    <n v="1"/>
    <n v="20"/>
    <s v="Pineapple Crownless 8-11ct"/>
    <x v="108"/>
    <x v="1"/>
    <n v="120"/>
    <n v="54.431084400000003"/>
    <n v="0.91400000000000003"/>
    <n v="49.750011141600005"/>
  </r>
  <r>
    <d v="2019-01-24T00:00:00"/>
    <s v="Royal"/>
    <n v="6"/>
    <n v="1"/>
    <n v="20"/>
    <s v="Pineapple Crownless 8-11ct"/>
    <x v="108"/>
    <x v="1"/>
    <n v="120"/>
    <n v="54.431084400000003"/>
    <n v="0.91400000000000003"/>
    <n v="49.750011141600005"/>
  </r>
  <r>
    <d v="2019-01-23T00:00:00"/>
    <s v="Royal"/>
    <n v="6"/>
    <n v="1"/>
    <n v="20"/>
    <s v="Pineapple Crownless 8-11ct"/>
    <x v="108"/>
    <x v="1"/>
    <n v="120"/>
    <n v="54.431084400000003"/>
    <n v="0.91400000000000003"/>
    <n v="49.750011141600005"/>
  </r>
  <r>
    <d v="2019-01-18T00:00:00"/>
    <s v="Royal"/>
    <n v="8"/>
    <n v="1"/>
    <n v="20"/>
    <s v="Pineapple Crownless 8-11ct"/>
    <x v="108"/>
    <x v="1"/>
    <n v="160"/>
    <n v="72.574779200000009"/>
    <n v="0.91400000000000003"/>
    <n v="66.333348188800016"/>
  </r>
  <r>
    <d v="2019-01-18T00:00:00"/>
    <s v="Savannah River Farms"/>
    <n v="1"/>
    <n v="1"/>
    <n v="100"/>
    <s v="cured bacon ends and pieces"/>
    <x v="109"/>
    <x v="0"/>
    <n v="100"/>
    <n v="45.359237"/>
    <n v="5.56"/>
    <n v="252.19735771999999"/>
  </r>
  <r>
    <d v="2019-01-18T00:00:00"/>
    <s v="Savannah River Farms"/>
    <n v="1"/>
    <n v="1"/>
    <n v="180"/>
    <s v="sausage patties"/>
    <x v="109"/>
    <x v="0"/>
    <n v="180"/>
    <n v="81.646626600000005"/>
    <n v="5.56"/>
    <n v="453.95524389600001"/>
  </r>
  <r>
    <d v="2019-01-18T00:00:00"/>
    <s v="Savannah River Farms"/>
    <n v="1"/>
    <n v="1"/>
    <n v="120"/>
    <s v="bacon"/>
    <x v="109"/>
    <x v="0"/>
    <n v="120"/>
    <n v="54.431084400000003"/>
    <n v="5.56"/>
    <n v="302.63682926399997"/>
  </r>
  <r>
    <d v="2019-01-18T00:00:00"/>
    <s v="Savannah River Farms"/>
    <n v="1"/>
    <n v="1"/>
    <n v="307.56"/>
    <s v="boneless butt"/>
    <x v="109"/>
    <x v="0"/>
    <n v="307.56"/>
    <n v="139.5068693172"/>
    <n v="5.56"/>
    <n v="775.65819340363191"/>
  </r>
  <r>
    <d v="2019-01-18T00:00:00"/>
    <s v="Savannah River Farms"/>
    <n v="1"/>
    <n v="1"/>
    <n v="200.3"/>
    <s v="boneless pork loin"/>
    <x v="109"/>
    <x v="0"/>
    <n v="200.3"/>
    <n v="90.854551711000013"/>
    <n v="5.56"/>
    <n v="505.15130751316002"/>
  </r>
  <r>
    <d v="2019-01-21T00:00:00"/>
    <s v="Meats"/>
    <n v="1"/>
    <n v="1"/>
    <n v="10.09"/>
    <s v="SALAMI GENOA"/>
    <x v="109"/>
    <x v="0"/>
    <n v="10.09"/>
    <n v="4.5767470132999994"/>
    <n v="5.56"/>
    <n v="25.446713393947995"/>
  </r>
  <r>
    <d v="2019-01-22T00:00:00"/>
    <s v="Royal"/>
    <n v="2"/>
    <n v="1"/>
    <n v="50"/>
    <s v="Potato    Red  A"/>
    <x v="110"/>
    <x v="1"/>
    <n v="100"/>
    <n v="45.359237"/>
    <n v="0.217"/>
    <n v="9.8429544290000006"/>
  </r>
  <r>
    <d v="2019-01-24T00:00:00"/>
    <s v="Royal"/>
    <n v="1"/>
    <n v="1"/>
    <n v="40"/>
    <s v="Potato"/>
    <x v="110"/>
    <x v="1"/>
    <n v="40"/>
    <n v="18.143694800000002"/>
    <n v="0.217"/>
    <n v="3.9371817716000006"/>
  </r>
  <r>
    <d v="2019-01-23T00:00:00"/>
    <s v="Royal"/>
    <n v="2"/>
    <n v="1"/>
    <n v="50"/>
    <s v="Potato    Red  A"/>
    <x v="110"/>
    <x v="1"/>
    <n v="100"/>
    <n v="45.359237"/>
    <n v="0.217"/>
    <n v="9.8429544290000006"/>
  </r>
  <r>
    <d v="2019-01-23T00:00:00"/>
    <s v="Royal"/>
    <n v="2"/>
    <n v="1"/>
    <n v="50"/>
    <s v="Potato"/>
    <x v="110"/>
    <x v="1"/>
    <n v="100"/>
    <n v="45.359237"/>
    <n v="0.217"/>
    <n v="9.8429544290000006"/>
  </r>
  <r>
    <d v="2019-01-18T00:00:00"/>
    <s v="Royal"/>
    <n v="4"/>
    <n v="1"/>
    <n v="50"/>
    <s v="Potato"/>
    <x v="110"/>
    <x v="1"/>
    <n v="200"/>
    <n v="90.718474000000001"/>
    <n v="0.217"/>
    <n v="19.685908858000001"/>
  </r>
  <r>
    <d v="2019-01-18T00:00:00"/>
    <s v="Royal"/>
    <n v="3"/>
    <n v="1"/>
    <n v="50"/>
    <s v="Potato    Yukon Gold"/>
    <x v="110"/>
    <x v="1"/>
    <n v="150"/>
    <n v="68.038855500000011"/>
    <n v="0.217"/>
    <n v="14.764431643500002"/>
  </r>
  <r>
    <d v="2019-01-18T00:00:00"/>
    <s v="Frozen"/>
    <n v="4"/>
    <n v="6"/>
    <n v="5"/>
    <s v="POTATO FRY TWISTER ORIG BTTERD"/>
    <x v="110"/>
    <x v="1"/>
    <n v="120"/>
    <n v="54.431084400000003"/>
    <n v="0.217"/>
    <n v="11.8115453148"/>
  </r>
  <r>
    <d v="2019-01-18T00:00:00"/>
    <s v="Frozen"/>
    <n v="7"/>
    <n v="6"/>
    <n v="6"/>
    <s v="POTATO H/BRN DICE SKIN-ON CTRY"/>
    <x v="110"/>
    <x v="1"/>
    <n v="252"/>
    <n v="114.30527724000001"/>
    <n v="0.217"/>
    <n v="24.804245161080001"/>
  </r>
  <r>
    <d v="2019-01-18T00:00:00"/>
    <s v="Frozen"/>
    <n v="4"/>
    <n v="6"/>
    <n v="5"/>
    <s v="POTATO TATER PUFF"/>
    <x v="110"/>
    <x v="1"/>
    <n v="120"/>
    <n v="54.431084400000003"/>
    <n v="0.217"/>
    <n v="11.8115453148"/>
  </r>
  <r>
    <d v="2019-01-18T00:00:00"/>
    <s v="Frozen"/>
    <n v="2"/>
    <n v="6"/>
    <n v="3"/>
    <s v="POTATO H/BRN IQF LOOSE SHRED"/>
    <x v="110"/>
    <x v="1"/>
    <n v="36"/>
    <n v="16.329325319999999"/>
    <n v="0.217"/>
    <n v="3.5434635944399999"/>
  </r>
  <r>
    <d v="2019-01-18T00:00:00"/>
    <s v="Frozen"/>
    <n v="3"/>
    <n v="6"/>
    <n v="5"/>
    <s v="POTATO FRY STEAK HSE"/>
    <x v="110"/>
    <x v="1"/>
    <n v="90"/>
    <n v="40.823313300000002"/>
    <n v="0.217"/>
    <n v="8.8586589861"/>
  </r>
  <r>
    <d v="2019-01-18T00:00:00"/>
    <s v="Frozen"/>
    <n v="8"/>
    <n v="6"/>
    <n v="5"/>
    <s v="POTATO FRY 3/8 COLSSL CRISP"/>
    <x v="110"/>
    <x v="1"/>
    <n v="240"/>
    <n v="108.86216880000001"/>
    <n v="0.217"/>
    <n v="23.6230906296"/>
  </r>
  <r>
    <d v="2019-01-18T00:00:00"/>
    <s v="Frozen"/>
    <n v="3"/>
    <n v="6"/>
    <n v="5"/>
    <s v="POTATO FRY STEAK HSE"/>
    <x v="110"/>
    <x v="1"/>
    <n v="90"/>
    <n v="40.823313300000002"/>
    <n v="0.217"/>
    <n v="8.8586589861"/>
  </r>
  <r>
    <d v="2019-01-18T00:00:00"/>
    <s v="Frozen"/>
    <n v="6"/>
    <n v="6"/>
    <n v="5"/>
    <s v="POTATO FRY 3/8 COLSSL CRISP"/>
    <x v="110"/>
    <x v="1"/>
    <n v="180"/>
    <n v="81.646626600000005"/>
    <n v="0.217"/>
    <n v="17.7173179722"/>
  </r>
  <r>
    <d v="2019-01-19T00:00:00"/>
    <s v="Frozen"/>
    <n v="6"/>
    <n v="6"/>
    <n v="5"/>
    <s v="POTATO TATER PUFF"/>
    <x v="110"/>
    <x v="1"/>
    <n v="180"/>
    <n v="81.646626600000005"/>
    <n v="0.217"/>
    <n v="17.7173179722"/>
  </r>
  <r>
    <d v="2019-01-21T00:00:00"/>
    <s v="Frozen"/>
    <n v="4"/>
    <n v="6"/>
    <n v="3"/>
    <s v="POTATO H/BRN IQF LOOSE SHRED"/>
    <x v="110"/>
    <x v="1"/>
    <n v="72"/>
    <n v="32.658650639999998"/>
    <n v="0.217"/>
    <n v="7.0869271888799998"/>
  </r>
  <r>
    <d v="2019-01-23T00:00:00"/>
    <s v="Frozen"/>
    <n v="3"/>
    <n v="6"/>
    <n v="6"/>
    <s v="POTATO H/BRN DICE SKIN-ON CTRY"/>
    <x v="110"/>
    <x v="1"/>
    <n v="108"/>
    <n v="48.987975960000007"/>
    <n v="0.217"/>
    <n v="10.630390783320001"/>
  </r>
  <r>
    <d v="2019-01-23T00:00:00"/>
    <s v="Frozen"/>
    <n v="10"/>
    <n v="6"/>
    <n v="5"/>
    <s v="POTATO FRY 3/8 COLSSL CRISP"/>
    <x v="110"/>
    <x v="1"/>
    <n v="300"/>
    <n v="136.07771100000002"/>
    <n v="0.217"/>
    <n v="29.528863287000004"/>
  </r>
  <r>
    <d v="2019-01-18T00:00:00"/>
    <s v="Canned and dry goods"/>
    <n v="2"/>
    <n v="6"/>
    <n v="2"/>
    <s v="QUINOA GRAIN WHT"/>
    <x v="212"/>
    <x v="1"/>
    <n v="24"/>
    <n v="10.886216880000001"/>
    <n v="0.34699999999999998"/>
    <n v="3.77751725736"/>
  </r>
  <r>
    <d v="2019-01-21T00:00:00"/>
    <s v="Canned and dry goods"/>
    <n v="2"/>
    <n v="6"/>
    <n v="2"/>
    <s v="QUINOA GRAIN WHT"/>
    <x v="212"/>
    <x v="1"/>
    <n v="24"/>
    <n v="10.886216880000001"/>
    <n v="0.34699999999999998"/>
    <n v="3.77751725736"/>
  </r>
  <r>
    <d v="2019-01-18T00:00:00"/>
    <s v="Canned and dry goods"/>
    <n v="2"/>
    <n v="1"/>
    <n v="25"/>
    <s v="RICE PARBOILED"/>
    <x v="113"/>
    <x v="1"/>
    <n v="50"/>
    <n v="22.6796185"/>
    <n v="1.5409999999999999"/>
    <n v="34.949292108499996"/>
  </r>
  <r>
    <d v="2019-01-18T00:00:00"/>
    <s v="Canned and dry goods"/>
    <n v="4"/>
    <n v="2"/>
    <n v="5"/>
    <s v="RICE JASMINE"/>
    <x v="113"/>
    <x v="1"/>
    <n v="40"/>
    <n v="18.143694800000002"/>
    <n v="1.5409999999999999"/>
    <n v="27.959433686800001"/>
  </r>
  <r>
    <d v="2019-01-18T00:00:00"/>
    <s v="Canned and dry goods"/>
    <n v="3"/>
    <n v="1"/>
    <n v="25"/>
    <s v="RICE PARBOILED BRN WHLGN LNGRN"/>
    <x v="113"/>
    <x v="1"/>
    <n v="75"/>
    <n v="34.019427750000006"/>
    <n v="1.5409999999999999"/>
    <n v="52.423938162750005"/>
  </r>
  <r>
    <d v="2019-01-18T00:00:00"/>
    <s v="Canned and dry goods"/>
    <n v="2"/>
    <n v="1"/>
    <n v="50"/>
    <s v="RICE CALROSE MED GRN SUSHI"/>
    <x v="113"/>
    <x v="1"/>
    <n v="100"/>
    <n v="45.359237"/>
    <n v="1.5409999999999999"/>
    <n v="69.898584216999993"/>
  </r>
  <r>
    <d v="2019-01-19T00:00:00"/>
    <s v="Canned and dry goods"/>
    <n v="1"/>
    <n v="1"/>
    <n v="25"/>
    <s v="RICE PARBOILED"/>
    <x v="113"/>
    <x v="1"/>
    <n v="25"/>
    <n v="11.33980925"/>
    <n v="1.5409999999999999"/>
    <n v="17.474646054249998"/>
  </r>
  <r>
    <d v="2019-01-19T00:00:00"/>
    <s v="Canned and dry goods"/>
    <n v="2"/>
    <n v="1"/>
    <n v="25"/>
    <s v="RICE PARBOILED BRN WHLGN LNGRN"/>
    <x v="113"/>
    <x v="1"/>
    <n v="50"/>
    <n v="22.6796185"/>
    <n v="1.5409999999999999"/>
    <n v="34.949292108499996"/>
  </r>
  <r>
    <d v="2019-01-21T00:00:00"/>
    <s v="Canned and dry goods"/>
    <n v="3"/>
    <n v="1"/>
    <n v="25"/>
    <s v="RICE PARBOILED"/>
    <x v="113"/>
    <x v="1"/>
    <n v="75"/>
    <n v="34.019427750000006"/>
    <n v="1.5409999999999999"/>
    <n v="52.423938162750005"/>
  </r>
  <r>
    <d v="2019-01-21T00:00:00"/>
    <s v="Canned and dry goods"/>
    <n v="2"/>
    <n v="1"/>
    <n v="25"/>
    <s v="RICE PARBOILED BRN WHLGN LNGRN"/>
    <x v="113"/>
    <x v="1"/>
    <n v="50"/>
    <n v="22.6796185"/>
    <n v="1.5409999999999999"/>
    <n v="34.949292108499996"/>
  </r>
  <r>
    <d v="2019-01-21T00:00:00"/>
    <s v="Canned and dry goods"/>
    <n v="2"/>
    <n v="2"/>
    <n v="5"/>
    <s v="RICE BASMATI"/>
    <x v="113"/>
    <x v="1"/>
    <n v="20"/>
    <n v="9.0718474000000011"/>
    <n v="1.5409999999999999"/>
    <n v="13.9797168434"/>
  </r>
  <r>
    <d v="2019-01-23T00:00:00"/>
    <s v="Canned and dry goods"/>
    <n v="2"/>
    <n v="1"/>
    <n v="25"/>
    <s v="RICE PARBOILED"/>
    <x v="113"/>
    <x v="1"/>
    <n v="50"/>
    <n v="22.6796185"/>
    <n v="1.5409999999999999"/>
    <n v="34.949292108499996"/>
  </r>
  <r>
    <d v="2019-01-23T00:00:00"/>
    <s v="Canned and dry goods"/>
    <n v="3"/>
    <n v="1"/>
    <n v="25"/>
    <s v="RICE PARBOILED BRN WHLGN LNGRN"/>
    <x v="113"/>
    <x v="1"/>
    <n v="75"/>
    <n v="34.019427750000006"/>
    <n v="1.5409999999999999"/>
    <n v="52.423938162750005"/>
  </r>
  <r>
    <d v="2019-01-23T00:00:00"/>
    <s v="Canned and dry goods"/>
    <n v="2"/>
    <n v="2"/>
    <n v="5"/>
    <s v="RICE ARBORIO"/>
    <x v="113"/>
    <x v="1"/>
    <n v="20"/>
    <n v="9.0718474000000011"/>
    <n v="1.5409999999999999"/>
    <n v="13.9797168434"/>
  </r>
  <r>
    <d v="2019-01-18T00:00:00"/>
    <s v="Seafood"/>
    <n v="15"/>
    <n v="1"/>
    <n v="10"/>
    <s v="SALMON LOIN PAC 4 OZ IQF"/>
    <x v="213"/>
    <x v="0"/>
    <n v="150"/>
    <n v="68.038855500000011"/>
    <n v="3.0209999999999999"/>
    <n v="205.54538246550004"/>
  </r>
  <r>
    <d v="2019-01-23T00:00:00"/>
    <s v="Seafood"/>
    <n v="8"/>
    <n v="1"/>
    <n v="10"/>
    <s v="SALMON LOIN PAC 4 OZ IQF"/>
    <x v="213"/>
    <x v="0"/>
    <n v="80"/>
    <n v="36.287389600000004"/>
    <n v="3.0209999999999999"/>
    <n v="109.6242039816"/>
  </r>
  <r>
    <d v="2019-01-23T00:00:00"/>
    <s v="Royal"/>
    <n v="1"/>
    <n v="1"/>
    <n v="18.16"/>
    <s v="Shallots Peeled"/>
    <x v="116"/>
    <x v="1"/>
    <n v="18.16"/>
    <n v="8.2372374392000012"/>
    <n v="0.27500000000000002"/>
    <n v="2.2652402957800004"/>
  </r>
  <r>
    <d v="2019-01-18T00:00:00"/>
    <s v="Honeysuckle Gelato"/>
    <n v="1"/>
    <n v="1"/>
    <n v="100"/>
    <s v="mango sorbet"/>
    <x v="117"/>
    <x v="1"/>
    <n v="100"/>
    <n v="45.359237"/>
    <n v="0.63900000000000001"/>
    <n v="28.984552443000002"/>
  </r>
  <r>
    <d v="2019-01-23T00:00:00"/>
    <s v="Dairy Products"/>
    <n v="3"/>
    <n v="1"/>
    <n v="21.5"/>
    <s v="MILK SOY VAN BAG"/>
    <x v="118"/>
    <x v="1"/>
    <n v="64.5"/>
    <n v="29.256707864999999"/>
    <n v="0.25800000000000001"/>
    <n v="7.5482306291699999"/>
  </r>
  <r>
    <d v="2019-01-23T00:00:00"/>
    <s v="Dairy Products"/>
    <n v="3"/>
    <n v="1"/>
    <n v="21.5"/>
    <s v="MILK SOY CHOC BAG"/>
    <x v="118"/>
    <x v="1"/>
    <n v="64.5"/>
    <n v="29.256707864999999"/>
    <n v="0.25800000000000001"/>
    <n v="7.5482306291699999"/>
  </r>
  <r>
    <d v="2019-01-18T00:00:00"/>
    <s v="Royal"/>
    <n v="2"/>
    <n v="1"/>
    <n v="20"/>
    <s v="Beans Edamame (No Shell)"/>
    <x v="172"/>
    <x v="1"/>
    <n v="40"/>
    <n v="18.143694800000002"/>
    <n v="1.1539999999999999"/>
    <n v="20.9378237992"/>
  </r>
  <r>
    <d v="2019-01-22T00:00:00"/>
    <s v="Royal"/>
    <n v="2"/>
    <n v="1"/>
    <n v="20"/>
    <s v="Beans Edamame (No Shell)"/>
    <x v="119"/>
    <x v="1"/>
    <n v="40"/>
    <n v="18.143694800000002"/>
    <n v="1.1539999999999999"/>
    <n v="20.9378237992"/>
  </r>
  <r>
    <d v="2019-01-19T00:00:00"/>
    <s v="Royal"/>
    <n v="2"/>
    <n v="1"/>
    <n v="20"/>
    <s v="Beans Edamame (No Shell)"/>
    <x v="119"/>
    <x v="1"/>
    <n v="40"/>
    <n v="18.143694800000002"/>
    <n v="1.1539999999999999"/>
    <n v="20.9378237992"/>
  </r>
  <r>
    <d v="2019-01-21T00:00:00"/>
    <s v="Dairy Products"/>
    <n v="2"/>
    <n v="1"/>
    <n v="21.5"/>
    <s v="MILK SOY VAN BAG"/>
    <x v="214"/>
    <x v="1"/>
    <n v="43"/>
    <n v="19.504471909999999"/>
    <n v="0.25800000000000001"/>
    <n v="5.0321537527800002"/>
  </r>
  <r>
    <d v="2019-01-21T00:00:00"/>
    <s v="Dairy Products"/>
    <n v="0"/>
    <n v="1"/>
    <n v="21.5"/>
    <s v="MILK SOY CHOC BAG"/>
    <x v="214"/>
    <x v="1"/>
    <n v="0"/>
    <n v="0"/>
    <n v="0.25800000000000001"/>
    <n v="0"/>
  </r>
  <r>
    <d v="2019-01-18T00:00:00"/>
    <s v="Dairy Products"/>
    <n v="1"/>
    <n v="1"/>
    <n v="21.5"/>
    <s v="MILK SOY VAN BAG"/>
    <x v="214"/>
    <x v="1"/>
    <n v="21.5"/>
    <n v="9.7522359549999997"/>
    <n v="0.25800000000000001"/>
    <n v="2.5160768763900001"/>
  </r>
  <r>
    <d v="2019-01-18T00:00:00"/>
    <s v="Dairy Products"/>
    <n v="2"/>
    <n v="1"/>
    <n v="21.5"/>
    <s v="MILK SOY CHOC BAG"/>
    <x v="214"/>
    <x v="1"/>
    <n v="43"/>
    <n v="19.504471909999999"/>
    <n v="0.25800000000000001"/>
    <n v="5.0321537527800002"/>
  </r>
  <r>
    <d v="2019-01-18T00:00:00"/>
    <s v="Canned and dry goods"/>
    <n v="3"/>
    <n v="6"/>
    <n v="0.875"/>
    <s v="SPICE CUMIN GRND"/>
    <x v="120"/>
    <x v="1"/>
    <n v="15.75"/>
    <n v="7.1440798275000006"/>
    <n v="0.87"/>
    <n v="6.2153494499250002"/>
  </r>
  <r>
    <d v="2019-01-18T00:00:00"/>
    <s v="Canned and dry goods"/>
    <n v="1"/>
    <n v="3"/>
    <n v="7.25"/>
    <s v="SPICE GARLIC GRANULATED"/>
    <x v="120"/>
    <x v="1"/>
    <n v="21.75"/>
    <n v="9.8656340475000004"/>
    <n v="0.87"/>
    <n v="8.5831016213249995"/>
  </r>
  <r>
    <d v="2019-01-18T00:00:00"/>
    <s v="Canned and dry goods"/>
    <n v="2"/>
    <n v="6"/>
    <n v="1.125"/>
    <s v="SPICE ONION GRANULATED"/>
    <x v="120"/>
    <x v="1"/>
    <n v="13.5"/>
    <n v="6.1234969950000009"/>
    <n v="0.87"/>
    <n v="5.3274423856500004"/>
  </r>
  <r>
    <d v="2019-01-18T00:00:00"/>
    <s v="Canned and dry goods"/>
    <n v="2"/>
    <n v="6"/>
    <n v="1"/>
    <s v="SPICE PAPRIKA XFCY"/>
    <x v="120"/>
    <x v="1"/>
    <n v="12"/>
    <n v="5.4431084400000005"/>
    <n v="0.87"/>
    <n v="4.7355043428000005"/>
  </r>
  <r>
    <d v="2019-01-18T00:00:00"/>
    <s v="Canned and dry goods"/>
    <n v="1"/>
    <n v="3"/>
    <n v="5"/>
    <s v="SPICE PEPPER BLK TABLE GRND"/>
    <x v="120"/>
    <x v="1"/>
    <n v="15"/>
    <n v="6.8038855500000004"/>
    <n v="0.87"/>
    <n v="5.9193804285000002"/>
  </r>
  <r>
    <d v="2019-01-18T00:00:00"/>
    <s v="Canned and dry goods"/>
    <n v="2"/>
    <n v="6"/>
    <n v="0.875"/>
    <s v="SPICE PEPPER CAYENNE GRND"/>
    <x v="120"/>
    <x v="1"/>
    <n v="10.5"/>
    <n v="4.7627198850000001"/>
    <n v="0.87"/>
    <n v="4.1435662999499998"/>
  </r>
  <r>
    <d v="2019-01-21T00:00:00"/>
    <s v="Canned and dry goods"/>
    <n v="1"/>
    <n v="3"/>
    <n v="7.25"/>
    <s v="SPICE GARLIC GRANULATED"/>
    <x v="120"/>
    <x v="1"/>
    <n v="21.75"/>
    <n v="9.8656340475000004"/>
    <n v="0.87"/>
    <n v="8.5831016213249995"/>
  </r>
  <r>
    <d v="2019-01-21T00:00:00"/>
    <s v="Canned and dry goods"/>
    <n v="2"/>
    <n v="6"/>
    <n v="1.125"/>
    <s v="SPICE ONION GRANULATED"/>
    <x v="120"/>
    <x v="1"/>
    <n v="13.5"/>
    <n v="6.1234969950000009"/>
    <n v="0.87"/>
    <n v="5.3274423856500004"/>
  </r>
  <r>
    <d v="2019-01-21T00:00:00"/>
    <s v="Canned and dry goods"/>
    <n v="1"/>
    <n v="6"/>
    <n v="1.125"/>
    <s v="SEASONING CARIBBEAN JERK"/>
    <x v="120"/>
    <x v="1"/>
    <n v="6.75"/>
    <n v="3.0617484975000004"/>
    <n v="0.87"/>
    <n v="2.6637211928250002"/>
  </r>
  <r>
    <d v="2019-01-18T00:00:00"/>
    <s v="Canned and dry goods"/>
    <n v="1"/>
    <n v="12"/>
    <n v="3"/>
    <s v="SALT KOSHER FLAKE COARSE"/>
    <x v="121"/>
    <x v="1"/>
    <n v="36"/>
    <n v="16.329325319999999"/>
    <n v="0.87"/>
    <n v="14.206513028399998"/>
  </r>
  <r>
    <d v="2019-01-23T00:00:00"/>
    <s v="Canned and dry goods"/>
    <n v="2"/>
    <n v="12"/>
    <n v="3"/>
    <s v="SALT KOSHER FLAKE COARSE"/>
    <x v="121"/>
    <x v="1"/>
    <n v="72"/>
    <n v="32.658650639999998"/>
    <n v="0.87"/>
    <n v="28.413026056799996"/>
  </r>
  <r>
    <d v="2019-01-21T00:00:00"/>
    <s v="Royal"/>
    <n v="2"/>
    <n v="1"/>
    <n v="10"/>
    <s v="Spinach Washed  Flatleaf"/>
    <x v="122"/>
    <x v="1"/>
    <n v="20"/>
    <n v="9.0718474000000011"/>
    <n v="0.307"/>
    <n v="2.7850571518000002"/>
  </r>
  <r>
    <d v="2019-01-22T00:00:00"/>
    <s v="Royal"/>
    <n v="3"/>
    <n v="1"/>
    <n v="10"/>
    <s v="Spinach Washed  Flatleaf"/>
    <x v="122"/>
    <x v="1"/>
    <n v="30"/>
    <n v="13.607771100000001"/>
    <n v="0.307"/>
    <n v="4.1775857277000004"/>
  </r>
  <r>
    <d v="2019-01-24T00:00:00"/>
    <s v="Royal"/>
    <n v="2"/>
    <n v="1"/>
    <n v="10"/>
    <s v="Spinach Washed  Flatleaf"/>
    <x v="122"/>
    <x v="1"/>
    <n v="20"/>
    <n v="9.0718474000000011"/>
    <n v="0.307"/>
    <n v="2.7850571518000002"/>
  </r>
  <r>
    <d v="2019-01-23T00:00:00"/>
    <s v="Royal"/>
    <n v="8"/>
    <n v="1"/>
    <n v="10"/>
    <s v="Spinach Washed  Flatleaf"/>
    <x v="122"/>
    <x v="1"/>
    <n v="80"/>
    <n v="36.287389600000004"/>
    <n v="0.307"/>
    <n v="11.140228607200001"/>
  </r>
  <r>
    <d v="2019-01-19T00:00:00"/>
    <s v="Royal"/>
    <n v="4"/>
    <n v="1"/>
    <n v="10"/>
    <s v="Spinach Washed  Flatleaf"/>
    <x v="122"/>
    <x v="1"/>
    <n v="40"/>
    <n v="18.143694800000002"/>
    <n v="0.307"/>
    <n v="5.5701143036000005"/>
  </r>
  <r>
    <d v="2019-01-18T00:00:00"/>
    <s v="Royal"/>
    <n v="5"/>
    <n v="1"/>
    <n v="10"/>
    <s v="Spinach Washed  Flatleaf"/>
    <x v="122"/>
    <x v="1"/>
    <n v="50"/>
    <n v="22.6796185"/>
    <n v="0.307"/>
    <n v="6.9626428794999997"/>
  </r>
  <r>
    <d v="2019-01-21T00:00:00"/>
    <s v="Royal"/>
    <n v="4"/>
    <n v="1"/>
    <n v="20"/>
    <s v="Pr Squash Bnut Dice 1&quot; LOCAL"/>
    <x v="123"/>
    <x v="1"/>
    <n v="80"/>
    <n v="36.287389600000004"/>
    <n v="1.2290000000000001"/>
    <n v="44.597201818400009"/>
  </r>
  <r>
    <d v="2019-01-21T00:00:00"/>
    <s v="Royal"/>
    <n v="3"/>
    <n v="1"/>
    <n v="33"/>
    <s v="Squash   Yellow  #2 LOCAL"/>
    <x v="123"/>
    <x v="1"/>
    <n v="99"/>
    <n v="44.905644630000005"/>
    <n v="1.2290000000000001"/>
    <n v="55.189037250270012"/>
  </r>
  <r>
    <d v="2019-01-22T00:00:00"/>
    <s v="Royal"/>
    <n v="0"/>
    <n v="1"/>
    <n v="15"/>
    <s v="Pr Butternut Squash 3/4&quot; 20-12oz"/>
    <x v="123"/>
    <x v="1"/>
    <n v="0"/>
    <n v="0"/>
    <n v="1.2290000000000001"/>
    <n v="0"/>
  </r>
  <r>
    <d v="2019-01-22T00:00:00"/>
    <s v="Royal"/>
    <n v="1"/>
    <n v="1"/>
    <n v="20"/>
    <s v="Pr Squash Bnut Dice 1&quot; LOCAL"/>
    <x v="123"/>
    <x v="1"/>
    <n v="20"/>
    <n v="9.0718474000000011"/>
    <n v="1.2290000000000001"/>
    <n v="11.149300454600002"/>
  </r>
  <r>
    <d v="2019-01-22T00:00:00"/>
    <s v="Royal"/>
    <n v="2"/>
    <n v="1"/>
    <n v="33"/>
    <s v="Squash   Yellow  #2 LOCAL"/>
    <x v="123"/>
    <x v="1"/>
    <n v="66"/>
    <n v="29.937096420000003"/>
    <n v="1.2290000000000001"/>
    <n v="36.792691500180005"/>
  </r>
  <r>
    <d v="2019-01-22T00:00:00"/>
    <s v="Royal"/>
    <n v="3"/>
    <n v="1"/>
    <n v="22"/>
    <s v="Squash   Zucchini  Medium LOCAL"/>
    <x v="123"/>
    <x v="1"/>
    <n v="66"/>
    <n v="29.937096420000003"/>
    <n v="1.2290000000000001"/>
    <n v="36.792691500180005"/>
  </r>
  <r>
    <d v="2019-01-24T00:00:00"/>
    <s v="Royal"/>
    <n v="4"/>
    <n v="1"/>
    <n v="33"/>
    <s v="Squash   Yellow  #2 LOCAL"/>
    <x v="123"/>
    <x v="1"/>
    <n v="132"/>
    <n v="59.874192840000006"/>
    <n v="1.2290000000000001"/>
    <n v="73.585383000360011"/>
  </r>
  <r>
    <d v="2019-01-24T00:00:00"/>
    <s v="Royal"/>
    <n v="4"/>
    <n v="1"/>
    <n v="22"/>
    <s v="Squash   Zucchini  Medium LOCAL"/>
    <x v="123"/>
    <x v="1"/>
    <n v="88"/>
    <n v="39.916128560000004"/>
    <n v="1.2290000000000001"/>
    <n v="49.056922000240007"/>
  </r>
  <r>
    <d v="2019-01-23T00:00:00"/>
    <s v="Royal"/>
    <n v="2"/>
    <n v="1"/>
    <n v="33"/>
    <s v="Squash   Yellow  #2 LOCAL"/>
    <x v="123"/>
    <x v="1"/>
    <n v="66"/>
    <n v="29.937096420000003"/>
    <n v="1.2290000000000001"/>
    <n v="36.792691500180005"/>
  </r>
  <r>
    <d v="2019-01-23T00:00:00"/>
    <s v="Royal"/>
    <n v="2"/>
    <n v="1"/>
    <n v="22"/>
    <s v="Squash   Zucchini  Medium LOCAL"/>
    <x v="123"/>
    <x v="1"/>
    <n v="44"/>
    <n v="19.958064280000002"/>
    <n v="1.2290000000000001"/>
    <n v="24.528461000120004"/>
  </r>
  <r>
    <d v="2019-01-18T00:00:00"/>
    <s v="Royal"/>
    <n v="4"/>
    <n v="1"/>
    <n v="20"/>
    <s v="IDP Squash Zucchini"/>
    <x v="123"/>
    <x v="1"/>
    <n v="80"/>
    <n v="36.287389600000004"/>
    <n v="1.2290000000000001"/>
    <n v="44.597201818400009"/>
  </r>
  <r>
    <d v="2019-01-18T00:00:00"/>
    <s v="Royal"/>
    <n v="4"/>
    <n v="1"/>
    <n v="20"/>
    <s v="Pr Squash Bnut Dice 1&quot; LOCAL"/>
    <x v="123"/>
    <x v="1"/>
    <n v="80"/>
    <n v="36.287389600000004"/>
    <n v="1.2290000000000001"/>
    <n v="44.597201818400009"/>
  </r>
  <r>
    <d v="2019-01-18T00:00:00"/>
    <s v="Royal"/>
    <n v="4"/>
    <n v="1"/>
    <n v="33"/>
    <s v="Squash   Yellow  #2 LOCAL"/>
    <x v="123"/>
    <x v="1"/>
    <n v="132"/>
    <n v="59.874192840000006"/>
    <n v="1.2290000000000001"/>
    <n v="73.585383000360011"/>
  </r>
  <r>
    <d v="2019-01-22T00:00:00"/>
    <s v="Royal"/>
    <n v="4"/>
    <n v="1"/>
    <n v="8"/>
    <s v="Strawberry Clamshell (DAR)"/>
    <x v="124"/>
    <x v="1"/>
    <n v="32"/>
    <n v="14.514955840000001"/>
    <n v="0.61399999999999999"/>
    <n v="8.9121828857600001"/>
  </r>
  <r>
    <d v="2019-01-24T00:00:00"/>
    <s v="Royal"/>
    <n v="3"/>
    <n v="1"/>
    <n v="8"/>
    <s v="Strawberry  Clamshell"/>
    <x v="124"/>
    <x v="1"/>
    <n v="24"/>
    <n v="10.886216880000001"/>
    <n v="0.61399999999999999"/>
    <n v="6.6841371643200009"/>
  </r>
  <r>
    <d v="2019-01-23T00:00:00"/>
    <s v="Royal"/>
    <n v="7"/>
    <n v="1"/>
    <n v="8"/>
    <s v="Strawberry Clamshell (DAR)"/>
    <x v="124"/>
    <x v="1"/>
    <n v="56"/>
    <n v="25.401172720000002"/>
    <n v="0.61399999999999999"/>
    <n v="15.596320050080001"/>
  </r>
  <r>
    <d v="2019-01-19T00:00:00"/>
    <s v="Royal"/>
    <n v="6"/>
    <n v="1"/>
    <n v="8"/>
    <s v="Strawberry Clamshell (DAR)"/>
    <x v="124"/>
    <x v="1"/>
    <n v="48"/>
    <n v="21.772433760000002"/>
    <n v="0.61399999999999999"/>
    <n v="13.368274328640002"/>
  </r>
  <r>
    <d v="2019-01-18T00:00:00"/>
    <s v="Royal"/>
    <n v="4"/>
    <n v="1"/>
    <n v="8"/>
    <s v="Strawberry Clamshell (DAR)"/>
    <x v="124"/>
    <x v="1"/>
    <n v="32"/>
    <n v="14.514955840000001"/>
    <n v="0.61399999999999999"/>
    <n v="8.9121828857600001"/>
  </r>
  <r>
    <d v="2019-01-18T00:00:00"/>
    <s v="Canned and dry goods"/>
    <n v="1"/>
    <n v="1"/>
    <n v="50"/>
    <s v="SUGAR BROWN LIGHT CANE"/>
    <x v="125"/>
    <x v="1"/>
    <n v="50"/>
    <n v="22.6796185"/>
    <n v="0.7"/>
    <n v="15.87573295"/>
  </r>
  <r>
    <d v="2019-01-18T00:00:00"/>
    <s v="Canned and dry goods"/>
    <n v="1"/>
    <n v="1"/>
    <n v="50"/>
    <s v="SUGAR GRANULATED XFN"/>
    <x v="125"/>
    <x v="1"/>
    <n v="50"/>
    <n v="22.6796185"/>
    <n v="0.7"/>
    <n v="15.87573295"/>
  </r>
  <r>
    <d v="2019-01-18T00:00:00"/>
    <s v="Canned and dry goods"/>
    <n v="1"/>
    <n v="12"/>
    <n v="2"/>
    <s v="SUGAR CONFECTIONER 10X CANE"/>
    <x v="125"/>
    <x v="1"/>
    <n v="24"/>
    <n v="10.886216880000001"/>
    <n v="0.7"/>
    <n v="7.6203518160000003"/>
  </r>
  <r>
    <d v="2019-01-21T00:00:00"/>
    <s v="Canned and dry goods"/>
    <n v="1"/>
    <n v="1"/>
    <n v="50"/>
    <s v="SUGAR GRANULATED XFN"/>
    <x v="125"/>
    <x v="1"/>
    <n v="50"/>
    <n v="22.6796185"/>
    <n v="0.7"/>
    <n v="15.87573295"/>
  </r>
  <r>
    <d v="2019-01-18T00:00:00"/>
    <s v="Canned and dry goods"/>
    <n v="2"/>
    <n v="2"/>
    <n v="5"/>
    <s v="SUNFLOWER SEED SPREAD CREAMY"/>
    <x v="215"/>
    <x v="1"/>
    <n v="20"/>
    <n v="9.0718474000000011"/>
    <n v="1.1319999999999999"/>
    <n v="10.269331256800001"/>
  </r>
  <r>
    <d v="2019-01-18T00:00:00"/>
    <s v="Canned and dry goods"/>
    <n v="8"/>
    <n v="4"/>
    <n v="7.9"/>
    <s v="OIL CANOLA"/>
    <x v="216"/>
    <x v="1"/>
    <n v="252.8"/>
    <n v="114.66815113600002"/>
    <n v="2.6459999999999999"/>
    <n v="303.41192790585603"/>
  </r>
  <r>
    <d v="2019-01-18T00:00:00"/>
    <s v="Canned and dry goods"/>
    <n v="2"/>
    <n v="3"/>
    <n v="2"/>
    <s v="SUNFLOWER KERNEL OIL RST SALT"/>
    <x v="216"/>
    <x v="1"/>
    <n v="12"/>
    <n v="5.4431084400000005"/>
    <n v="2.6459999999999999"/>
    <n v="14.402464932240001"/>
  </r>
  <r>
    <d v="2019-01-18T00:00:00"/>
    <s v="Canned and dry goods"/>
    <n v="4"/>
    <n v="1"/>
    <n v="35"/>
    <s v="OIL CANOLA PURE ZTF"/>
    <x v="216"/>
    <x v="1"/>
    <n v="140"/>
    <n v="63.502931800000006"/>
    <n v="2.6459999999999999"/>
    <n v="168.02875754280001"/>
  </r>
  <r>
    <d v="2019-01-21T00:00:00"/>
    <s v="Canned and dry goods"/>
    <n v="5"/>
    <n v="4"/>
    <n v="7.9"/>
    <s v="OIL CANOLA"/>
    <x v="216"/>
    <x v="1"/>
    <n v="158"/>
    <n v="71.667594460000004"/>
    <n v="2.6459999999999999"/>
    <n v="189.63245494116001"/>
  </r>
  <r>
    <d v="2019-01-23T00:00:00"/>
    <s v="Canned and dry goods"/>
    <n v="3"/>
    <n v="1"/>
    <n v="35"/>
    <s v="OIL CANOLA PURE ZTF"/>
    <x v="216"/>
    <x v="1"/>
    <n v="105"/>
    <n v="47.627198849999999"/>
    <n v="2.6459999999999999"/>
    <n v="126.02156815709999"/>
  </r>
  <r>
    <d v="2019-01-23T00:00:00"/>
    <s v="Canned and dry goods"/>
    <n v="5"/>
    <n v="4"/>
    <n v="7.9"/>
    <s v="OIL CANOLA"/>
    <x v="216"/>
    <x v="1"/>
    <n v="158"/>
    <n v="71.667594460000004"/>
    <n v="2.6459999999999999"/>
    <n v="189.63245494116001"/>
  </r>
  <r>
    <d v="2019-01-18T00:00:00"/>
    <s v="Frozen"/>
    <n v="2"/>
    <n v="1"/>
    <n v="30"/>
    <s v="CORN WHL KERNEL"/>
    <x v="217"/>
    <x v="1"/>
    <n v="60"/>
    <n v="27.215542200000002"/>
    <n v="0.75700000000000001"/>
    <n v="20.602165445400001"/>
  </r>
  <r>
    <d v="2019-01-22T00:00:00"/>
    <s v="Common Market"/>
    <n v="1"/>
    <n v="1"/>
    <n v="120"/>
    <s v="sweet potatoes"/>
    <x v="126"/>
    <x v="1"/>
    <n v="120"/>
    <n v="54.431084400000003"/>
    <n v="0.30199999999999999"/>
    <n v="16.438187488800001"/>
  </r>
  <r>
    <d v="2019-01-18T00:00:00"/>
    <s v="Common Market"/>
    <n v="1"/>
    <n v="1"/>
    <n v="120"/>
    <s v="sweet potatoes"/>
    <x v="126"/>
    <x v="1"/>
    <n v="120"/>
    <n v="54.431084400000003"/>
    <n v="0.30199999999999999"/>
    <n v="16.438187488800001"/>
  </r>
  <r>
    <d v="2019-01-18T00:00:00"/>
    <s v="Royal"/>
    <n v="4"/>
    <n v="1"/>
    <n v="40"/>
    <s v="Sweet potato Jumbo LOCAL"/>
    <x v="126"/>
    <x v="1"/>
    <n v="160"/>
    <n v="72.574779200000009"/>
    <n v="0.30199999999999999"/>
    <n v="21.917583318400002"/>
  </r>
  <r>
    <d v="2019-01-21T00:00:00"/>
    <s v="Frozen"/>
    <n v="4"/>
    <n v="5"/>
    <n v="3"/>
    <s v="POTATO SWEET THIN REG CUT 5/16"/>
    <x v="126"/>
    <x v="1"/>
    <n v="60"/>
    <n v="27.215542200000002"/>
    <n v="0.30199999999999999"/>
    <n v="8.2190937444000003"/>
  </r>
  <r>
    <d v="2019-01-18T00:00:00"/>
    <s v="Royal"/>
    <n v="6"/>
    <n v="1"/>
    <n v="9"/>
    <s v="Chard Red Swiss"/>
    <x v="128"/>
    <x v="1"/>
    <n v="54"/>
    <n v="24.493987980000004"/>
    <n v="0.19600000000000001"/>
    <n v="4.8008216440800009"/>
  </r>
  <r>
    <d v="2019-01-23T00:00:00"/>
    <s v="Canned and dry goods"/>
    <n v="2"/>
    <n v="4"/>
    <n v="11.01"/>
    <s v="SYRUP PANCAKE &amp;  WAFFLE"/>
    <x v="218"/>
    <x v="1"/>
    <n v="88.08"/>
    <n v="39.952415949600002"/>
    <n v="6.7539999999999996"/>
    <n v="269.83861732359838"/>
  </r>
  <r>
    <d v="2019-01-18T00:00:00"/>
    <s v="Seafood"/>
    <n v="12"/>
    <n v="1"/>
    <n v="10"/>
    <s v="TILAPIA FIL IQF 3-0.3125 RAW"/>
    <x v="219"/>
    <x v="0"/>
    <n v="120"/>
    <n v="54.431084400000003"/>
    <n v="3.0209999999999999"/>
    <n v="164.43630597239999"/>
  </r>
  <r>
    <d v="2019-01-21T00:00:00"/>
    <s v="Seafood"/>
    <n v="2"/>
    <n v="1"/>
    <n v="10"/>
    <s v="TILAPIA FIL IQF 3-0.3125 RAW"/>
    <x v="219"/>
    <x v="0"/>
    <n v="20"/>
    <n v="9.0718474000000011"/>
    <n v="3.0209999999999999"/>
    <n v="27.406050995400001"/>
  </r>
  <r>
    <d v="2019-01-23T00:00:00"/>
    <s v="Seafood"/>
    <n v="5"/>
    <n v="1"/>
    <n v="10"/>
    <s v="TILAPIA FIL IQF 3-0.3125 RAW"/>
    <x v="219"/>
    <x v="0"/>
    <n v="50"/>
    <n v="22.6796185"/>
    <n v="3.0209999999999999"/>
    <n v="68.515127488499999"/>
  </r>
  <r>
    <d v="2019-01-21T00:00:00"/>
    <s v="Royal"/>
    <n v="3"/>
    <n v="1"/>
    <n v="4.1719999999999997"/>
    <s v="Tofu Firm 5 Gal"/>
    <x v="131"/>
    <x v="1"/>
    <n v="12.515999999999998"/>
    <n v="5.6771621029199997"/>
    <n v="1.6639999999999999"/>
    <n v="9.4467977392588782"/>
  </r>
  <r>
    <d v="2019-01-24T00:00:00"/>
    <s v="Royal"/>
    <n v="2"/>
    <n v="1"/>
    <n v="4.1719999999999997"/>
    <s v="Tofu Firm 5 Gal"/>
    <x v="131"/>
    <x v="1"/>
    <n v="8.3439999999999994"/>
    <n v="3.7847747352799996"/>
    <n v="1.6639999999999999"/>
    <n v="6.2978651595059194"/>
  </r>
  <r>
    <d v="2019-01-23T00:00:00"/>
    <s v="Royal"/>
    <n v="6"/>
    <n v="1"/>
    <n v="4.1719999999999997"/>
    <s v="Tofu Firm 5 Gal"/>
    <x v="131"/>
    <x v="1"/>
    <n v="25.031999999999996"/>
    <n v="11.354324205839999"/>
    <n v="1.6639999999999999"/>
    <n v="18.893595478517756"/>
  </r>
  <r>
    <d v="2019-01-19T00:00:00"/>
    <s v="Royal"/>
    <n v="2"/>
    <n v="1"/>
    <n v="4.1719999999999997"/>
    <s v="Tofu Firm 5 Gal"/>
    <x v="131"/>
    <x v="1"/>
    <n v="8.3439999999999994"/>
    <n v="3.7847747352799996"/>
    <n v="1.6639999999999999"/>
    <n v="6.2978651595059194"/>
  </r>
  <r>
    <d v="2019-01-18T00:00:00"/>
    <s v="Royal"/>
    <n v="5"/>
    <n v="1"/>
    <n v="4.1719999999999997"/>
    <s v="Tofu Firm 5 Gal"/>
    <x v="131"/>
    <x v="1"/>
    <n v="20.86"/>
    <n v="9.4619368381999998"/>
    <n v="1.6639999999999999"/>
    <n v="15.744662898764799"/>
  </r>
  <r>
    <d v="2019-01-21T00:00:00"/>
    <s v="Royal"/>
    <n v="2"/>
    <n v="1"/>
    <n v="10"/>
    <s v="Pr Tomato Diced 1/4&quot; TY LOCAL"/>
    <x v="132"/>
    <x v="1"/>
    <n v="20"/>
    <n v="9.0718474000000011"/>
    <n v="0.47"/>
    <n v="4.2637682780000006"/>
  </r>
  <r>
    <d v="2019-01-21T00:00:00"/>
    <s v="Royal"/>
    <n v="6"/>
    <n v="1"/>
    <n v="12"/>
    <s v="Tomato   Grape Red LOCAL"/>
    <x v="132"/>
    <x v="1"/>
    <n v="72"/>
    <n v="32.658650639999998"/>
    <n v="0.47"/>
    <n v="15.349565800799999"/>
  </r>
  <r>
    <d v="2019-01-22T00:00:00"/>
    <s v="Royal"/>
    <n v="5"/>
    <n v="1"/>
    <n v="10"/>
    <s v="Tomato   Grape Red Bulk"/>
    <x v="132"/>
    <x v="1"/>
    <n v="50"/>
    <n v="22.6796185"/>
    <n v="0.47"/>
    <n v="10.659420695"/>
  </r>
  <r>
    <d v="2019-01-24T00:00:00"/>
    <s v="Royal"/>
    <n v="1"/>
    <n v="1"/>
    <n v="10"/>
    <s v="Pr Tomato Diced 1/4&quot; TY LOCAL"/>
    <x v="132"/>
    <x v="1"/>
    <n v="10"/>
    <n v="4.5359237000000006"/>
    <n v="0.47"/>
    <n v="2.1318841390000003"/>
  </r>
  <r>
    <d v="2019-01-24T00:00:00"/>
    <s v="Royal"/>
    <n v="1"/>
    <n v="1"/>
    <n v="20"/>
    <s v="Tomato"/>
    <x v="132"/>
    <x v="1"/>
    <n v="20"/>
    <n v="9.0718474000000011"/>
    <n v="0.47"/>
    <n v="4.2637682780000006"/>
  </r>
  <r>
    <d v="2019-01-24T00:00:00"/>
    <s v="Royal"/>
    <n v="4"/>
    <n v="1"/>
    <n v="10"/>
    <s v="Tomato   Grape Red Bulk"/>
    <x v="132"/>
    <x v="1"/>
    <n v="40"/>
    <n v="18.143694800000002"/>
    <n v="0.47"/>
    <n v="8.5275365560000012"/>
  </r>
  <r>
    <d v="2019-01-23T00:00:00"/>
    <s v="Royal"/>
    <n v="2"/>
    <n v="1"/>
    <n v="10"/>
    <s v="Pr Tomato Diced 1/4&quot; TY LOCAL"/>
    <x v="132"/>
    <x v="1"/>
    <n v="20"/>
    <n v="9.0718474000000011"/>
    <n v="0.47"/>
    <n v="4.2637682780000006"/>
  </r>
  <r>
    <d v="2019-01-23T00:00:00"/>
    <s v="Royal"/>
    <n v="2"/>
    <n v="1"/>
    <n v="20"/>
    <s v="Tomato"/>
    <x v="132"/>
    <x v="1"/>
    <n v="40"/>
    <n v="18.143694800000002"/>
    <n v="0.47"/>
    <n v="8.5275365560000012"/>
  </r>
  <r>
    <d v="2019-01-23T00:00:00"/>
    <s v="Royal"/>
    <n v="8"/>
    <n v="1"/>
    <n v="10"/>
    <s v="Tomato   Grape Red Bulk"/>
    <x v="132"/>
    <x v="1"/>
    <n v="80"/>
    <n v="36.287389600000004"/>
    <n v="0.47"/>
    <n v="17.055073112000002"/>
  </r>
  <r>
    <d v="2019-01-19T00:00:00"/>
    <s v="Royal"/>
    <n v="3"/>
    <n v="1"/>
    <n v="10"/>
    <s v="Pr Tomato Diced 1/4&quot; TY LOCAL"/>
    <x v="132"/>
    <x v="1"/>
    <n v="30"/>
    <n v="13.607771100000001"/>
    <n v="0.47"/>
    <n v="6.395652417"/>
  </r>
  <r>
    <d v="2019-01-19T00:00:00"/>
    <s v="Royal"/>
    <n v="6"/>
    <n v="1"/>
    <n v="10"/>
    <s v="Tomato   Grape Red Bulk"/>
    <x v="132"/>
    <x v="1"/>
    <n v="60"/>
    <n v="27.215542200000002"/>
    <n v="0.47"/>
    <n v="12.791304834"/>
  </r>
  <r>
    <d v="2019-01-18T00:00:00"/>
    <s v="Royal"/>
    <n v="2"/>
    <n v="1"/>
    <n v="10"/>
    <s v="Pr Tomato Diced 1/4&quot; TY LOCAL"/>
    <x v="132"/>
    <x v="1"/>
    <n v="20"/>
    <n v="9.0718474000000011"/>
    <n v="0.47"/>
    <n v="4.2637682780000006"/>
  </r>
  <r>
    <d v="2019-01-18T00:00:00"/>
    <s v="Royal"/>
    <n v="10"/>
    <n v="1"/>
    <n v="10"/>
    <s v="Tomato   Grape Red Bulk"/>
    <x v="132"/>
    <x v="1"/>
    <n v="100"/>
    <n v="45.359237"/>
    <n v="0.47"/>
    <n v="21.318841389999999"/>
  </r>
  <r>
    <d v="2019-01-18T00:00:00"/>
    <s v="Canned and dry goods"/>
    <n v="5"/>
    <n v="6"/>
    <n v="10"/>
    <s v="TOMATO CRUSHED ALL PURP FCY CA"/>
    <x v="132"/>
    <x v="1"/>
    <n v="300"/>
    <n v="136.07771100000002"/>
    <n v="0.47"/>
    <n v="63.956524170000009"/>
  </r>
  <r>
    <d v="2019-01-18T00:00:00"/>
    <s v="Canned and dry goods"/>
    <n v="2"/>
    <n v="6"/>
    <n v="10"/>
    <s v="TOMATO GRND PLD IN PUREE"/>
    <x v="132"/>
    <x v="1"/>
    <n v="120"/>
    <n v="54.431084400000003"/>
    <n v="0.47"/>
    <n v="25.582609668"/>
  </r>
  <r>
    <d v="2019-01-18T00:00:00"/>
    <s v="Canned and dry goods"/>
    <n v="2"/>
    <n v="6"/>
    <n v="10"/>
    <s v="TOMATO CRUSHED ALL PURP FCY CA"/>
    <x v="132"/>
    <x v="1"/>
    <n v="120"/>
    <n v="54.431084400000003"/>
    <n v="0.47"/>
    <n v="25.582609668"/>
  </r>
  <r>
    <d v="2019-01-18T00:00:00"/>
    <s v="Canned and dry goods"/>
    <n v="3"/>
    <n v="6"/>
    <n v="10"/>
    <s v="TOMATO GRND PLD IN PUREE"/>
    <x v="132"/>
    <x v="1"/>
    <n v="180"/>
    <n v="81.646626600000005"/>
    <n v="0.47"/>
    <n v="38.373914501999998"/>
  </r>
  <r>
    <d v="2019-01-21T00:00:00"/>
    <s v="Canned and dry goods"/>
    <n v="1"/>
    <n v="6"/>
    <n v="10"/>
    <s v="TOMATO DICED IN JCE NO SALT CA"/>
    <x v="132"/>
    <x v="1"/>
    <n v="60"/>
    <n v="27.215542200000002"/>
    <n v="0.47"/>
    <n v="12.791304834"/>
  </r>
  <r>
    <d v="2019-01-21T00:00:00"/>
    <s v="Canned and dry goods"/>
    <n v="3"/>
    <n v="6"/>
    <n v="10"/>
    <s v="TOMATO CRUSHED ALL PURP FCY CA"/>
    <x v="132"/>
    <x v="1"/>
    <n v="180"/>
    <n v="81.646626600000005"/>
    <n v="0.47"/>
    <n v="38.373914501999998"/>
  </r>
  <r>
    <d v="2019-01-21T00:00:00"/>
    <s v="Canned and dry goods"/>
    <n v="2"/>
    <n v="6"/>
    <n v="10"/>
    <s v="TOMATO GRND PLD IN PUREE"/>
    <x v="132"/>
    <x v="1"/>
    <n v="120"/>
    <n v="54.431084400000003"/>
    <n v="0.47"/>
    <n v="25.582609668"/>
  </r>
  <r>
    <d v="2019-01-23T00:00:00"/>
    <s v="Canned and dry goods"/>
    <n v="4"/>
    <n v="6"/>
    <n v="10"/>
    <s v="TOMATO CRUSHED ALL PURP FCY CA"/>
    <x v="132"/>
    <x v="1"/>
    <n v="240"/>
    <n v="108.86216880000001"/>
    <n v="0.47"/>
    <n v="51.165219336"/>
  </r>
  <r>
    <d v="2019-01-23T00:00:00"/>
    <s v="Canned and dry goods"/>
    <n v="1"/>
    <n v="6"/>
    <n v="10"/>
    <s v="TOMATO PASTE FANCY CA"/>
    <x v="132"/>
    <x v="1"/>
    <n v="60"/>
    <n v="27.215542200000002"/>
    <n v="0.47"/>
    <n v="12.791304834"/>
  </r>
  <r>
    <d v="2019-01-18T00:00:00"/>
    <s v="Frozen"/>
    <n v="1"/>
    <n v="24"/>
    <n v="7.9366439999999994"/>
    <s v="TORTILLA FLOUR PRESSED 6 IN"/>
    <x v="220"/>
    <x v="1"/>
    <n v="190.47945599999997"/>
    <n v="86.400027883350702"/>
    <n v="1.28"/>
    <n v="110.5920356906889"/>
  </r>
  <r>
    <d v="2019-01-21T00:00:00"/>
    <s v="Frozen"/>
    <n v="1"/>
    <n v="12"/>
    <n v="39.683219999999999"/>
    <s v="TORTILLA CORN WHT 6 IN"/>
    <x v="134"/>
    <x v="1"/>
    <n v="476.19863999999995"/>
    <n v="216.00006970837677"/>
    <n v="1.28"/>
    <n v="276.48008922672227"/>
  </r>
  <r>
    <d v="2019-01-21T00:00:00"/>
    <s v="Frozen"/>
    <n v="1"/>
    <n v="24"/>
    <n v="0.79366439999999994"/>
    <s v="TORTILLA FLOUR PRESSED 6 IN"/>
    <x v="135"/>
    <x v="1"/>
    <n v="19.047945599999998"/>
    <n v="8.6400027883350727"/>
    <n v="1.28"/>
    <n v="11.059203569068893"/>
  </r>
  <r>
    <d v="2019-01-24T00:00:00"/>
    <s v="Inland Seafood"/>
    <n v="1"/>
    <n v="1"/>
    <n v="60"/>
    <s v="rainbow trout (farmed)"/>
    <x v="221"/>
    <x v="0"/>
    <n v="60"/>
    <n v="27.215542200000002"/>
    <n v="5.7169999999999996"/>
    <n v="155.59125475740001"/>
  </r>
  <r>
    <d v="2019-01-21T00:00:00"/>
    <s v="Canned and dry goods"/>
    <n v="2"/>
    <n v="6"/>
    <n v="4.15625"/>
    <s v="TUNA CHUNK SKIP JACK FAD FREE"/>
    <x v="136"/>
    <x v="0"/>
    <n v="49.875"/>
    <n v="22.622919453750001"/>
    <n v="2.1480000000000001"/>
    <n v="48.594030986655007"/>
  </r>
  <r>
    <d v="2019-01-19T00:00:00"/>
    <s v="Meats"/>
    <n v="2"/>
    <n v="1"/>
    <n v="11"/>
    <s v="SAUSAGE SMKD PK/TRKY/BF ROPE"/>
    <x v="137"/>
    <x v="0"/>
    <n v="22"/>
    <n v="9.979032140000001"/>
    <n v="2.5710000000000002"/>
    <n v="25.656091631940004"/>
  </r>
  <r>
    <d v="2019-01-18T00:00:00"/>
    <s v="Poultry"/>
    <n v="6"/>
    <n v="160"/>
    <n v="1"/>
    <s v="TURKEY SAUSAGE LINK RAW"/>
    <x v="137"/>
    <x v="0"/>
    <n v="960"/>
    <n v="435.44867520000003"/>
    <n v="2.5710000000000002"/>
    <n v="1119.5385439392001"/>
  </r>
  <r>
    <d v="2019-01-18T00:00:00"/>
    <s v="Poultry"/>
    <n v="5"/>
    <n v="2"/>
    <n v="6"/>
    <s v="BACON TURKEY LAYFLT"/>
    <x v="137"/>
    <x v="0"/>
    <n v="60"/>
    <n v="27.215542200000002"/>
    <n v="2.5710000000000002"/>
    <n v="69.971158996200003"/>
  </r>
  <r>
    <d v="2019-01-23T00:00:00"/>
    <s v="Poultry"/>
    <n v="3"/>
    <n v="2"/>
    <n v="6"/>
    <s v="BACON TURKEY LAYFLT"/>
    <x v="137"/>
    <x v="0"/>
    <n v="36"/>
    <n v="16.329325319999999"/>
    <n v="2.5710000000000002"/>
    <n v="41.982695397720001"/>
  </r>
  <r>
    <d v="2019-01-18T00:00:00"/>
    <s v="Canned and dry goods"/>
    <n v="1"/>
    <n v="2"/>
    <n v="11.023099999999999"/>
    <s v="VINEGAR BLSMIC AGED ITALY  PL"/>
    <x v="138"/>
    <x v="1"/>
    <n v="22.046199999999999"/>
    <n v="9.9999881074940014"/>
    <n v="0.34"/>
    <n v="3.3999959565479605"/>
  </r>
  <r>
    <d v="2019-01-21T00:00:00"/>
    <s v="Canned and dry goods"/>
    <n v="1"/>
    <n v="4"/>
    <n v="8.41"/>
    <s v="VINEGAR WINE RED PLS"/>
    <x v="138"/>
    <x v="1"/>
    <n v="33.64"/>
    <n v="15.258847326800002"/>
    <n v="0.34"/>
    <n v="5.1880080911120006"/>
  </r>
  <r>
    <d v="2019-01-18T00:00:00"/>
    <s v="Canned and dry goods"/>
    <n v="2"/>
    <n v="1"/>
    <n v="10"/>
    <s v="COUSCOUS INTL"/>
    <x v="139"/>
    <x v="1"/>
    <n v="20"/>
    <n v="9.0718474000000011"/>
    <n v="0.34699999999999998"/>
    <n v="3.1479310478000002"/>
  </r>
  <r>
    <d v="2019-01-21T00:00:00"/>
    <s v="Canned and dry goods"/>
    <n v="1"/>
    <n v="6"/>
    <n v="1.5"/>
    <s v="COUSCOUS INTL ISRAELI"/>
    <x v="139"/>
    <x v="1"/>
    <n v="9"/>
    <n v="4.0823313299999997"/>
    <n v="0.34699999999999998"/>
    <n v="1.4165689715099998"/>
  </r>
  <r>
    <d v="2019-01-21T00:00:00"/>
    <s v="Canned and dry goods"/>
    <n v="2"/>
    <n v="1"/>
    <n v="10"/>
    <s v="COUSCOUS INTL"/>
    <x v="139"/>
    <x v="1"/>
    <n v="20"/>
    <n v="9.0718474000000011"/>
    <n v="0.34699999999999998"/>
    <n v="3.1479310478000002"/>
  </r>
  <r>
    <d v="2019-01-21T00:00:00"/>
    <s v="Canned and dry goods"/>
    <n v="3"/>
    <n v="6"/>
    <n v="2"/>
    <s v="GRAIN SPECIALTY BULGUR WHEAT"/>
    <x v="139"/>
    <x v="1"/>
    <n v="36"/>
    <n v="16.329325319999999"/>
    <n v="0.34699999999999998"/>
    <n v="5.6662758860399993"/>
  </r>
  <r>
    <d v="2019-01-18T00:00:00"/>
    <s v="Mayfield Dairy"/>
    <n v="12"/>
    <n v="1"/>
    <n v="1.06"/>
    <s v="hvy whip cream"/>
    <x v="222"/>
    <x v="2"/>
    <n v="12.72"/>
    <n v="5.7696949464000014"/>
    <n v="5.32"/>
    <n v="30.694777114848009"/>
  </r>
  <r>
    <d v="2019-01-21T00:00:00"/>
    <s v="Canned and dry goods"/>
    <n v="1"/>
    <n v="4"/>
    <n v="8.41"/>
    <s v="WINE COOKING SAUTERNE"/>
    <x v="140"/>
    <x v="1"/>
    <n v="33.64"/>
    <n v="15.258847326800002"/>
    <n v="0.78"/>
    <n v="11.901900914904001"/>
  </r>
  <r>
    <d v="2019-01-18T00:00:00"/>
    <s v="Dairy Products"/>
    <n v="5"/>
    <n v="2"/>
    <n v="6"/>
    <s v="YOGURT PLAIN GREEK BAG OIKOS"/>
    <x v="143"/>
    <x v="2"/>
    <n v="60"/>
    <n v="27.215542200000002"/>
    <n v="1.33"/>
    <n v="36.196671126000005"/>
  </r>
  <r>
    <d v="2019-01-18T00:00:00"/>
    <s v="Dairy Products"/>
    <n v="5"/>
    <n v="2"/>
    <n v="6"/>
    <s v="YOGURT VANILLA GRK BAG OIKOS"/>
    <x v="143"/>
    <x v="2"/>
    <n v="60"/>
    <n v="27.215542200000002"/>
    <n v="1.33"/>
    <n v="36.196671126000005"/>
  </r>
  <r>
    <d v="2019-01-21T00:00:00"/>
    <s v="Dairy Products"/>
    <n v="5"/>
    <n v="2"/>
    <n v="6"/>
    <s v="YOGURT PLAIN GREEK BAG OIKOS"/>
    <x v="143"/>
    <x v="2"/>
    <n v="60"/>
    <n v="27.215542200000002"/>
    <n v="1.33"/>
    <n v="36.196671126000005"/>
  </r>
  <r>
    <d v="2019-01-21T00:00:00"/>
    <s v="Dairy Products"/>
    <n v="5"/>
    <n v="2"/>
    <n v="6"/>
    <s v="YOGURT VANILLA GRK BAG OIKOS"/>
    <x v="143"/>
    <x v="2"/>
    <n v="60"/>
    <n v="27.215542200000002"/>
    <n v="1.33"/>
    <n v="36.196671126000005"/>
  </r>
  <r>
    <d v="2019-01-23T00:00:00"/>
    <s v="Dairy Products"/>
    <n v="4"/>
    <n v="2"/>
    <n v="6"/>
    <s v="YOGURT PLAIN GREEK BAG OIKOS"/>
    <x v="143"/>
    <x v="2"/>
    <n v="48"/>
    <n v="21.772433760000002"/>
    <n v="1.33"/>
    <n v="28.957336900800005"/>
  </r>
  <r>
    <d v="2019-01-23T00:00:00"/>
    <s v="Dairy Products"/>
    <n v="2"/>
    <n v="2"/>
    <n v="6"/>
    <s v="YOGURT VANILLA GRK BAG OIKOS"/>
    <x v="143"/>
    <x v="2"/>
    <n v="24"/>
    <n v="10.886216880000001"/>
    <n v="1.33"/>
    <n v="14.478668450400002"/>
  </r>
  <r>
    <d v="2019-02-01T00:00:00"/>
    <s v="Meats"/>
    <n v="2"/>
    <n v="2"/>
    <n v="5"/>
    <s v="PEPPERONI SLI CHRPRF 15-17 CT"/>
    <x v="0"/>
    <x v="0"/>
    <n v="20"/>
    <n v="9.0718474000000011"/>
    <n v="19.202999999999999"/>
    <n v="174.20668562220001"/>
  </r>
  <r>
    <d v="2019-02-04T00:00:00"/>
    <s v="Meats"/>
    <n v="1"/>
    <n v="2"/>
    <n v="5"/>
    <s v="PEPPERONI SLI CHRPRF 15-17 CT"/>
    <x v="0"/>
    <x v="0"/>
    <n v="10"/>
    <n v="4.5359237000000006"/>
    <n v="19.202999999999999"/>
    <n v="87.103342811100006"/>
  </r>
  <r>
    <d v="2019-02-01T00:00:00"/>
    <s v="Common Market"/>
    <n v="1"/>
    <n v="1"/>
    <n v="103.5"/>
    <s v="pink lady apples"/>
    <x v="1"/>
    <x v="1"/>
    <n v="103.5"/>
    <n v="46.946810295000006"/>
    <n v="0.22800000000000001"/>
    <n v="10.703872747260002"/>
  </r>
  <r>
    <d v="2019-02-01T00:00:00"/>
    <s v="Common Market"/>
    <n v="1"/>
    <n v="1"/>
    <n v="120"/>
    <s v="golden delicious apples"/>
    <x v="1"/>
    <x v="1"/>
    <n v="120"/>
    <n v="54.431084400000003"/>
    <n v="0.22800000000000001"/>
    <n v="12.410287243200001"/>
  </r>
  <r>
    <d v="2019-02-05T00:00:00"/>
    <s v="Common Market"/>
    <n v="1"/>
    <n v="1"/>
    <n v="103.5"/>
    <s v="pink lady apples"/>
    <x v="1"/>
    <x v="1"/>
    <n v="103.5"/>
    <n v="46.946810295000006"/>
    <n v="0.22800000000000001"/>
    <n v="10.703872747260002"/>
  </r>
  <r>
    <d v="2019-02-05T00:00:00"/>
    <s v="Common Market"/>
    <n v="1"/>
    <n v="1"/>
    <n v="120"/>
    <s v="golden delicious apples"/>
    <x v="1"/>
    <x v="1"/>
    <n v="120"/>
    <n v="54.431084400000003"/>
    <n v="0.22800000000000001"/>
    <n v="12.410287243200001"/>
  </r>
  <r>
    <d v="2019-02-04T00:00:00"/>
    <s v="Royal"/>
    <n v="1"/>
    <n v="1"/>
    <n v="41.666666666666664"/>
    <s v="Apple   Fuji 125/138ct"/>
    <x v="1"/>
    <x v="1"/>
    <n v="41.666666666666664"/>
    <n v="18.899682083333335"/>
    <n v="0.22800000000000001"/>
    <n v="4.309127515000001"/>
  </r>
  <r>
    <d v="2019-02-01T00:00:00"/>
    <s v="Canned and dry goods"/>
    <n v="1"/>
    <n v="6"/>
    <n v="6.6138700000000004"/>
    <s v="ARTICHOKE HEART QTR 100-140"/>
    <x v="223"/>
    <x v="1"/>
    <n v="39.683220000000006"/>
    <n v="18.000005809031403"/>
    <n v="0.84599999999999997"/>
    <n v="15.228004914440566"/>
  </r>
  <r>
    <d v="2019-02-01T00:00:00"/>
    <s v="Royal"/>
    <n v="8"/>
    <n v="1"/>
    <n v="11"/>
    <s v="Asparagus   Standard"/>
    <x v="6"/>
    <x v="1"/>
    <n v="88"/>
    <n v="39.916128560000004"/>
    <n v="2.1709999999999998"/>
    <n v="86.657915103760004"/>
  </r>
  <r>
    <d v="2019-02-01T00:00:00"/>
    <s v="Frozen"/>
    <n v="5"/>
    <n v="4"/>
    <n v="6"/>
    <s v="BANANA PLANTAIN FRZN SWEET SLI"/>
    <x v="7"/>
    <x v="1"/>
    <n v="120"/>
    <n v="54.431084400000003"/>
    <n v="0.374"/>
    <n v="20.3572255656"/>
  </r>
  <r>
    <d v="2019-02-07T00:00:00"/>
    <s v="Royal"/>
    <n v="3"/>
    <n v="1"/>
    <n v="40"/>
    <s v="Bananas #4 Color"/>
    <x v="8"/>
    <x v="1"/>
    <n v="120"/>
    <n v="54.431084400000003"/>
    <n v="0.374"/>
    <n v="20.3572255656"/>
  </r>
  <r>
    <d v="2019-02-06T00:00:00"/>
    <s v="Royal"/>
    <n v="4"/>
    <n v="1"/>
    <n v="40"/>
    <s v="Bananas #4 Color"/>
    <x v="8"/>
    <x v="1"/>
    <n v="160"/>
    <n v="72.574779200000009"/>
    <n v="0.374"/>
    <n v="27.142967420800002"/>
  </r>
  <r>
    <d v="2019-02-05T00:00:00"/>
    <s v="Royal"/>
    <n v="2"/>
    <n v="1"/>
    <n v="40"/>
    <s v="Bananas #4 Color"/>
    <x v="8"/>
    <x v="1"/>
    <n v="80"/>
    <n v="36.287389600000004"/>
    <n v="0.374"/>
    <n v="13.571483710400001"/>
  </r>
  <r>
    <d v="2019-02-04T00:00:00"/>
    <s v="Royal"/>
    <n v="5"/>
    <n v="1"/>
    <n v="40"/>
    <s v="Bananas #4 Color"/>
    <x v="8"/>
    <x v="1"/>
    <n v="200"/>
    <n v="90.718474000000001"/>
    <n v="0.374"/>
    <n v="33.928709275999999"/>
  </r>
  <r>
    <d v="2019-02-02T00:00:00"/>
    <s v="Royal"/>
    <n v="6"/>
    <n v="1"/>
    <n v="40"/>
    <s v="Bananas #4 Color"/>
    <x v="8"/>
    <x v="1"/>
    <n v="240"/>
    <n v="108.86216880000001"/>
    <n v="0.374"/>
    <n v="40.714451131200001"/>
  </r>
  <r>
    <d v="2019-02-01T00:00:00"/>
    <s v="Royal"/>
    <n v="8"/>
    <n v="1"/>
    <n v="40"/>
    <s v="Bananas #4 Color"/>
    <x v="8"/>
    <x v="1"/>
    <n v="320"/>
    <n v="145.14955840000002"/>
    <n v="0.374"/>
    <n v="54.285934841600003"/>
  </r>
  <r>
    <d v="2019-02-02T00:00:00"/>
    <s v="Royal"/>
    <n v="6"/>
    <n v="1"/>
    <n v="40"/>
    <s v="bananas #4 Color"/>
    <x v="8"/>
    <x v="1"/>
    <n v="240"/>
    <n v="108.86216880000001"/>
    <n v="0.374"/>
    <n v="40.714451131200001"/>
  </r>
  <r>
    <d v="2019-02-01T00:00:00"/>
    <s v="Canned and dry goods"/>
    <n v="2"/>
    <n v="6"/>
    <n v="10"/>
    <s v="BEAN BLACK LOW SODIUM"/>
    <x v="10"/>
    <x v="1"/>
    <n v="120"/>
    <n v="54.431084400000003"/>
    <n v="0.308"/>
    <n v="16.764773995200002"/>
  </r>
  <r>
    <d v="2019-02-04T00:00:00"/>
    <s v="Canned and dry goods"/>
    <n v="2"/>
    <n v="6"/>
    <n v="10"/>
    <s v="BEAN BLACK LOW SODIUM"/>
    <x v="10"/>
    <x v="1"/>
    <n v="120"/>
    <n v="54.431084400000003"/>
    <n v="0.308"/>
    <n v="16.764773995200002"/>
  </r>
  <r>
    <d v="2019-02-01T00:00:00"/>
    <s v="Canned and dry goods"/>
    <n v="2"/>
    <n v="1"/>
    <n v="20"/>
    <s v="BEAN GREAT NORTHERN DRIED"/>
    <x v="13"/>
    <x v="1"/>
    <n v="40"/>
    <n v="18.143694800000002"/>
    <n v="0.308"/>
    <n v="5.5882579984000005"/>
  </r>
  <r>
    <d v="2019-02-01T00:00:00"/>
    <s v="Canned and dry goods"/>
    <n v="1"/>
    <n v="1"/>
    <n v="20"/>
    <s v="BEAN KIDNEY LIGHT RED DRIED"/>
    <x v="14"/>
    <x v="1"/>
    <n v="20"/>
    <n v="9.0718474000000011"/>
    <n v="0.308"/>
    <n v="2.7941289992000002"/>
  </r>
  <r>
    <d v="2019-02-01T00:00:00"/>
    <s v="Canned and dry goods"/>
    <n v="1"/>
    <n v="6"/>
    <n v="10"/>
    <s v="BEAN KIDNEY LIGHT RED"/>
    <x v="14"/>
    <x v="1"/>
    <n v="60"/>
    <n v="27.215542200000002"/>
    <n v="0.308"/>
    <n v="8.3823869976000012"/>
  </r>
  <r>
    <d v="2019-02-04T00:00:00"/>
    <s v="Canned and dry goods"/>
    <n v="2"/>
    <n v="6"/>
    <n v="10"/>
    <s v="BEAN KIDNEY LIGHT RED"/>
    <x v="14"/>
    <x v="1"/>
    <n v="120"/>
    <n v="54.431084400000003"/>
    <n v="0.308"/>
    <n v="16.764773995200002"/>
  </r>
  <r>
    <d v="2019-02-06T00:00:00"/>
    <s v="Royal"/>
    <n v="3"/>
    <n v="1"/>
    <n v="10"/>
    <s v="Sugar Snap peas"/>
    <x v="16"/>
    <x v="1"/>
    <n v="30"/>
    <n v="13.607771100000001"/>
    <n v="0.66200000000000003"/>
    <n v="9.0083444682000007"/>
  </r>
  <r>
    <d v="2019-02-04T00:00:00"/>
    <s v="Royal"/>
    <n v="3"/>
    <n v="1"/>
    <n v="10"/>
    <s v="Sugar Snap peas"/>
    <x v="16"/>
    <x v="1"/>
    <n v="30"/>
    <n v="13.607771100000001"/>
    <n v="0.66200000000000003"/>
    <n v="9.0083444682000007"/>
  </r>
  <r>
    <d v="2019-02-01T00:00:00"/>
    <s v="Royal"/>
    <n v="4"/>
    <n v="1"/>
    <n v="10"/>
    <s v="Sugar Snap Pea Stringless"/>
    <x v="16"/>
    <x v="1"/>
    <n v="40"/>
    <n v="18.143694800000002"/>
    <n v="0.66200000000000003"/>
    <n v="12.011125957600003"/>
  </r>
  <r>
    <d v="2019-02-01T00:00:00"/>
    <s v="Canned and dry goods"/>
    <n v="1"/>
    <n v="1"/>
    <n v="20"/>
    <s v="BEAN BLACK TURTLE DRIED WASH"/>
    <x v="185"/>
    <x v="1"/>
    <n v="20"/>
    <n v="9.0718474000000011"/>
    <n v="0.308"/>
    <n v="2.7941289992000002"/>
  </r>
  <r>
    <d v="2019-02-07T00:00:00"/>
    <s v="Royal"/>
    <n v="3"/>
    <n v="1"/>
    <n v="10"/>
    <s v="Beans Green Tip LOCAL"/>
    <x v="145"/>
    <x v="1"/>
    <n v="30"/>
    <n v="13.607771100000001"/>
    <n v="0.66200000000000003"/>
    <n v="9.0083444682000007"/>
  </r>
  <r>
    <d v="2019-02-05T00:00:00"/>
    <s v="Royal"/>
    <n v="3"/>
    <n v="1"/>
    <n v="10"/>
    <s v="Beans Green Tip LOCAL"/>
    <x v="145"/>
    <x v="1"/>
    <n v="30"/>
    <n v="13.607771100000001"/>
    <n v="0.66200000000000003"/>
    <n v="9.0083444682000007"/>
  </r>
  <r>
    <d v="2019-02-01T00:00:00"/>
    <s v="Royal"/>
    <n v="6"/>
    <n v="1"/>
    <n v="10"/>
    <s v="Beans Green Tip LOCAL"/>
    <x v="145"/>
    <x v="1"/>
    <n v="60"/>
    <n v="27.215542200000002"/>
    <n v="0.66200000000000003"/>
    <n v="18.016688936400001"/>
  </r>
  <r>
    <d v="2019-02-01T00:00:00"/>
    <s v="Northside Deli Provisions (Boar's Head)"/>
    <n v="1"/>
    <n v="1"/>
    <n v="41.66"/>
    <s v="corned beef natural"/>
    <x v="17"/>
    <x v="0"/>
    <n v="41.66"/>
    <n v="18.896658134199999"/>
    <n v="32.845999999999997"/>
    <n v="620.67963307593311"/>
  </r>
  <r>
    <d v="2019-02-01T00:00:00"/>
    <s v="White Oak Pastures"/>
    <n v="1"/>
    <n v="1"/>
    <n v="300"/>
    <s v="beef patties"/>
    <x v="17"/>
    <x v="0"/>
    <n v="300"/>
    <n v="136.07771100000002"/>
    <n v="32.845999999999997"/>
    <n v="4469.6084955060005"/>
  </r>
  <r>
    <d v="2019-02-01T00:00:00"/>
    <s v="White Oak Pastures"/>
    <n v="1"/>
    <n v="1"/>
    <n v="100"/>
    <s v="beef ground"/>
    <x v="17"/>
    <x v="0"/>
    <n v="100"/>
    <n v="45.359237"/>
    <n v="32.845999999999997"/>
    <n v="1489.8694985019999"/>
  </r>
  <r>
    <d v="2019-02-01T00:00:00"/>
    <s v="Meats"/>
    <n v="10"/>
    <n v="1"/>
    <n v="10"/>
    <s v="FRANK BEEF 8X1 F/C"/>
    <x v="17"/>
    <x v="0"/>
    <n v="100"/>
    <n v="45.359237"/>
    <n v="32.845999999999997"/>
    <n v="1489.8694985019999"/>
  </r>
  <r>
    <d v="2019-02-01T00:00:00"/>
    <s v="Meats"/>
    <n v="1"/>
    <n v="1"/>
    <n v="212.13"/>
    <s v="BEEF EYE OF RND HALAL IAP"/>
    <x v="17"/>
    <x v="0"/>
    <n v="212.13"/>
    <n v="96.220549448100002"/>
    <n v="32.845999999999997"/>
    <n v="3160.4601671722921"/>
  </r>
  <r>
    <d v="2019-02-04T00:00:00"/>
    <s v="Meats"/>
    <n v="4"/>
    <n v="1"/>
    <n v="10"/>
    <s v="FRANK BEEF 8X1 F/C"/>
    <x v="17"/>
    <x v="0"/>
    <n v="40"/>
    <n v="18.143694800000002"/>
    <n v="32.845999999999997"/>
    <n v="595.94779940080002"/>
  </r>
  <r>
    <d v="2019-02-04T00:00:00"/>
    <s v="Meats"/>
    <n v="2"/>
    <n v="1"/>
    <n v="142.62"/>
    <s v="BEEF EYE OF RND HALAL IAP"/>
    <x v="17"/>
    <x v="0"/>
    <n v="285.24"/>
    <n v="129.38268761879999"/>
    <n v="32.845999999999997"/>
    <n v="4249.7037575271042"/>
  </r>
  <r>
    <d v="2019-02-05T00:00:00"/>
    <s v="Royal"/>
    <n v="1"/>
    <n v="1"/>
    <n v="25"/>
    <s v="Beets Red"/>
    <x v="160"/>
    <x v="1"/>
    <n v="25"/>
    <n v="11.33980925"/>
    <n v="0.19400000000000001"/>
    <n v="2.1999229945000001"/>
  </r>
  <r>
    <d v="2019-02-01T00:00:00"/>
    <s v="Royal"/>
    <n v="1"/>
    <n v="1"/>
    <n v="25"/>
    <s v="Beets Red"/>
    <x v="160"/>
    <x v="1"/>
    <n v="25"/>
    <n v="11.33980925"/>
    <n v="0.19400000000000001"/>
    <n v="2.1999229945000001"/>
  </r>
  <r>
    <d v="2019-02-01T00:00:00"/>
    <s v="Frozen"/>
    <n v="4"/>
    <n v="40"/>
    <n v="0.25"/>
    <s v="BURGER VEG BEYOND PATTY"/>
    <x v="18"/>
    <x v="1"/>
    <n v="40"/>
    <n v="18.143694800000002"/>
    <n v="3.5270000000000001"/>
    <n v="63.992811559600007"/>
  </r>
  <r>
    <d v="2019-02-04T00:00:00"/>
    <s v="Frozen"/>
    <n v="3"/>
    <n v="48"/>
    <n v="0.18124999999999999"/>
    <s v="BURGER BLK BEAN SPCY"/>
    <x v="21"/>
    <x v="1"/>
    <n v="26.099999999999998"/>
    <n v="11.838760856999999"/>
    <n v="6.87"/>
    <n v="81.332287087589989"/>
  </r>
  <r>
    <d v="2019-02-07T00:00:00"/>
    <s v="Royal"/>
    <n v="2"/>
    <n v="1"/>
    <n v="30"/>
    <s v="Baby Bok Choy"/>
    <x v="147"/>
    <x v="1"/>
    <n v="60"/>
    <n v="27.215542200000002"/>
    <n v="0.13400000000000001"/>
    <n v="3.6468826548000006"/>
  </r>
  <r>
    <d v="2019-02-06T00:00:00"/>
    <s v="Royal"/>
    <n v="2"/>
    <n v="1"/>
    <n v="30"/>
    <s v="Bok Choy"/>
    <x v="147"/>
    <x v="1"/>
    <n v="60"/>
    <n v="27.215542200000002"/>
    <n v="0.13400000000000001"/>
    <n v="3.6468826548000006"/>
  </r>
  <r>
    <d v="2019-02-05T00:00:00"/>
    <s v="Royal"/>
    <n v="1"/>
    <n v="1"/>
    <n v="30"/>
    <s v="Baby Bok Choy"/>
    <x v="147"/>
    <x v="1"/>
    <n v="30"/>
    <n v="13.607771100000001"/>
    <n v="0.13400000000000001"/>
    <n v="1.8234413274000003"/>
  </r>
  <r>
    <d v="2019-02-07T00:00:00"/>
    <s v="Frozen"/>
    <n v="1"/>
    <n v="12"/>
    <n v="1.77"/>
    <s v="BREAD PITA FLAT 7"/>
    <x v="24"/>
    <x v="1"/>
    <n v="21.240000000000002"/>
    <n v="9.634301938800002"/>
    <n v="1.2"/>
    <n v="11.561162326560002"/>
  </r>
  <r>
    <d v="2019-02-07T00:00:00"/>
    <s v="Royal"/>
    <n v="8"/>
    <n v="1"/>
    <n v="12"/>
    <s v="broccoli florets"/>
    <x v="25"/>
    <x v="1"/>
    <n v="96"/>
    <n v="43.544867520000004"/>
    <n v="0.79700000000000004"/>
    <n v="34.705259413440004"/>
  </r>
  <r>
    <d v="2019-02-05T00:00:00"/>
    <s v="Royal"/>
    <n v="12"/>
    <n v="1"/>
    <n v="12"/>
    <s v="Broccoli Florets 4/3"/>
    <x v="25"/>
    <x v="1"/>
    <n v="144"/>
    <n v="65.317301279999995"/>
    <n v="0.79700000000000004"/>
    <n v="52.057889120159999"/>
  </r>
  <r>
    <d v="2019-02-02T00:00:00"/>
    <s v="Royal"/>
    <n v="4"/>
    <n v="1"/>
    <n v="12"/>
    <s v="Broccoli Florets 4/3"/>
    <x v="25"/>
    <x v="1"/>
    <n v="48"/>
    <n v="21.772433760000002"/>
    <n v="0.79700000000000004"/>
    <n v="17.352629706720002"/>
  </r>
  <r>
    <d v="2019-02-02T00:00:00"/>
    <s v="Royal"/>
    <n v="6"/>
    <n v="1"/>
    <n v="12"/>
    <s v="Broccoli Florets 4/3"/>
    <x v="25"/>
    <x v="1"/>
    <n v="72"/>
    <n v="32.658650639999998"/>
    <n v="0.79700000000000004"/>
    <n v="26.028944560079999"/>
  </r>
  <r>
    <d v="2019-02-01T00:00:00"/>
    <s v="Royal"/>
    <n v="10"/>
    <n v="1"/>
    <n v="12"/>
    <s v="Broccoli Florets 4/3"/>
    <x v="25"/>
    <x v="1"/>
    <n v="120"/>
    <n v="54.431084400000003"/>
    <n v="0.79700000000000004"/>
    <n v="43.381574266800001"/>
  </r>
  <r>
    <d v="2019-02-02T00:00:00"/>
    <s v="Royal"/>
    <n v="6"/>
    <n v="1"/>
    <n v="12"/>
    <s v="broccoli Florets 4/3"/>
    <x v="25"/>
    <x v="1"/>
    <n v="72"/>
    <n v="32.658650639999998"/>
    <n v="0.79700000000000004"/>
    <n v="26.028944560079999"/>
  </r>
  <r>
    <d v="2019-02-02T00:00:00"/>
    <s v="Royal"/>
    <n v="2"/>
    <n v="1"/>
    <n v="20"/>
    <s v="Pr Brussels Sprouts Halved"/>
    <x v="176"/>
    <x v="1"/>
    <n v="40"/>
    <n v="18.143694800000002"/>
    <n v="0.49"/>
    <n v="8.8904104520000011"/>
  </r>
  <r>
    <d v="2019-02-01T00:00:00"/>
    <s v="Royal"/>
    <n v="3"/>
    <n v="1"/>
    <n v="20"/>
    <s v="Pr Brussels Sprouts Halved"/>
    <x v="176"/>
    <x v="1"/>
    <n v="60"/>
    <n v="27.215542200000002"/>
    <n v="0.49"/>
    <n v="13.335615678"/>
  </r>
  <r>
    <d v="2019-02-02T00:00:00"/>
    <s v="Royal"/>
    <n v="2"/>
    <n v="1"/>
    <n v="20"/>
    <s v="pr brussels Sprouts Halved"/>
    <x v="176"/>
    <x v="1"/>
    <n v="40"/>
    <n v="18.143694800000002"/>
    <n v="0.49"/>
    <n v="8.8904104520000011"/>
  </r>
  <r>
    <d v="2019-02-01T00:00:00"/>
    <s v="Frozen"/>
    <n v="1"/>
    <n v="12"/>
    <n v="21"/>
    <s v="BUN HOAGIE WHT 6 HNGD HARTHBK"/>
    <x v="29"/>
    <x v="1"/>
    <n v="252"/>
    <n v="114.30527724000001"/>
    <n v="1.2"/>
    <n v="137.16633268800001"/>
  </r>
  <r>
    <d v="2019-02-01T00:00:00"/>
    <s v="Dairy Products"/>
    <n v="1"/>
    <n v="36"/>
    <n v="1"/>
    <s v="BUTTER SOLID UNSLTD USDA AA"/>
    <x v="30"/>
    <x v="2"/>
    <n v="36"/>
    <n v="16.329325319999999"/>
    <n v="11.52"/>
    <n v="188.11382768639999"/>
  </r>
  <r>
    <d v="2019-02-04T00:00:00"/>
    <s v="Dairy Products"/>
    <n v="1"/>
    <n v="36"/>
    <n v="1"/>
    <s v="BUTTER SOLID UNSLTD USDA AA"/>
    <x v="30"/>
    <x v="2"/>
    <n v="36"/>
    <n v="16.329325319999999"/>
    <n v="11.52"/>
    <n v="188.11382768639999"/>
  </r>
  <r>
    <d v="2019-02-05T00:00:00"/>
    <s v="Common Market"/>
    <n v="1"/>
    <n v="1"/>
    <n v="80"/>
    <s v="green cabbage"/>
    <x v="31"/>
    <x v="1"/>
    <n v="80"/>
    <n v="36.287389600000004"/>
    <n v="0.219"/>
    <n v="7.9469383224000012"/>
  </r>
  <r>
    <d v="2019-02-04T00:00:00"/>
    <s v="Royal"/>
    <n v="1"/>
    <n v="1"/>
    <n v="30"/>
    <s v="Napa cabbage"/>
    <x v="224"/>
    <x v="1"/>
    <n v="30"/>
    <n v="13.607771100000001"/>
    <n v="0.13400000000000001"/>
    <n v="1.8234413274000003"/>
  </r>
  <r>
    <d v="2019-02-07T00:00:00"/>
    <s v="Royal"/>
    <n v="7"/>
    <n v="1"/>
    <n v="27"/>
    <s v="Melon   Cantaloupe  9 Ct"/>
    <x v="33"/>
    <x v="1"/>
    <n v="189"/>
    <n v="85.728957930000007"/>
    <n v="0.49"/>
    <n v="42.007189385700002"/>
  </r>
  <r>
    <d v="2019-02-06T00:00:00"/>
    <s v="Royal"/>
    <n v="8"/>
    <n v="1"/>
    <n v="27"/>
    <s v="Melon   Cantaloupe  9 Ct"/>
    <x v="33"/>
    <x v="1"/>
    <n v="216"/>
    <n v="97.975951920000014"/>
    <n v="0.49"/>
    <n v="48.008216440800005"/>
  </r>
  <r>
    <d v="2019-02-05T00:00:00"/>
    <s v="Royal"/>
    <n v="3"/>
    <n v="1"/>
    <n v="27"/>
    <s v="Melon   Cantaloupe  9 Ct"/>
    <x v="33"/>
    <x v="1"/>
    <n v="81"/>
    <n v="36.74098197"/>
    <n v="0.49"/>
    <n v="18.003081165299999"/>
  </r>
  <r>
    <d v="2019-02-04T00:00:00"/>
    <s v="Royal"/>
    <n v="6"/>
    <n v="1"/>
    <n v="27"/>
    <s v="Melon   Cantaloupe  9 Ct"/>
    <x v="33"/>
    <x v="1"/>
    <n v="162"/>
    <n v="73.48196394"/>
    <n v="0.49"/>
    <n v="36.006162330599999"/>
  </r>
  <r>
    <d v="2019-02-01T00:00:00"/>
    <s v="Royal"/>
    <n v="6"/>
    <n v="1"/>
    <n v="27"/>
    <s v="Melon   Cantaloupe  9 Ct"/>
    <x v="33"/>
    <x v="1"/>
    <n v="162"/>
    <n v="73.48196394"/>
    <n v="0.49"/>
    <n v="36.006162330599999"/>
  </r>
  <r>
    <d v="2019-02-01T00:00:00"/>
    <s v="Canned and dry goods"/>
    <n v="1"/>
    <n v="6"/>
    <n v="0.125"/>
    <s v="CAPER SPANISH NONPAREIL"/>
    <x v="188"/>
    <x v="1"/>
    <n v="0.75"/>
    <n v="0.34019427750000003"/>
    <n v="0.48199999999999998"/>
    <n v="0.16397364175500001"/>
  </r>
  <r>
    <d v="2019-02-07T00:00:00"/>
    <s v="Royal"/>
    <n v="2"/>
    <n v="1"/>
    <n v="50"/>
    <s v="Carrot"/>
    <x v="34"/>
    <x v="1"/>
    <n v="100"/>
    <n v="45.359237"/>
    <n v="9.1999999999999998E-2"/>
    <n v="4.1730498039999997"/>
  </r>
  <r>
    <d v="2019-02-07T00:00:00"/>
    <s v="Royal"/>
    <n v="1"/>
    <n v="1"/>
    <n v="10"/>
    <s v="Pr Carrot Crudite 1/2&quot;x4&quot; HC Bg"/>
    <x v="34"/>
    <x v="1"/>
    <n v="10"/>
    <n v="4.5359237000000006"/>
    <n v="9.1999999999999998E-2"/>
    <n v="0.41730498040000003"/>
  </r>
  <r>
    <d v="2019-02-07T00:00:00"/>
    <s v="Royal"/>
    <n v="1"/>
    <n v="1"/>
    <n v="20"/>
    <s v="Pr Carrot Shred"/>
    <x v="34"/>
    <x v="1"/>
    <n v="20"/>
    <n v="9.0718474000000011"/>
    <n v="9.1999999999999998E-2"/>
    <n v="0.83460996080000005"/>
  </r>
  <r>
    <d v="2019-02-06T00:00:00"/>
    <s v="Royal"/>
    <n v="1"/>
    <n v="1"/>
    <n v="20"/>
    <s v="Pr Carrot Shred"/>
    <x v="34"/>
    <x v="1"/>
    <n v="20"/>
    <n v="9.0718474000000011"/>
    <n v="9.1999999999999998E-2"/>
    <n v="0.83460996080000005"/>
  </r>
  <r>
    <d v="2019-02-05T00:00:00"/>
    <s v="Royal"/>
    <n v="1"/>
    <n v="1"/>
    <n v="50"/>
    <s v="Carrot"/>
    <x v="34"/>
    <x v="1"/>
    <n v="50"/>
    <n v="22.6796185"/>
    <n v="9.1999999999999998E-2"/>
    <n v="2.0865249019999998"/>
  </r>
  <r>
    <d v="2019-02-05T00:00:00"/>
    <s v="Royal"/>
    <n v="2"/>
    <n v="1"/>
    <n v="20"/>
    <s v="Pr Carrot Shred"/>
    <x v="34"/>
    <x v="1"/>
    <n v="40"/>
    <n v="18.143694800000002"/>
    <n v="9.1999999999999998E-2"/>
    <n v="1.6692199216000001"/>
  </r>
  <r>
    <d v="2019-02-04T00:00:00"/>
    <s v="Royal"/>
    <n v="1"/>
    <n v="1"/>
    <n v="50"/>
    <s v="Carrot"/>
    <x v="34"/>
    <x v="1"/>
    <n v="50"/>
    <n v="22.6796185"/>
    <n v="9.1999999999999998E-2"/>
    <n v="2.0865249019999998"/>
  </r>
  <r>
    <d v="2019-02-04T00:00:00"/>
    <s v="Royal"/>
    <n v="1"/>
    <n v="1"/>
    <n v="10"/>
    <s v="Pr Carrot Crudite 1/2&quot;x4&quot; HC Bg"/>
    <x v="34"/>
    <x v="1"/>
    <n v="10"/>
    <n v="4.5359237000000006"/>
    <n v="9.1999999999999998E-2"/>
    <n v="0.41730498040000003"/>
  </r>
  <r>
    <d v="2019-02-04T00:00:00"/>
    <s v="Royal"/>
    <n v="2"/>
    <n v="1"/>
    <n v="20"/>
    <s v="Pr Carrot Shred"/>
    <x v="34"/>
    <x v="1"/>
    <n v="40"/>
    <n v="18.143694800000002"/>
    <n v="9.1999999999999998E-2"/>
    <n v="1.6692199216000001"/>
  </r>
  <r>
    <d v="2019-02-02T00:00:00"/>
    <s v="Royal"/>
    <n v="1"/>
    <n v="1"/>
    <n v="20"/>
    <s v="Pr Carrot Stick"/>
    <x v="34"/>
    <x v="1"/>
    <n v="20"/>
    <n v="9.0718474000000011"/>
    <n v="9.1999999999999998E-2"/>
    <n v="0.83460996080000005"/>
  </r>
  <r>
    <d v="2019-02-02T00:00:00"/>
    <s v="Royal"/>
    <n v="1"/>
    <n v="1"/>
    <n v="20"/>
    <s v="Pr Carrot Stick"/>
    <x v="34"/>
    <x v="1"/>
    <n v="20"/>
    <n v="9.0718474000000011"/>
    <n v="9.1999999999999998E-2"/>
    <n v="0.83460996080000005"/>
  </r>
  <r>
    <d v="2019-02-05T00:00:00"/>
    <s v="Royal"/>
    <n v="5"/>
    <n v="1"/>
    <n v="15.600000000000001"/>
    <s v="Cauliflower"/>
    <x v="36"/>
    <x v="1"/>
    <n v="78"/>
    <n v="35.380204859999999"/>
    <n v="0.93400000000000005"/>
    <n v="33.045111339240002"/>
  </r>
  <r>
    <d v="2019-02-04T00:00:00"/>
    <s v="Royal"/>
    <n v="4"/>
    <n v="1"/>
    <n v="12"/>
    <s v="Pr Cauliflower Florets"/>
    <x v="36"/>
    <x v="1"/>
    <n v="48"/>
    <n v="21.772433760000002"/>
    <n v="0.93400000000000005"/>
    <n v="20.335453131840001"/>
  </r>
  <r>
    <d v="2019-02-02T00:00:00"/>
    <s v="Royal"/>
    <n v="4"/>
    <n v="1"/>
    <n v="12"/>
    <s v="Pr Cauliflower Florets FB"/>
    <x v="36"/>
    <x v="1"/>
    <n v="48"/>
    <n v="21.772433760000002"/>
    <n v="0.93400000000000005"/>
    <n v="20.335453131840001"/>
  </r>
  <r>
    <d v="2019-02-01T00:00:00"/>
    <s v="Royal"/>
    <n v="4"/>
    <n v="1"/>
    <n v="12"/>
    <s v="Pr Cauliflower Florets FB"/>
    <x v="36"/>
    <x v="1"/>
    <n v="48"/>
    <n v="21.772433760000002"/>
    <n v="0.93400000000000005"/>
    <n v="20.335453131840001"/>
  </r>
  <r>
    <d v="2019-02-02T00:00:00"/>
    <s v="Royal"/>
    <n v="4"/>
    <n v="1"/>
    <n v="12"/>
    <s v="Pr Cauliflower Florets FB"/>
    <x v="36"/>
    <x v="1"/>
    <n v="48"/>
    <n v="21.772433760000002"/>
    <n v="0.93400000000000005"/>
    <n v="20.335453131840001"/>
  </r>
  <r>
    <d v="2019-02-07T00:00:00"/>
    <s v="Royal"/>
    <n v="1"/>
    <n v="1"/>
    <n v="20"/>
    <s v="Pr Celery Sticks 4/5#"/>
    <x v="37"/>
    <x v="1"/>
    <n v="20"/>
    <n v="9.0718474000000011"/>
    <n v="0.33100000000000002"/>
    <n v="3.0027814894000007"/>
  </r>
  <r>
    <d v="2019-02-05T00:00:00"/>
    <s v="Royal"/>
    <n v="1"/>
    <n v="1"/>
    <n v="36"/>
    <s v="Celery LOCAL"/>
    <x v="37"/>
    <x v="1"/>
    <n v="36"/>
    <n v="16.329325319999999"/>
    <n v="0.33100000000000002"/>
    <n v="5.4050066809199997"/>
  </r>
  <r>
    <d v="2019-02-04T00:00:00"/>
    <s v="Royal"/>
    <n v="1"/>
    <n v="1"/>
    <n v="20"/>
    <s v="Pr Celery Sticks 4/5#"/>
    <x v="37"/>
    <x v="1"/>
    <n v="20"/>
    <n v="9.0718474000000011"/>
    <n v="0.33100000000000002"/>
    <n v="3.0027814894000007"/>
  </r>
  <r>
    <d v="2019-02-02T00:00:00"/>
    <s v="Royal"/>
    <n v="1"/>
    <n v="1"/>
    <n v="20"/>
    <s v="Pr Celery Sticks 4/5#"/>
    <x v="37"/>
    <x v="1"/>
    <n v="20"/>
    <n v="9.0718474000000011"/>
    <n v="0.33100000000000002"/>
    <n v="3.0027814894000007"/>
  </r>
  <r>
    <d v="2019-02-02T00:00:00"/>
    <s v="Royal"/>
    <n v="1"/>
    <n v="1"/>
    <n v="20"/>
    <s v="pr celery Sticks 4/5#"/>
    <x v="37"/>
    <x v="1"/>
    <n v="20"/>
    <n v="9.0718474000000011"/>
    <n v="0.33100000000000002"/>
    <n v="3.0027814894000007"/>
  </r>
  <r>
    <d v="2019-02-01T00:00:00"/>
    <s v="Canned and dry goods"/>
    <n v="1"/>
    <n v="4"/>
    <n v="2.5"/>
    <s v="CEREAL FROSTED FLAKES"/>
    <x v="38"/>
    <x v="1"/>
    <n v="10"/>
    <n v="4.5359237000000006"/>
    <n v="1.61"/>
    <n v="7.3028371570000017"/>
  </r>
  <r>
    <d v="2019-02-01T00:00:00"/>
    <s v="Canned and dry goods"/>
    <n v="1"/>
    <n v="4"/>
    <n v="40.3125"/>
    <s v="CEREAL CINN TST CRUN BULKPAK"/>
    <x v="38"/>
    <x v="1"/>
    <n v="161.25"/>
    <n v="73.14176966250001"/>
    <n v="1.61"/>
    <n v="117.75824915662503"/>
  </r>
  <r>
    <d v="2019-02-01T00:00:00"/>
    <s v="Canned and dry goods"/>
    <n v="1"/>
    <n v="4"/>
    <n v="3.125"/>
    <s v="CEREAL GRANOLA OATSN HNY BLKPK"/>
    <x v="38"/>
    <x v="1"/>
    <n v="12.5"/>
    <n v="5.669904625"/>
    <n v="1.61"/>
    <n v="9.1285464462500006"/>
  </r>
  <r>
    <d v="2019-02-04T00:00:00"/>
    <s v="Canned and dry goods"/>
    <n v="2"/>
    <n v="96"/>
    <n v="6.25E-2"/>
    <s v="CEREAL CHEERIO APL CIN GLTN FR"/>
    <x v="38"/>
    <x v="1"/>
    <n v="12"/>
    <n v="5.4431084400000005"/>
    <n v="1.61"/>
    <n v="8.763404588400002"/>
  </r>
  <r>
    <d v="2019-02-04T00:00:00"/>
    <s v="Canned and dry goods"/>
    <n v="1"/>
    <n v="8"/>
    <n v="5"/>
    <s v="CEREAL HOT GRITS QUICK"/>
    <x v="38"/>
    <x v="1"/>
    <n v="40"/>
    <n v="18.143694800000002"/>
    <n v="1.61"/>
    <n v="29.211348628000007"/>
  </r>
  <r>
    <d v="2019-02-04T00:00:00"/>
    <s v="Canned and dry goods"/>
    <n v="1"/>
    <n v="4"/>
    <n v="30.0625"/>
    <s v="CEREAL APPLE JACKS"/>
    <x v="38"/>
    <x v="1"/>
    <n v="120.25"/>
    <n v="54.544482492500002"/>
    <n v="1.61"/>
    <n v="87.816616812925005"/>
  </r>
  <r>
    <d v="2019-02-04T00:00:00"/>
    <s v="Canned and dry goods"/>
    <n v="2"/>
    <n v="4"/>
    <n v="2.5"/>
    <s v="CEREAL FROSTED FLAKES"/>
    <x v="38"/>
    <x v="1"/>
    <n v="20"/>
    <n v="9.0718474000000011"/>
    <n v="1.61"/>
    <n v="14.605674314000003"/>
  </r>
  <r>
    <d v="2019-02-04T00:00:00"/>
    <s v="Canned and dry goods"/>
    <n v="1"/>
    <n v="4"/>
    <n v="1.625"/>
    <s v="CEREAL CORN FLAKES"/>
    <x v="38"/>
    <x v="1"/>
    <n v="6.5"/>
    <n v="2.9483504050000002"/>
    <n v="1.61"/>
    <n v="4.7468441520500004"/>
  </r>
  <r>
    <d v="2019-02-04T00:00:00"/>
    <s v="Canned and dry goods"/>
    <n v="1"/>
    <n v="4"/>
    <n v="30.3125"/>
    <s v="CEREAL LUCKY CHARMS GLUTN FR"/>
    <x v="38"/>
    <x v="1"/>
    <n v="121.25"/>
    <n v="54.998074862500005"/>
    <n v="1.61"/>
    <n v="88.546900528625017"/>
  </r>
  <r>
    <d v="2019-02-04T00:00:00"/>
    <s v="Canned and dry goods"/>
    <n v="2"/>
    <n v="4"/>
    <n v="30.3125"/>
    <s v="CEREAL COCOA PUFFS BULKPAK"/>
    <x v="38"/>
    <x v="1"/>
    <n v="242.5"/>
    <n v="109.99614972500001"/>
    <n v="1.61"/>
    <n v="177.09380105725003"/>
  </r>
  <r>
    <d v="2019-02-04T00:00:00"/>
    <s v="Canned and dry goods"/>
    <n v="1"/>
    <n v="4"/>
    <n v="40.3125"/>
    <s v="CEREAL CINN TST CRUN BULKPAK"/>
    <x v="38"/>
    <x v="1"/>
    <n v="161.25"/>
    <n v="73.14176966250001"/>
    <n v="1.61"/>
    <n v="117.75824915662503"/>
  </r>
  <r>
    <d v="2019-02-07T00:00:00"/>
    <s v="Canned and dry goods"/>
    <n v="2"/>
    <n v="4"/>
    <n v="1.8125"/>
    <s v="CEREAL CHEERIO GLUTEN FR"/>
    <x v="38"/>
    <x v="1"/>
    <n v="14.5"/>
    <n v="6.577089365"/>
    <n v="1.61"/>
    <n v="10.58911387765"/>
  </r>
  <r>
    <d v="2019-02-07T00:00:00"/>
    <s v="Canned and dry goods"/>
    <n v="1"/>
    <n v="4"/>
    <n v="1.625"/>
    <s v="CEREAL CORN FLAKES"/>
    <x v="38"/>
    <x v="1"/>
    <n v="6.5"/>
    <n v="2.9483504050000002"/>
    <n v="1.61"/>
    <n v="4.7468441520500004"/>
  </r>
  <r>
    <d v="2019-02-07T00:00:00"/>
    <s v="Canned and dry goods"/>
    <n v="2"/>
    <n v="4"/>
    <n v="30.3125"/>
    <s v="CEREAL LUCKY CHARMS GLUTN FR"/>
    <x v="38"/>
    <x v="1"/>
    <n v="242.5"/>
    <n v="109.99614972500001"/>
    <n v="1.61"/>
    <n v="177.09380105725003"/>
  </r>
  <r>
    <d v="2019-02-07T00:00:00"/>
    <s v="Canned and dry goods"/>
    <n v="2"/>
    <n v="4"/>
    <n v="30.3125"/>
    <s v="CEREAL COCOA PUFFS BULKPAK"/>
    <x v="38"/>
    <x v="1"/>
    <n v="242.5"/>
    <n v="109.99614972500001"/>
    <n v="1.61"/>
    <n v="177.09380105725003"/>
  </r>
  <r>
    <d v="2019-02-07T00:00:00"/>
    <s v="Canned and dry goods"/>
    <n v="2"/>
    <n v="4"/>
    <n v="40.3125"/>
    <s v="CEREAL CINN TST CRUN BULKPAK"/>
    <x v="38"/>
    <x v="1"/>
    <n v="322.5"/>
    <n v="146.28353932500002"/>
    <n v="1.61"/>
    <n v="235.51649831325005"/>
  </r>
  <r>
    <d v="2019-02-01T00:00:00"/>
    <s v="Dairy Products"/>
    <n v="1"/>
    <n v="6"/>
    <n v="1"/>
    <s v="CHEESE MOZZ FRSH SLI 18 CT"/>
    <x v="42"/>
    <x v="2"/>
    <n v="6"/>
    <n v="2.7215542200000002"/>
    <n v="9.9740000000000002"/>
    <n v="27.144781790280003"/>
  </r>
  <r>
    <d v="2019-02-01T00:00:00"/>
    <s v="Dairy Products"/>
    <n v="2"/>
    <n v="6"/>
    <n v="3"/>
    <s v="CHEESE CREAM ORIG LOAF"/>
    <x v="42"/>
    <x v="2"/>
    <n v="36"/>
    <n v="16.329325319999999"/>
    <n v="9.9740000000000002"/>
    <n v="162.86869074167998"/>
  </r>
  <r>
    <d v="2019-02-01T00:00:00"/>
    <s v="Dairy Products"/>
    <n v="2"/>
    <n v="6"/>
    <n v="3"/>
    <s v="CHEESE CREAM ORIG LOAF"/>
    <x v="42"/>
    <x v="2"/>
    <n v="36"/>
    <n v="16.329325319999999"/>
    <n v="9.9740000000000002"/>
    <n v="162.86869074167998"/>
  </r>
  <r>
    <d v="2019-02-01T00:00:00"/>
    <s v="Dairy Products"/>
    <n v="2"/>
    <n v="6"/>
    <n v="0.6875"/>
    <s v="CHEESE GOAT FRCH PLAIN LOG"/>
    <x v="42"/>
    <x v="2"/>
    <n v="8.25"/>
    <n v="3.7421370525000004"/>
    <n v="9.9740000000000002"/>
    <n v="37.324074961635006"/>
  </r>
  <r>
    <d v="2019-02-01T00:00:00"/>
    <s v="Dairy Products"/>
    <n v="3"/>
    <n v="2"/>
    <n v="5"/>
    <s v="CHEESE COTTAGE SMALL CURD 4%"/>
    <x v="42"/>
    <x v="2"/>
    <n v="30"/>
    <n v="13.607771100000001"/>
    <n v="9.9740000000000002"/>
    <n v="135.72390895140001"/>
  </r>
  <r>
    <d v="2019-02-01T00:00:00"/>
    <s v="Dairy Products"/>
    <n v="1"/>
    <n v="4"/>
    <n v="5"/>
    <s v="CHEESE AMER YEL 160 SLI"/>
    <x v="42"/>
    <x v="2"/>
    <n v="20"/>
    <n v="9.0718474000000011"/>
    <n v="9.9740000000000002"/>
    <n v="90.482605967600009"/>
  </r>
  <r>
    <d v="2019-02-01T00:00:00"/>
    <s v="Dairy Products"/>
    <n v="5"/>
    <n v="4"/>
    <n v="5"/>
    <s v="CHEESE CHDR MILD FTHR SHRD"/>
    <x v="42"/>
    <x v="2"/>
    <n v="100"/>
    <n v="45.359237"/>
    <n v="9.9740000000000002"/>
    <n v="452.413029838"/>
  </r>
  <r>
    <d v="2019-02-01T00:00:00"/>
    <s v="Dairy Products"/>
    <n v="8"/>
    <n v="4"/>
    <n v="5"/>
    <s v="CHEESE MOZZ FTHR SHRD PART SKM"/>
    <x v="42"/>
    <x v="2"/>
    <n v="160"/>
    <n v="72.574779200000009"/>
    <n v="9.9740000000000002"/>
    <n v="723.86084774080007"/>
  </r>
  <r>
    <d v="2019-02-01T00:00:00"/>
    <s v="Dairy Products"/>
    <n v="1"/>
    <n v="2"/>
    <n v="5"/>
    <s v="CHEESE FETA CRUMBLE"/>
    <x v="42"/>
    <x v="2"/>
    <n v="10"/>
    <n v="4.5359237000000006"/>
    <n v="9.9740000000000002"/>
    <n v="45.241302983800004"/>
  </r>
  <r>
    <d v="2019-02-01T00:00:00"/>
    <s v="Dairy Products"/>
    <n v="2"/>
    <n v="4"/>
    <n v="2.5"/>
    <s v="CHEESE PEPPER JACK SLI .70.3125"/>
    <x v="42"/>
    <x v="2"/>
    <n v="20"/>
    <n v="9.0718474000000011"/>
    <n v="9.9740000000000002"/>
    <n v="90.482605967600009"/>
  </r>
  <r>
    <d v="2019-02-01T00:00:00"/>
    <s v="Dairy Products"/>
    <n v="1"/>
    <n v="8"/>
    <n v="1.25"/>
    <s v="CHEESE CHDR MILD SLI .0.3125"/>
    <x v="42"/>
    <x v="2"/>
    <n v="10"/>
    <n v="4.5359237000000006"/>
    <n v="9.9740000000000002"/>
    <n v="45.241302983800004"/>
  </r>
  <r>
    <d v="2019-02-01T00:00:00"/>
    <s v="Dairy Products"/>
    <n v="1"/>
    <n v="4"/>
    <n v="2.5"/>
    <s v="CHEESE PROVOLONE SLI .0.3125"/>
    <x v="42"/>
    <x v="2"/>
    <n v="10"/>
    <n v="4.5359237000000006"/>
    <n v="9.9740000000000002"/>
    <n v="45.241302983800004"/>
  </r>
  <r>
    <d v="2019-02-01T00:00:00"/>
    <s v="Dairy Products"/>
    <n v="2"/>
    <n v="2"/>
    <n v="5"/>
    <s v="CHEESE PARM GRATED PURE"/>
    <x v="42"/>
    <x v="2"/>
    <n v="20"/>
    <n v="9.0718474000000011"/>
    <n v="9.9740000000000002"/>
    <n v="90.482605967600009"/>
  </r>
  <r>
    <d v="2019-02-04T00:00:00"/>
    <s v="Dairy Products"/>
    <n v="2"/>
    <n v="6"/>
    <n v="3"/>
    <s v="CHEESE CREAM ORIG LOAF"/>
    <x v="42"/>
    <x v="2"/>
    <n v="36"/>
    <n v="16.329325319999999"/>
    <n v="9.9740000000000002"/>
    <n v="162.86869074167998"/>
  </r>
  <r>
    <d v="2019-02-04T00:00:00"/>
    <s v="Dairy Products"/>
    <n v="1"/>
    <n v="6"/>
    <n v="0.6875"/>
    <s v="CHEESE GOAT FRCH PLAIN LOG"/>
    <x v="42"/>
    <x v="2"/>
    <n v="4.125"/>
    <n v="1.8710685262500002"/>
    <n v="9.9740000000000002"/>
    <n v="18.662037480817503"/>
  </r>
  <r>
    <d v="2019-02-04T00:00:00"/>
    <s v="Dairy Products"/>
    <n v="2"/>
    <n v="2"/>
    <n v="5"/>
    <s v="CHEESE COTTAGE SMALL CURD 4%"/>
    <x v="42"/>
    <x v="2"/>
    <n v="20"/>
    <n v="9.0718474000000011"/>
    <n v="9.9740000000000002"/>
    <n v="90.482605967600009"/>
  </r>
  <r>
    <d v="2019-02-04T00:00:00"/>
    <s v="Dairy Products"/>
    <n v="1"/>
    <n v="4"/>
    <n v="5"/>
    <s v="CHEESE AMER YEL 160 SLI"/>
    <x v="42"/>
    <x v="2"/>
    <n v="20"/>
    <n v="9.0718474000000011"/>
    <n v="9.9740000000000002"/>
    <n v="90.482605967600009"/>
  </r>
  <r>
    <d v="2019-02-04T00:00:00"/>
    <s v="Dairy Products"/>
    <n v="4"/>
    <n v="4"/>
    <n v="5"/>
    <s v="CHEESE CHDR MILD FTHR SHRD"/>
    <x v="42"/>
    <x v="2"/>
    <n v="80"/>
    <n v="36.287389600000004"/>
    <n v="9.9740000000000002"/>
    <n v="361.93042387040003"/>
  </r>
  <r>
    <d v="2019-02-04T00:00:00"/>
    <s v="Dairy Products"/>
    <n v="12"/>
    <n v="4"/>
    <n v="5"/>
    <s v="CHEESE MOZZ FTHR SHRD PART SKM"/>
    <x v="42"/>
    <x v="2"/>
    <n v="240"/>
    <n v="108.86216880000001"/>
    <n v="9.9740000000000002"/>
    <n v="1085.7912716112"/>
  </r>
  <r>
    <d v="2019-02-04T00:00:00"/>
    <s v="Dairy Products"/>
    <n v="1"/>
    <n v="4"/>
    <n v="2.5"/>
    <s v="CHEESE SWISS SLI .0.3125"/>
    <x v="42"/>
    <x v="2"/>
    <n v="10"/>
    <n v="4.5359237000000006"/>
    <n v="9.9740000000000002"/>
    <n v="45.241302983800004"/>
  </r>
  <r>
    <d v="2019-02-04T00:00:00"/>
    <s v="Dairy Products"/>
    <n v="1"/>
    <n v="8"/>
    <n v="1.25"/>
    <s v="CHEESE CHDR MILD SLI .0.3125"/>
    <x v="42"/>
    <x v="2"/>
    <n v="10"/>
    <n v="4.5359237000000006"/>
    <n v="9.9740000000000002"/>
    <n v="45.241302983800004"/>
  </r>
  <r>
    <d v="2019-02-04T00:00:00"/>
    <s v="Dairy Products"/>
    <n v="1"/>
    <n v="4"/>
    <n v="2.5"/>
    <s v="CHEESE PROVOLONE SLI .0.3125"/>
    <x v="42"/>
    <x v="2"/>
    <n v="10"/>
    <n v="4.5359237000000006"/>
    <n v="9.9740000000000002"/>
    <n v="45.241302983800004"/>
  </r>
  <r>
    <d v="2019-02-04T00:00:00"/>
    <s v="Dairy Products"/>
    <n v="2"/>
    <n v="2"/>
    <n v="5"/>
    <s v="CHEESE PARM GRATED PURE"/>
    <x v="42"/>
    <x v="2"/>
    <n v="20"/>
    <n v="9.0718474000000011"/>
    <n v="9.9740000000000002"/>
    <n v="90.482605967600009"/>
  </r>
  <r>
    <d v="2019-02-04T00:00:00"/>
    <s v="Dairy Products"/>
    <n v="1"/>
    <n v="6"/>
    <n v="3"/>
    <s v="CHEESE RICOTTA BULK WHL MILK"/>
    <x v="42"/>
    <x v="2"/>
    <n v="18"/>
    <n v="8.1646626599999994"/>
    <n v="9.9740000000000002"/>
    <n v="81.434345370839992"/>
  </r>
  <r>
    <d v="2019-02-04T00:00:00"/>
    <s v="Dairy Products"/>
    <n v="2"/>
    <n v="6"/>
    <n v="3"/>
    <s v="CHEESE CREAM ORIG LOAF"/>
    <x v="42"/>
    <x v="2"/>
    <n v="36"/>
    <n v="16.329325319999999"/>
    <n v="9.9740000000000002"/>
    <n v="162.86869074167998"/>
  </r>
  <r>
    <d v="2019-02-07T00:00:00"/>
    <s v="Dairy Products"/>
    <n v="2"/>
    <n v="4"/>
    <n v="5"/>
    <s v="CHEESE MOZZ FTHR SHRD WHL MILK"/>
    <x v="42"/>
    <x v="2"/>
    <n v="40"/>
    <n v="18.143694800000002"/>
    <n v="9.9740000000000002"/>
    <n v="180.96521193520002"/>
  </r>
  <r>
    <d v="2019-02-07T00:00:00"/>
    <s v="Dairy Products"/>
    <n v="1"/>
    <n v="4"/>
    <n v="2.5"/>
    <s v="CHEESE SWISS SLI .0.3125"/>
    <x v="42"/>
    <x v="2"/>
    <n v="10"/>
    <n v="4.5359237000000006"/>
    <n v="9.9740000000000002"/>
    <n v="45.241302983800004"/>
  </r>
  <r>
    <d v="2019-02-07T00:00:00"/>
    <s v="Dairy Products"/>
    <n v="1"/>
    <n v="4"/>
    <n v="2.5"/>
    <s v="CHEESE PROVOLONE SLI .0.3125"/>
    <x v="42"/>
    <x v="2"/>
    <n v="10"/>
    <n v="4.5359237000000006"/>
    <n v="9.9740000000000002"/>
    <n v="45.241302983800004"/>
  </r>
  <r>
    <d v="2019-02-07T00:00:00"/>
    <s v="Inland Seafood"/>
    <n v="1"/>
    <n v="1"/>
    <n v="20"/>
    <s v="chicken breast filet"/>
    <x v="43"/>
    <x v="0"/>
    <n v="20"/>
    <n v="9.0718474000000011"/>
    <n v="4.1879999999999997"/>
    <n v="37.992896911199999"/>
  </r>
  <r>
    <d v="2019-02-06T00:00:00"/>
    <s v="Inland Seafood"/>
    <n v="1"/>
    <n v="1"/>
    <n v="300"/>
    <s v="chicken breast filet"/>
    <x v="43"/>
    <x v="0"/>
    <n v="300"/>
    <n v="136.07771100000002"/>
    <n v="4.1879999999999997"/>
    <n v="569.89345366800001"/>
  </r>
  <r>
    <d v="2019-02-06T00:00:00"/>
    <s v="Inland Seafood"/>
    <n v="1"/>
    <n v="1"/>
    <n v="300"/>
    <s v="chicken boneless thighs"/>
    <x v="43"/>
    <x v="0"/>
    <n v="300"/>
    <n v="136.07771100000002"/>
    <n v="4.1879999999999997"/>
    <n v="569.89345366800001"/>
  </r>
  <r>
    <d v="2019-02-06T00:00:00"/>
    <s v="Inland Seafood"/>
    <n v="1"/>
    <n v="1"/>
    <n v="20"/>
    <s v="chicken bone in thighs"/>
    <x v="43"/>
    <x v="0"/>
    <n v="20"/>
    <n v="9.0718474000000011"/>
    <n v="4.1879999999999997"/>
    <n v="37.992896911199999"/>
  </r>
  <r>
    <d v="2019-02-06T00:00:00"/>
    <s v="Inland Seafood"/>
    <n v="1"/>
    <n v="1"/>
    <n v="120"/>
    <s v="chicken breast chunk"/>
    <x v="43"/>
    <x v="0"/>
    <n v="120"/>
    <n v="54.431084400000003"/>
    <n v="4.1879999999999997"/>
    <n v="227.95738146720001"/>
  </r>
  <r>
    <d v="2019-02-01T00:00:00"/>
    <s v="Inland Seafood"/>
    <n v="1"/>
    <n v="1"/>
    <n v="300"/>
    <s v="chicken breast filet"/>
    <x v="43"/>
    <x v="0"/>
    <n v="300"/>
    <n v="136.07771100000002"/>
    <n v="4.1879999999999997"/>
    <n v="569.89345366800001"/>
  </r>
  <r>
    <d v="2019-02-01T00:00:00"/>
    <s v="Inland Seafood"/>
    <n v="1"/>
    <n v="1"/>
    <n v="120"/>
    <s v="chicken breast chunk"/>
    <x v="43"/>
    <x v="0"/>
    <n v="120"/>
    <n v="54.431084400000003"/>
    <n v="4.1879999999999997"/>
    <n v="227.95738146720001"/>
  </r>
  <r>
    <d v="2019-02-04T00:00:00"/>
    <s v="Inland Seafood"/>
    <n v="1"/>
    <n v="1"/>
    <n v="300"/>
    <s v="chicken breast filet"/>
    <x v="43"/>
    <x v="0"/>
    <n v="300"/>
    <n v="136.07771100000002"/>
    <n v="4.1879999999999997"/>
    <n v="569.89345366800001"/>
  </r>
  <r>
    <d v="2019-02-04T00:00:00"/>
    <s v="Inland Seafood"/>
    <n v="1"/>
    <n v="1"/>
    <n v="300"/>
    <s v="chicken boneless thighs"/>
    <x v="43"/>
    <x v="0"/>
    <n v="300"/>
    <n v="136.07771100000002"/>
    <n v="4.1879999999999997"/>
    <n v="569.89345366800001"/>
  </r>
  <r>
    <d v="2019-02-04T00:00:00"/>
    <s v="Inland Seafood"/>
    <n v="1"/>
    <n v="1"/>
    <n v="20"/>
    <s v="chicken bone in thighs"/>
    <x v="43"/>
    <x v="0"/>
    <n v="20"/>
    <n v="9.0718474000000011"/>
    <n v="4.1879999999999997"/>
    <n v="37.992896911199999"/>
  </r>
  <r>
    <d v="2019-02-04T00:00:00"/>
    <s v="Inland Seafood"/>
    <n v="1"/>
    <n v="1"/>
    <n v="120"/>
    <s v="chicken breast chunk"/>
    <x v="43"/>
    <x v="0"/>
    <n v="120"/>
    <n v="54.431084400000003"/>
    <n v="4.1879999999999997"/>
    <n v="227.95738146720001"/>
  </r>
  <r>
    <d v="2019-02-05T00:00:00"/>
    <s v="Inland Seafood"/>
    <n v="1"/>
    <n v="1"/>
    <n v="300"/>
    <s v="chicken breast filet"/>
    <x v="43"/>
    <x v="0"/>
    <n v="300"/>
    <n v="136.07771100000002"/>
    <n v="4.1879999999999997"/>
    <n v="569.89345366800001"/>
  </r>
  <r>
    <d v="2019-02-01T00:00:00"/>
    <s v="Poultry"/>
    <n v="6"/>
    <n v="160"/>
    <n v="6.25E-2"/>
    <s v="SAUSAGE CHICKEN BRK LINK"/>
    <x v="43"/>
    <x v="0"/>
    <n v="60"/>
    <n v="27.215542200000002"/>
    <n v="4.1879999999999997"/>
    <n v="113.9786907336"/>
  </r>
  <r>
    <d v="2019-02-04T00:00:00"/>
    <s v="Poultry"/>
    <n v="4"/>
    <n v="160"/>
    <n v="6.25E-2"/>
    <s v="SAUSAGE CHICKEN BRK LINK"/>
    <x v="43"/>
    <x v="0"/>
    <n v="40"/>
    <n v="18.143694800000002"/>
    <n v="4.1879999999999997"/>
    <n v="75.985793822399998"/>
  </r>
  <r>
    <d v="2019-02-07T00:00:00"/>
    <s v="Poultry"/>
    <n v="4"/>
    <n v="160"/>
    <n v="6.25E-2"/>
    <s v="SAUSAGE CHICKEN BRK LINK"/>
    <x v="43"/>
    <x v="0"/>
    <n v="40"/>
    <n v="18.143694800000002"/>
    <n v="4.1879999999999997"/>
    <n v="75.985793822399998"/>
  </r>
  <r>
    <d v="2019-02-01T00:00:00"/>
    <s v="Canned and dry goods"/>
    <n v="4"/>
    <n v="6"/>
    <n v="10"/>
    <s v="BEAN GARBANZO LOW SODIUM"/>
    <x v="44"/>
    <x v="1"/>
    <n v="240"/>
    <n v="108.86216880000001"/>
    <n v="0.49099999999999999"/>
    <n v="53.451324880800001"/>
  </r>
  <r>
    <d v="2019-02-04T00:00:00"/>
    <s v="Canned and dry goods"/>
    <n v="4"/>
    <n v="6"/>
    <n v="10"/>
    <s v="BEAN GARBANZO LOW SODIUM"/>
    <x v="44"/>
    <x v="1"/>
    <n v="240"/>
    <n v="108.86216880000001"/>
    <n v="0.49099999999999999"/>
    <n v="53.451324880800001"/>
  </r>
  <r>
    <d v="2019-02-06T00:00:00"/>
    <s v="Royal"/>
    <n v="1"/>
    <n v="1"/>
    <n v="5.25"/>
    <s v="Cilantro"/>
    <x v="47"/>
    <x v="1"/>
    <n v="5.25"/>
    <n v="2.3813599425"/>
    <n v="0.26100000000000001"/>
    <n v="0.62153494499250006"/>
  </r>
  <r>
    <d v="2019-02-04T00:00:00"/>
    <s v="Royal"/>
    <n v="1"/>
    <n v="1"/>
    <n v="5.25"/>
    <s v="Cilantro"/>
    <x v="47"/>
    <x v="1"/>
    <n v="5.25"/>
    <n v="2.3813599425"/>
    <n v="0.26100000000000001"/>
    <n v="0.62153494499250006"/>
  </r>
  <r>
    <d v="2019-02-07T00:00:00"/>
    <s v="Canned and dry goods"/>
    <n v="1"/>
    <n v="6"/>
    <s v="50 CT"/>
    <s v="COCOA MIX INDIV"/>
    <x v="225"/>
    <x v="1"/>
    <n v="0"/>
    <n v="0"/>
    <n v="33.646999999999998"/>
    <n v="0"/>
  </r>
  <r>
    <d v="2019-02-01T00:00:00"/>
    <s v="Canned and dry goods"/>
    <n v="1"/>
    <n v="24"/>
    <n v="0.875"/>
    <s v="MILK COCONUT UNSWT"/>
    <x v="226"/>
    <x v="1"/>
    <n v="21"/>
    <n v="9.5254397700000002"/>
    <n v="0.79200000000000004"/>
    <n v="7.5441482978400005"/>
  </r>
  <r>
    <d v="2019-02-05T00:00:00"/>
    <s v="Café Campesino"/>
    <n v="5"/>
    <n v="1"/>
    <n v="5"/>
    <s v="medium blend coffee"/>
    <x v="164"/>
    <x v="1"/>
    <n v="25"/>
    <n v="11.33980925"/>
    <n v="6.2789999999999999"/>
    <n v="71.202662280750005"/>
  </r>
  <r>
    <d v="2019-02-05T00:00:00"/>
    <s v="Café Campesino"/>
    <n v="1"/>
    <n v="1"/>
    <n v="5"/>
    <s v="decaf coffee"/>
    <x v="164"/>
    <x v="1"/>
    <n v="5"/>
    <n v="2.2679618500000003"/>
    <n v="6.2789999999999999"/>
    <n v="14.240532456150001"/>
  </r>
  <r>
    <d v="2019-02-01T00:00:00"/>
    <s v="Common Market"/>
    <n v="1"/>
    <n v="1"/>
    <n v="36"/>
    <s v="collards"/>
    <x v="151"/>
    <x v="1"/>
    <n v="36"/>
    <n v="16.329325319999999"/>
    <n v="0.20599999999999999"/>
    <n v="3.3638410159199994"/>
  </r>
  <r>
    <d v="2019-02-07T00:00:00"/>
    <s v="Royal"/>
    <n v="3"/>
    <n v="1"/>
    <n v="10"/>
    <s v="Pr Collards Cleaned-Chopped LOCAL"/>
    <x v="151"/>
    <x v="1"/>
    <n v="30"/>
    <n v="13.607771100000001"/>
    <n v="0.20599999999999999"/>
    <n v="2.8032008465999998"/>
  </r>
  <r>
    <d v="2019-02-01T00:00:00"/>
    <s v="Canned and dry goods"/>
    <n v="2"/>
    <n v="4"/>
    <n v="7.79"/>
    <s v="MAYONNAISE REAL"/>
    <x v="50"/>
    <x v="2"/>
    <n v="62.32"/>
    <n v="28.2678764984"/>
    <n v="3.33"/>
    <n v="94.132028739671995"/>
  </r>
  <r>
    <d v="2019-02-01T00:00:00"/>
    <s v="Canned and dry goods"/>
    <n v="2"/>
    <n v="6"/>
    <n v="7.125"/>
    <s v="KETCHUP POUCH-PK FCY (= 6/10)"/>
    <x v="50"/>
    <x v="1"/>
    <n v="85.5"/>
    <n v="38.782147635000001"/>
    <n v="3.33"/>
    <n v="129.14455162455002"/>
  </r>
  <r>
    <d v="2019-02-01T00:00:00"/>
    <s v="Canned and dry goods"/>
    <n v="1"/>
    <n v="24"/>
    <n v="0.3125"/>
    <s v="SAUCE PEPPER CAYENNE RED HOT"/>
    <x v="50"/>
    <x v="1"/>
    <n v="7.5"/>
    <n v="3.4019427750000002"/>
    <n v="3.33"/>
    <n v="11.32846944075"/>
  </r>
  <r>
    <d v="2019-02-01T00:00:00"/>
    <s v="Canned and dry goods"/>
    <n v="1"/>
    <n v="12"/>
    <n v="0.4375"/>
    <s v="PEPPER CHIPOTLE IN ADOBO SAUCE"/>
    <x v="50"/>
    <x v="2"/>
    <n v="5.25"/>
    <n v="2.3813599425"/>
    <n v="3.33"/>
    <n v="7.9299286085250005"/>
  </r>
  <r>
    <d v="2019-02-01T00:00:00"/>
    <s v="Canned and dry goods"/>
    <n v="1"/>
    <n v="12"/>
    <n v="1.5625"/>
    <s v="SAUCE CHILI SWEET THAI"/>
    <x v="50"/>
    <x v="2"/>
    <n v="18.75"/>
    <n v="8.5048569375000014"/>
    <n v="3.33"/>
    <n v="28.321173601875007"/>
  </r>
  <r>
    <d v="2019-02-01T00:00:00"/>
    <s v="Canned and dry goods"/>
    <n v="1"/>
    <n v="4"/>
    <n v="100.3125"/>
    <s v="MUSTARD YELLOW PLS JUG"/>
    <x v="50"/>
    <x v="1"/>
    <n v="401.25"/>
    <n v="182.0039384625"/>
    <n v="3.33"/>
    <n v="606.07311508012504"/>
  </r>
  <r>
    <d v="2019-02-01T00:00:00"/>
    <s v="Canned and dry goods"/>
    <n v="1"/>
    <n v="2"/>
    <n v="100.3125"/>
    <s v="MUSTARD DIJON PLS JUG"/>
    <x v="50"/>
    <x v="1"/>
    <n v="200.625"/>
    <n v="91.001969231250001"/>
    <n v="3.33"/>
    <n v="303.03655754006252"/>
  </r>
  <r>
    <d v="2019-02-01T00:00:00"/>
    <s v="Canned and dry goods"/>
    <n v="2"/>
    <n v="4"/>
    <n v="11.68"/>
    <s v="SAUCE PEPPER CAYENNE RED HOT"/>
    <x v="50"/>
    <x v="1"/>
    <n v="93.44"/>
    <n v="42.383671052800004"/>
    <n v="3.33"/>
    <n v="141.13762460582402"/>
  </r>
  <r>
    <d v="2019-02-01T00:00:00"/>
    <s v="Canned and dry goods"/>
    <n v="1"/>
    <n v="12"/>
    <n v="10.4375"/>
    <s v="SAUCE CHILI SRIRACHA"/>
    <x v="50"/>
    <x v="1"/>
    <n v="125.25"/>
    <n v="56.812444342500001"/>
    <n v="3.33"/>
    <n v="189.18543966052502"/>
  </r>
  <r>
    <d v="2019-02-04T00:00:00"/>
    <s v="Canned and dry goods"/>
    <n v="1"/>
    <n v="4"/>
    <n v="11.480799999999999"/>
    <s v="SAUCE SOY SWEET"/>
    <x v="50"/>
    <x v="1"/>
    <n v="45.923199999999994"/>
    <n v="20.830413125983998"/>
    <n v="3.33"/>
    <n v="69.365275709526713"/>
  </r>
  <r>
    <d v="2019-02-04T00:00:00"/>
    <s v="Canned and dry goods"/>
    <n v="1"/>
    <n v="6"/>
    <n v="5.0919999999999996"/>
    <s v="SAUCE SOY GLUTEN FREE"/>
    <x v="50"/>
    <x v="1"/>
    <n v="30.552"/>
    <n v="13.858154088240001"/>
    <n v="3.33"/>
    <n v="46.147653113839205"/>
  </r>
  <r>
    <d v="2019-02-04T00:00:00"/>
    <s v="Canned and dry goods"/>
    <n v="2"/>
    <n v="12"/>
    <n v="0.4375"/>
    <s v="PEPPER CHIPOTLE IN ADOBO SAUCE"/>
    <x v="50"/>
    <x v="1"/>
    <n v="10.5"/>
    <n v="4.7627198850000001"/>
    <n v="3.33"/>
    <n v="15.859857217050001"/>
  </r>
  <r>
    <d v="2019-02-04T00:00:00"/>
    <s v="Canned and dry goods"/>
    <n v="1"/>
    <n v="4"/>
    <n v="10.16"/>
    <s v="SAUCE SOY LESS SODIUM"/>
    <x v="50"/>
    <x v="1"/>
    <n v="40.64"/>
    <n v="18.433993916800002"/>
    <n v="3.33"/>
    <n v="61.38519974294401"/>
  </r>
  <r>
    <d v="2019-02-04T00:00:00"/>
    <s v="Canned and dry goods"/>
    <n v="6"/>
    <n v="2"/>
    <n v="14.385"/>
    <s v="KETCHUP FANCY POUCH DISPENSER"/>
    <x v="50"/>
    <x v="1"/>
    <n v="172.62"/>
    <n v="78.299114909400004"/>
    <n v="3.33"/>
    <n v="260.73605264830201"/>
  </r>
  <r>
    <d v="2019-02-07T00:00:00"/>
    <s v="Canned and dry goods"/>
    <n v="1"/>
    <n v="24"/>
    <n v="0.3125"/>
    <s v="SAUCE PEPPER CAYENNE RED HOT"/>
    <x v="50"/>
    <x v="1"/>
    <n v="7.5"/>
    <n v="3.4019427750000002"/>
    <n v="3.33"/>
    <n v="11.32846944075"/>
  </r>
  <r>
    <d v="2019-02-07T00:00:00"/>
    <s v="Canned and dry goods"/>
    <n v="1"/>
    <n v="24"/>
    <n v="0.375"/>
    <s v="SAUCE HOT"/>
    <x v="50"/>
    <x v="1"/>
    <n v="9"/>
    <n v="4.0823313299999997"/>
    <n v="3.33"/>
    <n v="13.594163328899999"/>
  </r>
  <r>
    <d v="2019-02-07T00:00:00"/>
    <s v="Canned and dry goods"/>
    <n v="1"/>
    <n v="4"/>
    <n v="11.68"/>
    <s v="SAUCE PEPPER CAYENNE RED HOT"/>
    <x v="50"/>
    <x v="1"/>
    <n v="46.72"/>
    <n v="21.191835526400002"/>
    <n v="3.33"/>
    <n v="70.568812302912008"/>
  </r>
  <r>
    <d v="2019-02-04T00:00:00"/>
    <s v="Canned and dry goods"/>
    <n v="2"/>
    <n v="4"/>
    <n v="11.68"/>
    <s v="SAUCE PEPPER CAYENNE RED HOT"/>
    <x v="50"/>
    <x v="1"/>
    <n v="93.44"/>
    <n v="42.383671052800004"/>
    <n v="3.33"/>
    <n v="141.13762460582402"/>
  </r>
  <r>
    <d v="2019-02-04T00:00:00"/>
    <s v="Canned and dry goods"/>
    <n v="3"/>
    <n v="4"/>
    <n v="7.79"/>
    <s v="MAYONNAISE REAL"/>
    <x v="51"/>
    <x v="2"/>
    <n v="93.48"/>
    <n v="42.4018147476"/>
    <n v="3.33"/>
    <n v="141.19804310950801"/>
  </r>
  <r>
    <d v="2019-02-01T00:00:00"/>
    <s v="Canned and dry goods"/>
    <n v="1"/>
    <n v="24"/>
    <n v="1"/>
    <s v="CORN STARCH"/>
    <x v="55"/>
    <x v="1"/>
    <n v="24"/>
    <n v="10.886216880000001"/>
    <n v="0.76"/>
    <n v="8.2735248288000012"/>
  </r>
  <r>
    <d v="2019-02-07T00:00:00"/>
    <s v="Canned and dry goods"/>
    <n v="1"/>
    <n v="24"/>
    <n v="1"/>
    <s v="CORN STARCH"/>
    <x v="55"/>
    <x v="1"/>
    <n v="24"/>
    <n v="10.886216880000001"/>
    <n v="0.76"/>
    <n v="8.2735248288000012"/>
  </r>
  <r>
    <d v="2019-02-07T00:00:00"/>
    <s v="Canned and dry goods"/>
    <n v="1"/>
    <n v="500"/>
    <s v="2pk"/>
    <s v="CRACKER SALTINE ZESTA"/>
    <x v="57"/>
    <x v="1"/>
    <n v="0"/>
    <n v="0"/>
    <n v="2.5299999999999998"/>
    <n v="0"/>
  </r>
  <r>
    <d v="2019-02-01T00:00:00"/>
    <s v="Canned and dry goods"/>
    <n v="1"/>
    <n v="6"/>
    <n v="30.0625"/>
    <s v="CRACKER GOLDFISH WHL GRAIN"/>
    <x v="227"/>
    <x v="1"/>
    <n v="180.375"/>
    <n v="81.816723738750014"/>
    <n v="2.5299999999999998"/>
    <n v="206.99631105903751"/>
  </r>
  <r>
    <d v="2019-02-01T00:00:00"/>
    <s v="Canned and dry goods"/>
    <n v="1"/>
    <n v="1"/>
    <n v="10"/>
    <s v="CRANBERRY DRIED CRAISINS"/>
    <x v="198"/>
    <x v="1"/>
    <n v="10"/>
    <n v="4.5359237000000006"/>
    <n v="3.8250000000000002"/>
    <n v="17.349908152500003"/>
  </r>
  <r>
    <d v="2019-02-04T00:00:00"/>
    <s v="Canned and dry goods"/>
    <n v="1"/>
    <n v="1"/>
    <n v="10"/>
    <s v="CRANBERRY DRIED CRAISINS"/>
    <x v="198"/>
    <x v="1"/>
    <n v="10"/>
    <n v="4.5359237000000006"/>
    <n v="3.8250000000000002"/>
    <n v="17.349908152500003"/>
  </r>
  <r>
    <d v="2019-02-01T00:00:00"/>
    <s v="Dairy Products"/>
    <n v="2"/>
    <n v="1"/>
    <n v="2"/>
    <s v="CREAM SOUR SEL 13%"/>
    <x v="59"/>
    <x v="2"/>
    <n v="4"/>
    <n v="1.8143694800000001"/>
    <n v="5.2"/>
    <n v="9.4347212960000011"/>
  </r>
  <r>
    <d v="2019-02-07T00:00:00"/>
    <s v="Royal"/>
    <n v="2"/>
    <n v="1"/>
    <n v="55.555555555555557"/>
    <s v="Cucumber"/>
    <x v="60"/>
    <x v="1"/>
    <n v="111.11111111111111"/>
    <n v="50.399152222222227"/>
    <n v="0.40899999999999997"/>
    <n v="20.613253258888889"/>
  </r>
  <r>
    <d v="2019-02-06T00:00:00"/>
    <s v="Royal"/>
    <n v="1"/>
    <n v="1"/>
    <n v="55.555555555555557"/>
    <s v="Cucumber"/>
    <x v="60"/>
    <x v="1"/>
    <n v="55.555555555555557"/>
    <n v="25.199576111111114"/>
    <n v="0.40899999999999997"/>
    <n v="10.306626629444445"/>
  </r>
  <r>
    <d v="2019-02-04T00:00:00"/>
    <s v="Royal"/>
    <n v="1"/>
    <n v="1"/>
    <n v="55.555555555555557"/>
    <s v="Cucumber"/>
    <x v="60"/>
    <x v="1"/>
    <n v="55.555555555555557"/>
    <n v="25.199576111111114"/>
    <n v="0.40899999999999997"/>
    <n v="10.306626629444445"/>
  </r>
  <r>
    <d v="2019-02-01T00:00:00"/>
    <s v="Royal"/>
    <n v="2"/>
    <n v="1"/>
    <n v="55.555555555555557"/>
    <s v="Cucumber"/>
    <x v="60"/>
    <x v="1"/>
    <n v="111.11111111111111"/>
    <n v="50.399152222222227"/>
    <n v="0.40899999999999997"/>
    <n v="20.613253258888889"/>
  </r>
  <r>
    <d v="2019-02-01T00:00:00"/>
    <s v="Canned and dry goods"/>
    <n v="1"/>
    <n v="4"/>
    <n v="8.4700000000000006"/>
    <s v="DRESSING ITALIAN FAT FREE"/>
    <x v="228"/>
    <x v="1"/>
    <n v="33.880000000000003"/>
    <n v="15.367709495600002"/>
    <n v="3.33"/>
    <n v="51.174472620348006"/>
  </r>
  <r>
    <d v="2019-02-01T00:00:00"/>
    <s v="Dairy Products"/>
    <n v="18"/>
    <n v="2"/>
    <n v="20"/>
    <s v="EGG LIQ WHL CAGE FREE W/CITRIC"/>
    <x v="62"/>
    <x v="2"/>
    <n v="720"/>
    <n v="326.58650640000002"/>
    <n v="3.754"/>
    <n v="1226.0057450256002"/>
  </r>
  <r>
    <d v="2019-02-01T00:00:00"/>
    <s v="Dairy Products"/>
    <n v="2"/>
    <n v="15"/>
    <n v="2"/>
    <s v="EGG WHITE CAGE FREE LIQ"/>
    <x v="62"/>
    <x v="2"/>
    <n v="60"/>
    <n v="27.215542200000002"/>
    <n v="3.754"/>
    <n v="102.1671454188"/>
  </r>
  <r>
    <d v="2019-02-01T00:00:00"/>
    <s v="Dairy Products"/>
    <n v="3"/>
    <n v="1"/>
    <n v="22.5"/>
    <s v="EGG SHELL LG GR AA USDA WHT"/>
    <x v="62"/>
    <x v="2"/>
    <n v="67.5"/>
    <n v="30.617484975"/>
    <n v="3.754"/>
    <n v="114.93803859614999"/>
  </r>
  <r>
    <d v="2019-02-04T00:00:00"/>
    <s v="Dairy Products"/>
    <n v="8"/>
    <n v="2"/>
    <n v="20"/>
    <s v="EGG LIQ WHL CAGE FREE W/CITRIC"/>
    <x v="62"/>
    <x v="2"/>
    <n v="320"/>
    <n v="145.14955840000002"/>
    <n v="3.754"/>
    <n v="544.89144223360006"/>
  </r>
  <r>
    <d v="2019-02-04T00:00:00"/>
    <s v="Dairy Products"/>
    <n v="2"/>
    <n v="15"/>
    <n v="2"/>
    <s v="EGG WHITE CAGE FREE LIQ"/>
    <x v="62"/>
    <x v="2"/>
    <n v="60"/>
    <n v="27.215542200000002"/>
    <n v="3.754"/>
    <n v="102.1671454188"/>
  </r>
  <r>
    <d v="2019-02-04T00:00:00"/>
    <s v="Dairy Products"/>
    <n v="2"/>
    <n v="15"/>
    <n v="1.5"/>
    <s v="EGG SHELL CG FR LG HFAC GR A"/>
    <x v="62"/>
    <x v="2"/>
    <n v="45"/>
    <n v="20.411656650000001"/>
    <n v="3.754"/>
    <n v="76.62535906410001"/>
  </r>
  <r>
    <d v="2019-02-07T00:00:00"/>
    <s v="Dairy Products"/>
    <n v="3"/>
    <n v="2"/>
    <n v="20"/>
    <s v="EGG LIQ WHL CAGE FREE W/CITRIC"/>
    <x v="62"/>
    <x v="2"/>
    <n v="120"/>
    <n v="54.431084400000003"/>
    <n v="3.754"/>
    <n v="204.33429083760001"/>
  </r>
  <r>
    <d v="2019-02-07T00:00:00"/>
    <s v="Royal"/>
    <n v="1"/>
    <n v="1"/>
    <n v="38.888888888888893"/>
    <s v="Eggplant   Choice LOCAL"/>
    <x v="63"/>
    <x v="1"/>
    <n v="38.888888888888893"/>
    <n v="17.63970327777778"/>
    <n v="0.52600000000000002"/>
    <n v="9.2784839241111126"/>
  </r>
  <r>
    <d v="2019-02-06T00:00:00"/>
    <s v="Royal"/>
    <n v="2"/>
    <n v="1"/>
    <n v="38.888888888888893"/>
    <s v="Eggplant   Choice"/>
    <x v="63"/>
    <x v="1"/>
    <n v="77.777777777777786"/>
    <n v="35.27940655555556"/>
    <n v="0.52600000000000002"/>
    <n v="18.556967848222225"/>
  </r>
  <r>
    <d v="2019-02-06T00:00:00"/>
    <s v="Royal"/>
    <n v="0"/>
    <n v="1"/>
    <n v="10"/>
    <s v="Eggplant   Italian"/>
    <x v="63"/>
    <x v="1"/>
    <n v="0"/>
    <n v="0"/>
    <n v="0.52600000000000002"/>
    <n v="0"/>
  </r>
  <r>
    <d v="2019-02-04T00:00:00"/>
    <s v="Royal"/>
    <n v="2"/>
    <n v="1"/>
    <n v="38.888888888888893"/>
    <s v="Eggplant   Choice"/>
    <x v="63"/>
    <x v="1"/>
    <n v="77.777777777777786"/>
    <n v="35.27940655555556"/>
    <n v="0.52600000000000002"/>
    <n v="18.556967848222225"/>
  </r>
  <r>
    <d v="2019-02-01T00:00:00"/>
    <s v="Royal"/>
    <n v="2"/>
    <n v="1"/>
    <n v="38.888888888888893"/>
    <s v="Eggplant   Choice"/>
    <x v="63"/>
    <x v="1"/>
    <n v="77.777777777777786"/>
    <n v="35.27940655555556"/>
    <n v="0.52600000000000002"/>
    <n v="18.556967848222225"/>
  </r>
  <r>
    <d v="2019-02-04T00:00:00"/>
    <s v="Frozen"/>
    <n v="6"/>
    <n v="72"/>
    <n v="0.1875"/>
    <s v="EGGROLL VEGETABLE"/>
    <x v="229"/>
    <x v="1"/>
    <n v="81"/>
    <n v="36.74098197"/>
    <n v="3.46"/>
    <n v="127.12379761619999"/>
  </r>
  <r>
    <d v="2019-02-01T00:00:00"/>
    <s v="Canned and dry goods"/>
    <n v="1"/>
    <n v="6"/>
    <n v="0.125"/>
    <s v="EXTRACT VANILLA IMIT"/>
    <x v="230"/>
    <x v="1"/>
    <n v="0.75"/>
    <n v="0.34019427750000003"/>
    <m/>
    <n v="0"/>
  </r>
  <r>
    <d v="2019-02-04T00:00:00"/>
    <s v="Royal"/>
    <n v="1"/>
    <n v="1"/>
    <n v="4.6049999999999995"/>
    <s v="Fennel/Anise"/>
    <x v="231"/>
    <x v="1"/>
    <n v="4.6049999999999995"/>
    <n v="2.0887928638499997"/>
    <n v="0.33100000000000002"/>
    <n v="0.69139043793434996"/>
  </r>
  <r>
    <d v="2019-02-01T00:00:00"/>
    <s v="Seafood"/>
    <n v="10"/>
    <n v="1"/>
    <n v="10"/>
    <s v="TILAPIA FIL IQF 3-0.3125 RAW"/>
    <x v="232"/>
    <x v="0"/>
    <n v="100"/>
    <n v="45.359237"/>
    <n v="3.0209999999999999"/>
    <n v="137.030254977"/>
  </r>
  <r>
    <d v="2019-02-04T00:00:00"/>
    <s v="Seafood"/>
    <n v="6"/>
    <n v="1"/>
    <n v="10"/>
    <s v="POLLOCK FLT IQF 4-6OZ CHN"/>
    <x v="232"/>
    <x v="0"/>
    <n v="60"/>
    <n v="27.215542200000002"/>
    <n v="3.0209999999999999"/>
    <n v="82.218152986199996"/>
  </r>
  <r>
    <d v="2019-02-04T00:00:00"/>
    <s v="Seafood"/>
    <n v="6"/>
    <n v="1"/>
    <n v="10"/>
    <s v="TILAPIA FIL IQF 3-0.3125 RAW"/>
    <x v="232"/>
    <x v="0"/>
    <n v="60"/>
    <n v="27.215542200000002"/>
    <n v="3.0209999999999999"/>
    <n v="82.218152986199996"/>
  </r>
  <r>
    <d v="2019-02-04T00:00:00"/>
    <s v="Seafood"/>
    <n v="6"/>
    <n v="1"/>
    <n v="10"/>
    <s v="SALMON LOIN PAC 4 OZ IQF"/>
    <x v="232"/>
    <x v="0"/>
    <n v="60"/>
    <n v="27.215542200000002"/>
    <n v="3.0209999999999999"/>
    <n v="82.218152986199996"/>
  </r>
  <r>
    <d v="2019-02-07T00:00:00"/>
    <s v="Seafood"/>
    <n v="9"/>
    <n v="1"/>
    <n v="10"/>
    <s v="POLLOCK FLT IQF 4-6OZ CHN"/>
    <x v="232"/>
    <x v="0"/>
    <n v="90"/>
    <n v="40.823313300000002"/>
    <n v="3.0209999999999999"/>
    <n v="123.3272294793"/>
  </r>
  <r>
    <d v="2019-02-07T00:00:00"/>
    <s v="Seafood"/>
    <n v="8"/>
    <n v="1"/>
    <n v="10"/>
    <s v="SALMON LOIN PAC 4 OZ IQF"/>
    <x v="232"/>
    <x v="0"/>
    <n v="80"/>
    <n v="36.287389600000004"/>
    <n v="3.0209999999999999"/>
    <n v="109.6242039816"/>
  </r>
  <r>
    <d v="2019-02-01T00:00:00"/>
    <s v="Canned and dry goods"/>
    <n v="4"/>
    <n v="1"/>
    <n v="50"/>
    <s v="FLOUR HI-GLUTEN ALL TRUMP"/>
    <x v="65"/>
    <x v="1"/>
    <n v="200"/>
    <n v="90.718474000000001"/>
    <n v="0.35799999999999998"/>
    <n v="32.477213691999999"/>
  </r>
  <r>
    <d v="2019-02-04T00:00:00"/>
    <s v="Canned and dry goods"/>
    <n v="3"/>
    <n v="1"/>
    <n v="50"/>
    <s v="FLOUR HI-GLUTEN ALL TRUMP"/>
    <x v="65"/>
    <x v="1"/>
    <n v="150"/>
    <n v="68.038855500000011"/>
    <n v="0.35799999999999998"/>
    <n v="24.357910269000001"/>
  </r>
  <r>
    <d v="2019-02-07T00:00:00"/>
    <s v="Canned and dry goods"/>
    <n v="2"/>
    <n v="1"/>
    <n v="50"/>
    <s v="FLOUR HI-GLUTEN ALL TRUMP"/>
    <x v="65"/>
    <x v="1"/>
    <n v="100"/>
    <n v="45.359237"/>
    <n v="0.35799999999999998"/>
    <n v="16.238606846"/>
  </r>
  <r>
    <d v="2019-02-06T00:00:00"/>
    <s v="Royal"/>
    <n v="1"/>
    <n v="1"/>
    <n v="18.16"/>
    <s v="Garlic   Peeled Chinese"/>
    <x v="66"/>
    <x v="1"/>
    <n v="18.16"/>
    <n v="8.2372374392000012"/>
    <n v="0.74299999999999999"/>
    <n v="6.1202674173256009"/>
  </r>
  <r>
    <d v="2019-02-05T00:00:00"/>
    <s v="Royal"/>
    <n v="1"/>
    <n v="1"/>
    <n v="18.16"/>
    <s v="Garlic   Peeled Choice (U.S. GROWN)"/>
    <x v="66"/>
    <x v="1"/>
    <n v="18.16"/>
    <n v="8.2372374392000012"/>
    <n v="0.74299999999999999"/>
    <n v="6.1202674173256009"/>
  </r>
  <r>
    <d v="2019-02-04T00:00:00"/>
    <s v="Royal"/>
    <n v="2"/>
    <n v="1"/>
    <n v="25"/>
    <s v="Root Ginger"/>
    <x v="67"/>
    <x v="1"/>
    <n v="50"/>
    <n v="22.6796185"/>
    <n v="0.95"/>
    <n v="21.545637575000001"/>
  </r>
  <r>
    <d v="2019-02-07T00:00:00"/>
    <s v="Royal"/>
    <n v="8"/>
    <n v="1"/>
    <n v="18"/>
    <s v="Grape   Red"/>
    <x v="68"/>
    <x v="1"/>
    <n v="144"/>
    <n v="65.317301279999995"/>
    <n v="0.47799999999999998"/>
    <n v="31.221670011839997"/>
  </r>
  <r>
    <d v="2019-02-06T00:00:00"/>
    <s v="Royal"/>
    <n v="8"/>
    <n v="1"/>
    <n v="18"/>
    <s v="Grape   Red"/>
    <x v="68"/>
    <x v="1"/>
    <n v="144"/>
    <n v="65.317301279999995"/>
    <n v="0.47799999999999998"/>
    <n v="31.221670011839997"/>
  </r>
  <r>
    <d v="2019-02-05T00:00:00"/>
    <s v="Royal"/>
    <n v="8"/>
    <n v="1"/>
    <n v="18"/>
    <s v="Grape   Red"/>
    <x v="68"/>
    <x v="1"/>
    <n v="144"/>
    <n v="65.317301279999995"/>
    <n v="0.47799999999999998"/>
    <n v="31.221670011839997"/>
  </r>
  <r>
    <d v="2019-02-04T00:00:00"/>
    <s v="Royal"/>
    <n v="6"/>
    <n v="1"/>
    <n v="18"/>
    <s v="Grape   Red"/>
    <x v="68"/>
    <x v="1"/>
    <n v="108"/>
    <n v="48.987975960000007"/>
    <n v="0.47799999999999998"/>
    <n v="23.416252508880003"/>
  </r>
  <r>
    <d v="2019-02-05T00:00:00"/>
    <s v="Royal"/>
    <n v="2"/>
    <n v="1"/>
    <n v="39.15"/>
    <s v="Grapefruit Red"/>
    <x v="177"/>
    <x v="1"/>
    <n v="78.3"/>
    <n v="35.516282571000005"/>
    <n v="1.21"/>
    <n v="42.974701910910007"/>
  </r>
  <r>
    <d v="2019-02-04T00:00:00"/>
    <s v="Mayfield Dairy"/>
    <n v="12"/>
    <n v="1"/>
    <n v="2.0499999999999998"/>
    <s v="h and h"/>
    <x v="72"/>
    <x v="2"/>
    <n v="24.599999999999998"/>
    <n v="11.158372302"/>
    <n v="3.2614999999999998"/>
    <n v="36.393031262972997"/>
  </r>
  <r>
    <d v="2019-02-01T00:00:00"/>
    <s v="Mayfield Dairy"/>
    <n v="24"/>
    <n v="1"/>
    <n v="2.0499999999999998"/>
    <s v="h and h"/>
    <x v="72"/>
    <x v="2"/>
    <n v="49.199999999999996"/>
    <n v="22.316744604"/>
    <n v="3.2614999999999998"/>
    <n v="72.786062525945994"/>
  </r>
  <r>
    <d v="2019-02-07T00:00:00"/>
    <s v="Dairy Products"/>
    <n v="2"/>
    <n v="12"/>
    <n v="2.0499999999999998"/>
    <s v="CREAMER HALF &amp;  HALF UHT"/>
    <x v="72"/>
    <x v="2"/>
    <n v="49.199999999999996"/>
    <n v="22.316744604"/>
    <n v="3.2614999999999998"/>
    <n v="72.786062525945994"/>
  </r>
  <r>
    <d v="2019-02-04T00:00:00"/>
    <s v="Mayfield Dairy"/>
    <n v="12"/>
    <n v="1"/>
    <n v="1.06"/>
    <s v="heavy whip cream"/>
    <x v="166"/>
    <x v="2"/>
    <n v="12.72"/>
    <n v="5.7696949464000014"/>
    <n v="5.32"/>
    <n v="30.694777114848009"/>
  </r>
  <r>
    <d v="2019-02-01T00:00:00"/>
    <s v="Mayfield Dairy"/>
    <n v="12"/>
    <n v="1"/>
    <n v="1.06"/>
    <s v="heavy whip cream"/>
    <x v="166"/>
    <x v="2"/>
    <n v="12.72"/>
    <n v="5.7696949464000014"/>
    <n v="5.32"/>
    <n v="30.694777114848009"/>
  </r>
  <r>
    <d v="2019-02-07T00:00:00"/>
    <s v="Dairy Products"/>
    <n v="1"/>
    <n v="12"/>
    <n v="0.125"/>
    <s v="CREAM HEAVY WHIPPING 36% ESL"/>
    <x v="166"/>
    <x v="2"/>
    <n v="1.5"/>
    <n v="0.68038855500000006"/>
    <n v="5.32"/>
    <n v="3.6196671126000006"/>
  </r>
  <r>
    <d v="2019-02-07T00:00:00"/>
    <s v="Royal"/>
    <n v="1"/>
    <n v="1"/>
    <n v="0.25"/>
    <s v="Herbs Dill 1/4#"/>
    <x v="152"/>
    <x v="1"/>
    <n v="0.25"/>
    <n v="0.11339809250000001"/>
    <n v="0.221"/>
    <n v="2.5060978442500003E-2"/>
  </r>
  <r>
    <d v="2019-02-07T00:00:00"/>
    <s v="Royal"/>
    <n v="1"/>
    <n v="1"/>
    <n v="1"/>
    <s v="Herbs Thyme"/>
    <x v="152"/>
    <x v="1"/>
    <n v="1"/>
    <n v="0.45359237000000002"/>
    <n v="0.221"/>
    <n v="0.10024391377000001"/>
  </r>
  <r>
    <d v="2019-02-05T00:00:00"/>
    <s v="Royal"/>
    <n v="1"/>
    <n v="1"/>
    <n v="1"/>
    <s v="Herbs Thyme"/>
    <x v="152"/>
    <x v="1"/>
    <n v="1"/>
    <n v="0.45359237000000002"/>
    <n v="0.221"/>
    <n v="0.10024391377000001"/>
  </r>
  <r>
    <d v="2019-02-01T00:00:00"/>
    <s v="Royal"/>
    <n v="1"/>
    <n v="1"/>
    <n v="0.25"/>
    <s v="Herbs Mint 1/4#"/>
    <x v="152"/>
    <x v="1"/>
    <n v="0.25"/>
    <n v="0.11339809250000001"/>
    <n v="0.221"/>
    <n v="2.5060978442500003E-2"/>
  </r>
  <r>
    <d v="2019-02-07T00:00:00"/>
    <s v="Royal"/>
    <n v="1"/>
    <n v="1"/>
    <n v="18"/>
    <s v="Honey Bears Wildflw 24/12oz Georgia"/>
    <x v="75"/>
    <x v="1"/>
    <n v="18"/>
    <n v="8.1646626599999994"/>
    <n v="2.44"/>
    <n v="19.921776890399997"/>
  </r>
  <r>
    <d v="2019-02-01T00:00:00"/>
    <s v="Canned and dry goods"/>
    <n v="1"/>
    <n v="6"/>
    <n v="5"/>
    <s v="HONEY LIGHT AMBER"/>
    <x v="75"/>
    <x v="1"/>
    <n v="30"/>
    <n v="13.607771100000001"/>
    <n v="2.44"/>
    <n v="33.202961483999999"/>
  </r>
  <r>
    <d v="2019-02-04T00:00:00"/>
    <s v="Canned and dry goods"/>
    <n v="1"/>
    <n v="6"/>
    <n v="5"/>
    <s v="HONEY LIGHT AMBER"/>
    <x v="75"/>
    <x v="1"/>
    <n v="30"/>
    <n v="13.607771100000001"/>
    <n v="2.44"/>
    <n v="33.202961483999999"/>
  </r>
  <r>
    <d v="2019-02-07T00:00:00"/>
    <s v="Royal"/>
    <n v="8"/>
    <n v="1"/>
    <n v="24"/>
    <s v="Melon   Honeydew 5/6ct"/>
    <x v="76"/>
    <x v="1"/>
    <n v="192"/>
    <n v="87.089735040000008"/>
    <n v="0.28399999999999997"/>
    <n v="24.733484751359999"/>
  </r>
  <r>
    <d v="2019-02-06T00:00:00"/>
    <s v="Royal"/>
    <n v="8"/>
    <n v="1"/>
    <n v="24"/>
    <s v="Melon   Honeydew 5/6ct"/>
    <x v="76"/>
    <x v="1"/>
    <n v="192"/>
    <n v="87.089735040000008"/>
    <n v="0.28399999999999997"/>
    <n v="24.733484751359999"/>
  </r>
  <r>
    <d v="2019-02-05T00:00:00"/>
    <s v="Royal"/>
    <n v="8"/>
    <n v="1"/>
    <n v="36"/>
    <s v="Melon   Honeydew 8ct"/>
    <x v="76"/>
    <x v="1"/>
    <n v="288"/>
    <n v="130.63460255999999"/>
    <n v="0.28399999999999997"/>
    <n v="37.100227127039993"/>
  </r>
  <r>
    <d v="2019-02-04T00:00:00"/>
    <s v="Royal"/>
    <n v="6"/>
    <n v="1"/>
    <n v="36"/>
    <s v="Melon   Honeydew 8ct"/>
    <x v="76"/>
    <x v="1"/>
    <n v="216"/>
    <n v="97.975951920000014"/>
    <n v="0.28399999999999997"/>
    <n v="27.82517034528"/>
  </r>
  <r>
    <d v="2019-02-01T00:00:00"/>
    <s v="Royal"/>
    <n v="8"/>
    <n v="1"/>
    <n v="36"/>
    <s v="Melon   Honeydew 8ct"/>
    <x v="76"/>
    <x v="1"/>
    <n v="288"/>
    <n v="130.63460255999999"/>
    <n v="0.28399999999999997"/>
    <n v="37.100227127039993"/>
  </r>
  <r>
    <d v="2019-02-01T00:00:00"/>
    <s v="Honeysuckle Gelato"/>
    <n v="1"/>
    <n v="1"/>
    <n v="20"/>
    <s v="honey fig"/>
    <x v="77"/>
    <x v="2"/>
    <n v="20"/>
    <n v="9.0718474000000011"/>
    <n v="3.84"/>
    <n v="34.835894016000005"/>
  </r>
  <r>
    <d v="2019-02-01T00:00:00"/>
    <s v="Honeysuckle Gelato"/>
    <n v="1"/>
    <n v="1"/>
    <n v="30"/>
    <s v="white chocolate w/ raspberry swirl"/>
    <x v="77"/>
    <x v="2"/>
    <n v="30"/>
    <n v="13.607771100000001"/>
    <n v="3.84"/>
    <n v="52.253841024000003"/>
  </r>
  <r>
    <d v="2019-02-01T00:00:00"/>
    <s v="Honeysuckle Gelato"/>
    <n v="1"/>
    <n v="1"/>
    <n v="10"/>
    <s v="dark chocolate"/>
    <x v="77"/>
    <x v="2"/>
    <n v="10"/>
    <n v="4.5359237000000006"/>
    <n v="3.84"/>
    <n v="17.417947008000002"/>
  </r>
  <r>
    <d v="2019-02-01T00:00:00"/>
    <s v="Southern Swiss Dairy"/>
    <n v="3"/>
    <n v="1"/>
    <n v="18.21"/>
    <s v="vanilla ice cream"/>
    <x v="77"/>
    <x v="2"/>
    <n v="54.63"/>
    <n v="24.779751173100003"/>
    <n v="3.84"/>
    <n v="95.15424450470401"/>
  </r>
  <r>
    <d v="2019-02-01T00:00:00"/>
    <s v="Southern Swiss Dairy"/>
    <n v="3"/>
    <n v="1"/>
    <n v="18.21"/>
    <s v="strawberry ice cream"/>
    <x v="77"/>
    <x v="2"/>
    <n v="54.63"/>
    <n v="24.779751173100003"/>
    <n v="3.84"/>
    <n v="95.15424450470401"/>
  </r>
  <r>
    <d v="2019-02-01T00:00:00"/>
    <s v="Southern Swiss Dairy"/>
    <n v="3"/>
    <n v="1"/>
    <n v="18.21"/>
    <s v="chocolate ice cream"/>
    <x v="77"/>
    <x v="2"/>
    <n v="54.63"/>
    <n v="24.779751173100003"/>
    <n v="3.84"/>
    <n v="95.15424450470401"/>
  </r>
  <r>
    <d v="2019-02-01T00:00:00"/>
    <s v="Canned and dry goods"/>
    <n v="1"/>
    <n v="6"/>
    <n v="4"/>
    <s v="JELLY GRAPE"/>
    <x v="204"/>
    <x v="1"/>
    <n v="24"/>
    <n v="10.886216880000001"/>
    <n v="3.25"/>
    <n v="35.380204860000006"/>
  </r>
  <r>
    <d v="2019-02-07T00:00:00"/>
    <s v="Canned and dry goods"/>
    <n v="1"/>
    <n v="6"/>
    <n v="4"/>
    <s v="JELLY GRAPE"/>
    <x v="204"/>
    <x v="1"/>
    <n v="24"/>
    <n v="10.886216880000001"/>
    <n v="3.25"/>
    <n v="35.380204860000006"/>
  </r>
  <r>
    <d v="2019-02-02T00:00:00"/>
    <s v="Royal"/>
    <n v="2"/>
    <n v="1"/>
    <n v="9.75"/>
    <s v="kale"/>
    <x v="79"/>
    <x v="1"/>
    <n v="19.5"/>
    <n v="8.8450512149999998"/>
    <n v="0.193"/>
    <n v="1.707094884495"/>
  </r>
  <r>
    <d v="2019-02-01T00:00:00"/>
    <s v="Royal"/>
    <n v="3"/>
    <n v="1"/>
    <n v="10"/>
    <s v="Pr Kale Chopped &amp; Cleaned NL LOCAL"/>
    <x v="79"/>
    <x v="1"/>
    <n v="30"/>
    <n v="13.607771100000001"/>
    <n v="0.193"/>
    <n v="2.6262998223"/>
  </r>
  <r>
    <d v="2019-02-01T00:00:00"/>
    <s v="Royal"/>
    <n v="1"/>
    <n v="1"/>
    <n v="25.44"/>
    <s v="Juice Lemon Qt 12/1"/>
    <x v="82"/>
    <x v="1"/>
    <n v="25.44"/>
    <n v="11.539389892800003"/>
    <n v="0.33200000000000002"/>
    <n v="3.8310774444096012"/>
  </r>
  <r>
    <d v="2019-02-01T00:00:00"/>
    <s v="Canned and dry goods"/>
    <n v="1"/>
    <n v="1"/>
    <n v="20"/>
    <s v="BEAN LENTIL DRIED"/>
    <x v="206"/>
    <x v="1"/>
    <n v="20"/>
    <n v="9.0718474000000011"/>
    <n v="1.88"/>
    <n v="17.055073112000002"/>
  </r>
  <r>
    <d v="2019-02-07T00:00:00"/>
    <s v="Royal"/>
    <n v="4"/>
    <n v="1"/>
    <n v="12"/>
    <s v="Lettuce Field Mix 12#"/>
    <x v="83"/>
    <x v="1"/>
    <n v="48"/>
    <n v="21.772433760000002"/>
    <n v="0.22"/>
    <n v="4.7899354272000005"/>
  </r>
  <r>
    <d v="2019-02-04T00:00:00"/>
    <s v="Royal"/>
    <n v="3"/>
    <n v="1"/>
    <n v="12"/>
    <s v="Lettuce Field Mix 12#"/>
    <x v="83"/>
    <x v="1"/>
    <n v="36"/>
    <n v="16.329325319999999"/>
    <n v="0.22"/>
    <n v="3.5924515703999997"/>
  </r>
  <r>
    <d v="2019-02-01T00:00:00"/>
    <s v="Royal"/>
    <n v="2"/>
    <n v="1"/>
    <n v="12"/>
    <s v="Lettuce Field Mix 12#"/>
    <x v="83"/>
    <x v="1"/>
    <n v="24"/>
    <n v="10.886216880000001"/>
    <n v="0.22"/>
    <n v="2.3949677136000003"/>
  </r>
  <r>
    <d v="2019-02-06T00:00:00"/>
    <s v="Royal"/>
    <n v="1"/>
    <n v="1"/>
    <n v="25.619999999999997"/>
    <s v="Juice Lime Quart 12/1"/>
    <x v="84"/>
    <x v="1"/>
    <n v="25.619999999999997"/>
    <n v="11.621036519399999"/>
    <n v="1.9430000000000001"/>
    <n v="22.579673957194199"/>
  </r>
  <r>
    <d v="2019-02-01T00:00:00"/>
    <s v="Frozen"/>
    <n v="1"/>
    <n v="2"/>
    <n v="5"/>
    <s v="MANGO CHUNK"/>
    <x v="233"/>
    <x v="1"/>
    <n v="10"/>
    <n v="4.5359237000000006"/>
    <n v="0.63900000000000001"/>
    <n v="2.8984552443000005"/>
  </r>
  <r>
    <d v="2019-02-01T00:00:00"/>
    <s v="Dairy Products"/>
    <n v="1"/>
    <n v="6"/>
    <n v="5"/>
    <s v="MARGARINE SOFT BUTRY SPRD TUB"/>
    <x v="207"/>
    <x v="1"/>
    <n v="30"/>
    <n v="13.607771100000001"/>
    <m/>
    <n v="0"/>
  </r>
  <r>
    <d v="2019-02-04T00:00:00"/>
    <s v="Dairy Products"/>
    <n v="1"/>
    <n v="6"/>
    <n v="5"/>
    <s v="MARGARINE SOFT BUTRY SPRD TUB"/>
    <x v="207"/>
    <x v="1"/>
    <n v="30"/>
    <n v="13.607771100000001"/>
    <m/>
    <n v="0"/>
  </r>
  <r>
    <d v="2019-02-04T00:00:00"/>
    <s v="Mayfield Dairy"/>
    <n v="6"/>
    <n v="1"/>
    <n v="43"/>
    <s v="homo disp milk"/>
    <x v="86"/>
    <x v="2"/>
    <n v="258"/>
    <n v="117.02683146"/>
    <n v="1.23"/>
    <n v="143.9430026958"/>
  </r>
  <r>
    <d v="2019-02-04T00:00:00"/>
    <s v="Mayfield Dairy"/>
    <n v="5"/>
    <n v="1"/>
    <n v="43"/>
    <s v="2% milk"/>
    <x v="86"/>
    <x v="2"/>
    <n v="215"/>
    <n v="97.522359550000004"/>
    <n v="1.23"/>
    <n v="119.9525022465"/>
  </r>
  <r>
    <d v="2019-02-04T00:00:00"/>
    <s v="Mayfield Dairy"/>
    <n v="2"/>
    <n v="1"/>
    <n v="43"/>
    <s v="skim milk"/>
    <x v="86"/>
    <x v="2"/>
    <n v="86"/>
    <n v="39.008943819999999"/>
    <n v="1.23"/>
    <n v="47.981000898600001"/>
  </r>
  <r>
    <d v="2019-02-04T00:00:00"/>
    <s v="Mayfield Dairy"/>
    <n v="5"/>
    <n v="1"/>
    <n v="43"/>
    <s v="true moo choc"/>
    <x v="86"/>
    <x v="2"/>
    <n v="215"/>
    <n v="97.522359550000004"/>
    <n v="1.23"/>
    <n v="119.9525022465"/>
  </r>
  <r>
    <d v="2019-02-01T00:00:00"/>
    <s v="Mayfield Dairy"/>
    <n v="11"/>
    <n v="1"/>
    <n v="43"/>
    <s v="homo disp milk"/>
    <x v="86"/>
    <x v="2"/>
    <n v="473"/>
    <n v="214.54919101000002"/>
    <n v="1.23"/>
    <n v="263.89550494230002"/>
  </r>
  <r>
    <d v="2019-02-01T00:00:00"/>
    <s v="Mayfield Dairy"/>
    <n v="5"/>
    <n v="1"/>
    <n v="43"/>
    <s v="2% milk"/>
    <x v="86"/>
    <x v="2"/>
    <n v="215"/>
    <n v="97.522359550000004"/>
    <n v="1.23"/>
    <n v="119.9525022465"/>
  </r>
  <r>
    <d v="2019-02-01T00:00:00"/>
    <s v="Mayfield Dairy"/>
    <n v="2"/>
    <n v="1"/>
    <n v="43"/>
    <s v="skim milk"/>
    <x v="86"/>
    <x v="2"/>
    <n v="86"/>
    <n v="39.008943819999999"/>
    <n v="1.23"/>
    <n v="47.981000898600001"/>
  </r>
  <r>
    <d v="2019-02-01T00:00:00"/>
    <s v="Mayfield Dairy"/>
    <n v="5"/>
    <n v="1"/>
    <n v="43"/>
    <s v="true moo choc"/>
    <x v="86"/>
    <x v="2"/>
    <n v="215"/>
    <n v="97.522359550000004"/>
    <n v="1.23"/>
    <n v="119.9525022465"/>
  </r>
  <r>
    <d v="2019-02-06T00:00:00"/>
    <s v="Southern Swiss Dairy "/>
    <n v="10"/>
    <n v="1"/>
    <n v="43"/>
    <s v="whole milk"/>
    <x v="86"/>
    <x v="2"/>
    <n v="430"/>
    <n v="195.04471910000001"/>
    <n v="1.23"/>
    <n v="239.90500449300001"/>
  </r>
  <r>
    <d v="2019-02-06T00:00:00"/>
    <s v="Southern Swiss Dairy "/>
    <n v="8"/>
    <n v="1"/>
    <n v="43"/>
    <s v="2% milk"/>
    <x v="86"/>
    <x v="2"/>
    <n v="344"/>
    <n v="156.03577528"/>
    <n v="1.23"/>
    <n v="191.92400359440001"/>
  </r>
  <r>
    <d v="2019-02-06T00:00:00"/>
    <s v="Southern Swiss Dairy "/>
    <n v="2"/>
    <n v="1"/>
    <n v="43"/>
    <s v="skim milk"/>
    <x v="86"/>
    <x v="2"/>
    <n v="86"/>
    <n v="39.008943819999999"/>
    <n v="1.23"/>
    <n v="47.981000898600001"/>
  </r>
  <r>
    <d v="2019-02-06T00:00:00"/>
    <s v="Southern Swiss Dairy "/>
    <n v="4"/>
    <n v="1"/>
    <n v="43"/>
    <s v="chocolate milk"/>
    <x v="86"/>
    <x v="2"/>
    <n v="172"/>
    <n v="78.017887639999998"/>
    <n v="1.23"/>
    <n v="95.962001797200003"/>
  </r>
  <r>
    <d v="2019-02-01T00:00:00"/>
    <s v="Dairy Products"/>
    <n v="2"/>
    <n v="20"/>
    <n v="0.5"/>
    <s v="MILK NFAT 100% LACT CAL ENRCHD"/>
    <x v="86"/>
    <x v="2"/>
    <n v="20"/>
    <n v="9.0718474000000011"/>
    <n v="1.23"/>
    <n v="11.158372302000002"/>
  </r>
  <r>
    <d v="2019-02-04T00:00:00"/>
    <s v="Dairy Products"/>
    <n v="2"/>
    <n v="20"/>
    <n v="0.5"/>
    <s v="MILK NFAT 100% LACT CAL ENRCHD"/>
    <x v="86"/>
    <x v="2"/>
    <n v="20"/>
    <n v="9.0718474000000011"/>
    <n v="1.23"/>
    <n v="11.158372302000002"/>
  </r>
  <r>
    <d v="2019-02-07T00:00:00"/>
    <s v="Dairy Products"/>
    <n v="2"/>
    <n v="20"/>
    <n v="0.5"/>
    <s v="MILK NFAT 100% LACT CAL ENRCHD"/>
    <x v="86"/>
    <x v="2"/>
    <n v="20"/>
    <n v="9.0718474000000011"/>
    <n v="1.23"/>
    <n v="11.158372302000002"/>
  </r>
  <r>
    <d v="2019-02-01T00:00:00"/>
    <s v="Canned and dry goods"/>
    <n v="1"/>
    <n v="4"/>
    <n v="11.89"/>
    <s v="MOLASSES UNSULFURED"/>
    <x v="234"/>
    <x v="1"/>
    <n v="47.56"/>
    <n v="21.572853117200001"/>
    <n v="0.48799999999999999"/>
    <n v="10.5275523211936"/>
  </r>
  <r>
    <d v="2019-02-04T00:00:00"/>
    <s v="Canned and dry goods"/>
    <n v="1"/>
    <n v="4"/>
    <n v="11.89"/>
    <s v="MOLASSES UNSULFURED"/>
    <x v="234"/>
    <x v="1"/>
    <n v="47.56"/>
    <n v="21.572853117200001"/>
    <n v="0.48799999999999999"/>
    <n v="10.5275523211936"/>
  </r>
  <r>
    <d v="2019-02-07T00:00:00"/>
    <s v="Royal"/>
    <n v="5"/>
    <n v="1"/>
    <n v="5"/>
    <s v="Mushroom"/>
    <x v="88"/>
    <x v="1"/>
    <n v="25"/>
    <n v="11.33980925"/>
    <n v="3.093"/>
    <n v="35.074030010249999"/>
  </r>
  <r>
    <d v="2019-02-06T00:00:00"/>
    <s v="Royal"/>
    <n v="4"/>
    <n v="1"/>
    <n v="5"/>
    <s v="Mushroom"/>
    <x v="88"/>
    <x v="1"/>
    <n v="20"/>
    <n v="9.0718474000000011"/>
    <n v="3.093"/>
    <n v="28.059224008200005"/>
  </r>
  <r>
    <d v="2019-02-06T00:00:00"/>
    <s v="Royal"/>
    <n v="8"/>
    <n v="1"/>
    <n v="5"/>
    <s v="Mushroom"/>
    <x v="88"/>
    <x v="1"/>
    <n v="40"/>
    <n v="18.143694800000002"/>
    <n v="3.093"/>
    <n v="56.118448016400009"/>
  </r>
  <r>
    <d v="2019-02-05T00:00:00"/>
    <s v="Royal"/>
    <n v="2"/>
    <n v="1"/>
    <n v="5"/>
    <s v="Mushroom"/>
    <x v="88"/>
    <x v="1"/>
    <n v="10"/>
    <n v="4.5359237000000006"/>
    <n v="3.093"/>
    <n v="14.029612004100002"/>
  </r>
  <r>
    <d v="2019-02-05T00:00:00"/>
    <s v="Royal"/>
    <n v="4"/>
    <n v="1"/>
    <n v="5"/>
    <s v="Mushroom"/>
    <x v="88"/>
    <x v="1"/>
    <n v="20"/>
    <n v="9.0718474000000011"/>
    <n v="3.093"/>
    <n v="28.059224008200005"/>
  </r>
  <r>
    <d v="2019-02-04T00:00:00"/>
    <s v="Royal"/>
    <n v="4"/>
    <n v="1"/>
    <n v="3"/>
    <s v="Mushroom"/>
    <x v="88"/>
    <x v="1"/>
    <n v="12"/>
    <n v="5.4431084400000005"/>
    <n v="3.093"/>
    <n v="16.835534404920001"/>
  </r>
  <r>
    <d v="2019-02-04T00:00:00"/>
    <s v="Royal"/>
    <n v="6"/>
    <n v="1"/>
    <n v="5"/>
    <s v="Mushroom"/>
    <x v="88"/>
    <x v="1"/>
    <n v="30"/>
    <n v="13.607771100000001"/>
    <n v="3.093"/>
    <n v="42.0888360123"/>
  </r>
  <r>
    <d v="2019-02-01T00:00:00"/>
    <s v="Canned and dry goods"/>
    <n v="3"/>
    <n v="4"/>
    <n v="5"/>
    <s v="NOODLE YAKI SOBA"/>
    <x v="89"/>
    <x v="1"/>
    <n v="60"/>
    <n v="27.215542200000002"/>
    <n v="5.99"/>
    <n v="163.02109777800001"/>
  </r>
  <r>
    <d v="2019-02-01T00:00:00"/>
    <s v="Frozen"/>
    <n v="4"/>
    <n v="4"/>
    <n v="5"/>
    <s v="NOODLE LO MEIN"/>
    <x v="89"/>
    <x v="1"/>
    <n v="80"/>
    <n v="36.287389600000004"/>
    <n v="5.99"/>
    <n v="217.36146370400004"/>
  </r>
  <r>
    <d v="2019-02-04T00:00:00"/>
    <s v="Royal"/>
    <n v="3"/>
    <n v="1"/>
    <n v="11"/>
    <s v="Okra"/>
    <x v="235"/>
    <x v="1"/>
    <n v="33"/>
    <n v="14.968548210000002"/>
    <n v="0.496"/>
    <n v="7.4243999121600011"/>
  </r>
  <r>
    <d v="2019-02-01T00:00:00"/>
    <s v="Royal"/>
    <n v="2"/>
    <n v="1"/>
    <n v="11"/>
    <s v="Okra"/>
    <x v="235"/>
    <x v="1"/>
    <n v="22"/>
    <n v="9.979032140000001"/>
    <n v="0.496"/>
    <n v="4.9495999414400007"/>
  </r>
  <r>
    <d v="2019-02-01T00:00:00"/>
    <s v="Canned and dry goods"/>
    <n v="1"/>
    <n v="6"/>
    <n v="10"/>
    <s v="OLIVE RIPE SLICED"/>
    <x v="91"/>
    <x v="1"/>
    <n v="60"/>
    <n v="27.215542200000002"/>
    <n v="0.48199999999999998"/>
    <n v="13.1178913404"/>
  </r>
  <r>
    <d v="2019-02-07T00:00:00"/>
    <s v="Canned and dry goods"/>
    <n v="1"/>
    <n v="6"/>
    <n v="10"/>
    <s v="OLIVE RIPE SLICED"/>
    <x v="236"/>
    <x v="1"/>
    <n v="60"/>
    <n v="27.215542200000002"/>
    <n v="0.48199999999999998"/>
    <n v="13.1178913404"/>
  </r>
  <r>
    <d v="2019-02-01T00:00:00"/>
    <s v="Canned and dry goods"/>
    <n v="1"/>
    <n v="6"/>
    <n v="7.9"/>
    <s v="OIL OLIVE EXTRA VIRGIN"/>
    <x v="237"/>
    <x v="1"/>
    <n v="47.400000000000006"/>
    <n v="21.500278338000005"/>
    <n v="3.206"/>
    <n v="68.929892351628013"/>
  </r>
  <r>
    <d v="2019-02-07T00:00:00"/>
    <s v="Royal"/>
    <n v="1"/>
    <n v="1"/>
    <n v="20"/>
    <s v="Pr Onion  Yel  Diced 1/4&quot;"/>
    <x v="92"/>
    <x v="1"/>
    <n v="20"/>
    <n v="9.0718474000000011"/>
    <n v="0.26900000000000002"/>
    <n v="2.4403269506000003"/>
  </r>
  <r>
    <d v="2019-02-06T00:00:00"/>
    <s v="Royal"/>
    <n v="1"/>
    <n v="1"/>
    <n v="50"/>
    <s v="Onion   Yellow Jumbo"/>
    <x v="92"/>
    <x v="1"/>
    <n v="50"/>
    <n v="22.6796185"/>
    <n v="0.26900000000000002"/>
    <n v="6.1008173765000002"/>
  </r>
  <r>
    <d v="2019-02-02T00:00:00"/>
    <s v="Royal"/>
    <n v="2"/>
    <n v="1"/>
    <n v="20"/>
    <s v="onion yellow diced"/>
    <x v="92"/>
    <x v="1"/>
    <n v="40"/>
    <n v="18.143694800000002"/>
    <n v="0.26900000000000002"/>
    <n v="4.8806539012000005"/>
  </r>
  <r>
    <d v="2019-02-07T00:00:00"/>
    <s v="Royal"/>
    <n v="2"/>
    <n v="1"/>
    <n v="50"/>
    <s v="Onion   Yellow Jumbo"/>
    <x v="92"/>
    <x v="1"/>
    <n v="100"/>
    <n v="45.359237"/>
    <n v="0.26900000000000002"/>
    <n v="12.201634753"/>
  </r>
  <r>
    <d v="2019-02-04T00:00:00"/>
    <s v="Royal"/>
    <n v="1"/>
    <n v="1"/>
    <n v="1.5"/>
    <s v="Onion   Green Iceless"/>
    <x v="93"/>
    <x v="1"/>
    <n v="1.5"/>
    <n v="0.68038855500000006"/>
    <n v="8.5000000000000006E-2"/>
    <n v="5.783302717500001E-2"/>
  </r>
  <r>
    <d v="2019-02-01T00:00:00"/>
    <s v="Common Market"/>
    <n v="1"/>
    <n v="1"/>
    <n v="79.2"/>
    <s v="mandarin orange"/>
    <x v="209"/>
    <x v="1"/>
    <n v="79.2"/>
    <n v="35.924515704000008"/>
    <n v="0.29399999999999998"/>
    <n v="10.561807616976001"/>
  </r>
  <r>
    <d v="2019-02-05T00:00:00"/>
    <s v="Common Market"/>
    <n v="1"/>
    <n v="1"/>
    <n v="79.2"/>
    <s v="mandarin orange"/>
    <x v="209"/>
    <x v="1"/>
    <n v="79.2"/>
    <n v="35.924515704000008"/>
    <n v="0.29399999999999998"/>
    <n v="10.561807616976001"/>
  </r>
  <r>
    <d v="2019-02-07T00:00:00"/>
    <s v="Royal"/>
    <n v="2"/>
    <n v="1"/>
    <n v="25.414928"/>
    <s v="oranges"/>
    <x v="96"/>
    <x v="1"/>
    <n v="50.829855999999999"/>
    <n v="23.056034849798721"/>
    <n v="0.29399999999999998"/>
    <n v="6.7784742458408234"/>
  </r>
  <r>
    <d v="2019-02-07T00:00:00"/>
    <s v="Royal"/>
    <n v="10"/>
    <n v="1"/>
    <n v="32.635078"/>
    <s v="oranges"/>
    <x v="96"/>
    <x v="1"/>
    <n v="326.35077999999999"/>
    <n v="148.03022375154859"/>
    <n v="0.29399999999999998"/>
    <n v="43.520885782955283"/>
  </r>
  <r>
    <d v="2019-02-06T00:00:00"/>
    <s v="Royal"/>
    <n v="20"/>
    <n v="1"/>
    <n v="32.635078"/>
    <s v="oranges"/>
    <x v="96"/>
    <x v="1"/>
    <n v="652.70155999999997"/>
    <n v="296.06044750309718"/>
    <n v="0.29399999999999998"/>
    <n v="87.041771565910565"/>
  </r>
  <r>
    <d v="2019-02-05T00:00:00"/>
    <s v="Royal"/>
    <n v="10"/>
    <n v="1"/>
    <n v="32.635078"/>
    <s v="oranges"/>
    <x v="96"/>
    <x v="1"/>
    <n v="326.35077999999999"/>
    <n v="148.03022375154859"/>
    <n v="0.29399999999999998"/>
    <n v="43.520885782955283"/>
  </r>
  <r>
    <d v="2019-02-04T00:00:00"/>
    <s v="Royal"/>
    <n v="13"/>
    <n v="1"/>
    <n v="32.635078"/>
    <s v="oranges"/>
    <x v="96"/>
    <x v="1"/>
    <n v="424.25601399999999"/>
    <n v="192.43929087701318"/>
    <n v="0.29399999999999998"/>
    <n v="56.57715151784187"/>
  </r>
  <r>
    <d v="2019-02-02T00:00:00"/>
    <s v="Royal"/>
    <n v="30"/>
    <n v="1"/>
    <n v="32.635078"/>
    <s v="oranges"/>
    <x v="96"/>
    <x v="1"/>
    <n v="979.05233999999996"/>
    <n v="444.09067125464583"/>
    <n v="0.29399999999999998"/>
    <n v="130.56265734886586"/>
  </r>
  <r>
    <d v="2019-02-04T00:00:00"/>
    <s v="Canned and dry goods"/>
    <n v="4"/>
    <n v="6"/>
    <n v="5"/>
    <s v="MIX PANCAKE BTRMLK COMPLT"/>
    <x v="97"/>
    <x v="1"/>
    <n v="120"/>
    <n v="54.431084400000003"/>
    <m/>
    <n v="0"/>
  </r>
  <r>
    <d v="2019-02-05T00:00:00"/>
    <s v="Royal"/>
    <n v="1"/>
    <n v="1"/>
    <n v="3.75"/>
    <s v="Parsley  Italian Cleaned&amp;Washed"/>
    <x v="98"/>
    <x v="1"/>
    <n v="3.75"/>
    <n v="1.7009713875000001"/>
    <n v="0.23200000000000001"/>
    <n v="0.39462536190000003"/>
  </r>
  <r>
    <d v="2019-02-01T00:00:00"/>
    <s v="Canned and dry goods"/>
    <n v="1"/>
    <n v="2"/>
    <n v="5"/>
    <s v="PASTA NOODLE EGG MED"/>
    <x v="99"/>
    <x v="1"/>
    <n v="10"/>
    <n v="4.5359237000000006"/>
    <n v="5.99"/>
    <n v="27.170182963000006"/>
  </r>
  <r>
    <d v="2019-02-01T00:00:00"/>
    <s v="Canned and dry goods"/>
    <n v="4"/>
    <n v="2"/>
    <n v="10"/>
    <s v="PASTA PENNE RIGATE"/>
    <x v="99"/>
    <x v="1"/>
    <n v="80"/>
    <n v="36.287389600000004"/>
    <n v="5.99"/>
    <n v="217.36146370400004"/>
  </r>
  <r>
    <d v="2019-02-01T00:00:00"/>
    <s v="Canned and dry goods"/>
    <n v="4"/>
    <n v="2"/>
    <n v="10"/>
    <s v="PASTA GEMELLI"/>
    <x v="99"/>
    <x v="1"/>
    <n v="80"/>
    <n v="36.287389600000004"/>
    <n v="5.99"/>
    <n v="217.36146370400004"/>
  </r>
  <r>
    <d v="2019-02-01T00:00:00"/>
    <s v="Canned and dry goods"/>
    <n v="4"/>
    <n v="2"/>
    <n v="10"/>
    <s v="PASTA FARFALLE"/>
    <x v="99"/>
    <x v="1"/>
    <n v="80"/>
    <n v="36.287389600000004"/>
    <n v="5.99"/>
    <n v="217.36146370400004"/>
  </r>
  <r>
    <d v="2019-02-01T00:00:00"/>
    <s v="Canned and dry goods"/>
    <n v="2"/>
    <n v="2"/>
    <n v="10"/>
    <s v="PASTA MACARONI ELBOW"/>
    <x v="99"/>
    <x v="1"/>
    <n v="40"/>
    <n v="18.143694800000002"/>
    <n v="5.99"/>
    <n v="108.68073185200002"/>
  </r>
  <r>
    <d v="2019-02-04T00:00:00"/>
    <s v="Canned and dry goods"/>
    <n v="4"/>
    <n v="8"/>
    <n v="10.125"/>
    <s v="PASTA PENNE RIGATE GLUTEN FREE"/>
    <x v="99"/>
    <x v="1"/>
    <n v="324"/>
    <n v="146.96392788"/>
    <n v="5.99"/>
    <n v="880.3139280012"/>
  </r>
  <r>
    <d v="2019-02-04T00:00:00"/>
    <s v="Canned and dry goods"/>
    <n v="4"/>
    <n v="2"/>
    <n v="10"/>
    <s v="PASTA FARFALLE"/>
    <x v="99"/>
    <x v="1"/>
    <n v="80"/>
    <n v="36.287389600000004"/>
    <n v="5.99"/>
    <n v="217.36146370400004"/>
  </r>
  <r>
    <d v="2019-02-04T00:00:00"/>
    <s v="Canned and dry goods"/>
    <n v="3"/>
    <n v="2"/>
    <n v="10"/>
    <s v="PASTA MACARONI ELBOW"/>
    <x v="99"/>
    <x v="1"/>
    <n v="60"/>
    <n v="27.215542200000002"/>
    <n v="5.99"/>
    <n v="163.02109777800001"/>
  </r>
  <r>
    <d v="2019-02-07T00:00:00"/>
    <s v="Canned and dry goods"/>
    <n v="3"/>
    <n v="2"/>
    <n v="10"/>
    <s v="PASTA PENNE RIGATE"/>
    <x v="99"/>
    <x v="1"/>
    <n v="60"/>
    <n v="27.215542200000002"/>
    <n v="5.99"/>
    <n v="163.02109777800001"/>
  </r>
  <r>
    <d v="2019-02-01T00:00:00"/>
    <s v="Royal"/>
    <n v="1"/>
    <n v="1"/>
    <n v="20"/>
    <s v="Peas  Green Frozen"/>
    <x v="169"/>
    <x v="1"/>
    <n v="20"/>
    <n v="9.0718474000000011"/>
    <n v="0.61699999999999999"/>
    <n v="5.5973298458000009"/>
  </r>
  <r>
    <d v="2019-02-01T00:00:00"/>
    <s v="Frozen"/>
    <n v="2"/>
    <n v="12"/>
    <n v="2.5"/>
    <s v="PEA GREEN GR A P"/>
    <x v="169"/>
    <x v="1"/>
    <n v="60"/>
    <n v="27.215542200000002"/>
    <n v="0.61699999999999999"/>
    <n v="16.791989537399999"/>
  </r>
  <r>
    <d v="2019-02-07T00:00:00"/>
    <s v="Royal"/>
    <n v="1"/>
    <n v="1"/>
    <n v="33.333333333333336"/>
    <s v="pepper green"/>
    <x v="104"/>
    <x v="1"/>
    <n v="33.333333333333336"/>
    <n v="15.119745666666669"/>
    <n v="0.52500000000000002"/>
    <n v="7.9378664750000016"/>
  </r>
  <r>
    <d v="2019-02-07T00:00:00"/>
    <s v="Royal"/>
    <n v="1"/>
    <n v="1"/>
    <n v="33.333333333333336"/>
    <s v="red pepper"/>
    <x v="104"/>
    <x v="1"/>
    <n v="33.333333333333336"/>
    <n v="15.119745666666669"/>
    <n v="0.52500000000000002"/>
    <n v="7.9378664750000016"/>
  </r>
  <r>
    <d v="2019-02-07T00:00:00"/>
    <s v="Royal"/>
    <n v="1"/>
    <n v="1"/>
    <n v="20"/>
    <s v="Pr Pepper  Green Diced 1/4&quot; LOCAL"/>
    <x v="104"/>
    <x v="1"/>
    <n v="20"/>
    <n v="9.0718474000000011"/>
    <n v="0.52500000000000002"/>
    <n v="4.762719885000001"/>
  </r>
  <r>
    <d v="2019-02-06T00:00:00"/>
    <s v="Royal"/>
    <n v="1"/>
    <n v="1"/>
    <n v="33.333333333333336"/>
    <s v="Pepper   Green  Large LOCAL"/>
    <x v="104"/>
    <x v="1"/>
    <n v="33.333333333333336"/>
    <n v="15.119745666666669"/>
    <n v="0.52500000000000002"/>
    <n v="7.9378664750000016"/>
  </r>
  <r>
    <d v="2019-02-06T00:00:00"/>
    <s v="Royal"/>
    <n v="1"/>
    <n v="1"/>
    <n v="33.333333333333336"/>
    <s v="Pepper   Red"/>
    <x v="104"/>
    <x v="1"/>
    <n v="33.333333333333336"/>
    <n v="15.119745666666669"/>
    <n v="0.52500000000000002"/>
    <n v="7.9378664750000016"/>
  </r>
  <r>
    <d v="2019-02-05T00:00:00"/>
    <s v="Royal"/>
    <n v="1"/>
    <n v="1"/>
    <n v="33.333333333333336"/>
    <s v="Pepper   Red"/>
    <x v="104"/>
    <x v="1"/>
    <n v="33.333333333333336"/>
    <n v="15.119745666666669"/>
    <n v="0.52500000000000002"/>
    <n v="7.9378664750000016"/>
  </r>
  <r>
    <d v="2019-02-04T00:00:00"/>
    <s v="Royal"/>
    <n v="2"/>
    <n v="1"/>
    <n v="33.333333333333336"/>
    <s v="Pepper   Green  Large LOCAL"/>
    <x v="104"/>
    <x v="1"/>
    <n v="66.666666666666671"/>
    <n v="30.239491333333337"/>
    <n v="0.52500000000000002"/>
    <n v="15.875732950000003"/>
  </r>
  <r>
    <d v="2019-02-04T00:00:00"/>
    <s v="Royal"/>
    <n v="1"/>
    <n v="1"/>
    <n v="33.333333333333336"/>
    <s v="Pepper   Red"/>
    <x v="104"/>
    <x v="1"/>
    <n v="33.333333333333336"/>
    <n v="15.119745666666669"/>
    <n v="0.52500000000000002"/>
    <n v="7.9378664750000016"/>
  </r>
  <r>
    <d v="2019-02-02T00:00:00"/>
    <s v="Royal"/>
    <n v="1"/>
    <n v="1"/>
    <n v="20"/>
    <s v="pepper green"/>
    <x v="104"/>
    <x v="1"/>
    <n v="20"/>
    <n v="9.0718474000000011"/>
    <n v="0.52500000000000002"/>
    <n v="4.762719885000001"/>
  </r>
  <r>
    <d v="2019-02-01T00:00:00"/>
    <s v="Royal"/>
    <n v="2"/>
    <n v="1"/>
    <n v="33.333333333333336"/>
    <s v="Pepper   Green  Large LOCAL"/>
    <x v="104"/>
    <x v="1"/>
    <n v="66.666666666666671"/>
    <n v="30.239491333333337"/>
    <n v="0.52500000000000002"/>
    <n v="15.875732950000003"/>
  </r>
  <r>
    <d v="2019-02-01T00:00:00"/>
    <s v="Royal"/>
    <n v="2"/>
    <n v="1"/>
    <n v="33.333333333333336"/>
    <s v="Pepper   Red"/>
    <x v="104"/>
    <x v="1"/>
    <n v="66.666666666666671"/>
    <n v="30.239491333333337"/>
    <n v="0.52500000000000002"/>
    <n v="15.875732950000003"/>
  </r>
  <r>
    <d v="2019-02-04T00:00:00"/>
    <s v="Royal"/>
    <n v="2"/>
    <n v="1"/>
    <n v="33.333333333333336"/>
    <s v="Pepper   Jalapeno Bulk LOCAL"/>
    <x v="107"/>
    <x v="1"/>
    <n v="66.666666666666671"/>
    <n v="30.239491333333337"/>
    <n v="0.79900000000000004"/>
    <n v="24.161353575333337"/>
  </r>
  <r>
    <d v="2019-02-04T00:00:00"/>
    <s v="Canned and dry goods"/>
    <n v="1"/>
    <n v="4"/>
    <n v="8.4700000000000006"/>
    <s v="PEPPER JALAPENO NACHO SLI"/>
    <x v="107"/>
    <x v="1"/>
    <n v="33.880000000000003"/>
    <n v="15.367709495600002"/>
    <n v="0.79900000000000004"/>
    <n v="12.278799886984402"/>
  </r>
  <r>
    <d v="2019-02-06T00:00:00"/>
    <s v="Royal"/>
    <n v="8"/>
    <n v="1"/>
    <n v="20"/>
    <s v="Pineapple Crownless 8-11ct"/>
    <x v="108"/>
    <x v="1"/>
    <n v="160"/>
    <n v="72.574779200000009"/>
    <n v="0.91400000000000003"/>
    <n v="66.333348188800016"/>
  </r>
  <r>
    <d v="2019-02-05T00:00:00"/>
    <s v="Royal"/>
    <n v="3"/>
    <n v="1"/>
    <n v="20"/>
    <s v="Pineapple Crownless 8-11ct"/>
    <x v="108"/>
    <x v="1"/>
    <n v="60"/>
    <n v="27.215542200000002"/>
    <n v="0.91400000000000003"/>
    <n v="24.875005570800003"/>
  </r>
  <r>
    <d v="2019-02-04T00:00:00"/>
    <s v="Royal"/>
    <n v="6"/>
    <n v="1"/>
    <n v="20"/>
    <s v="Pineapple Crownless 8-11ct"/>
    <x v="108"/>
    <x v="1"/>
    <n v="120"/>
    <n v="54.431084400000003"/>
    <n v="0.91400000000000003"/>
    <n v="49.750011141600005"/>
  </r>
  <r>
    <d v="2019-02-01T00:00:00"/>
    <s v="Northside Deli Provisions (Boar's Head)"/>
    <n v="1"/>
    <n v="1"/>
    <n v="57.6"/>
    <s v="smokemaster bf ham"/>
    <x v="109"/>
    <x v="0"/>
    <n v="57.6"/>
    <n v="26.126920512000002"/>
    <n v="5.56"/>
    <n v="145.26567804672001"/>
  </r>
  <r>
    <d v="2019-02-01T00:00:00"/>
    <s v="Savannah River Farms"/>
    <n v="1"/>
    <n v="1"/>
    <n v="20"/>
    <s v="andouille links"/>
    <x v="109"/>
    <x v="0"/>
    <n v="20"/>
    <n v="9.0718474000000011"/>
    <n v="5.56"/>
    <n v="50.439471544"/>
  </r>
  <r>
    <d v="2019-02-01T00:00:00"/>
    <s v="Savannah River Farms"/>
    <n v="1"/>
    <n v="1"/>
    <n v="120"/>
    <s v="bacon"/>
    <x v="109"/>
    <x v="0"/>
    <n v="120"/>
    <n v="54.431084400000003"/>
    <n v="5.56"/>
    <n v="302.63682926399997"/>
  </r>
  <r>
    <d v="2019-02-01T00:00:00"/>
    <s v="Savannah River Farms"/>
    <n v="1"/>
    <n v="1"/>
    <n v="56"/>
    <s v="cured bacon ends and pieces"/>
    <x v="109"/>
    <x v="0"/>
    <n v="56"/>
    <n v="25.401172720000002"/>
    <n v="5.56"/>
    <n v="141.23052032320001"/>
  </r>
  <r>
    <d v="2019-02-01T00:00:00"/>
    <s v="Savannah River Farms"/>
    <n v="1"/>
    <n v="1"/>
    <n v="178.68"/>
    <s v="pork loin"/>
    <x v="109"/>
    <x v="0"/>
    <n v="178.68"/>
    <n v="81.047884671600016"/>
    <n v="5.56"/>
    <n v="450.62623877409607"/>
  </r>
  <r>
    <d v="2019-02-01T00:00:00"/>
    <s v="Savannah River Farms"/>
    <n v="1"/>
    <n v="1"/>
    <n v="43"/>
    <s v="pork tenderloin"/>
    <x v="109"/>
    <x v="0"/>
    <n v="43"/>
    <n v="19.504471909999999"/>
    <n v="5.56"/>
    <n v="108.44486381959999"/>
  </r>
  <r>
    <d v="2019-02-01T00:00:00"/>
    <s v="Savannah River Farms"/>
    <n v="1"/>
    <n v="1"/>
    <n v="223.06"/>
    <s v="boneless butt"/>
    <x v="109"/>
    <x v="0"/>
    <n v="223.06"/>
    <n v="101.17831405220001"/>
    <n v="5.56"/>
    <n v="562.55142613023202"/>
  </r>
  <r>
    <d v="2019-02-01T00:00:00"/>
    <s v="Savannah River Farms"/>
    <n v="1"/>
    <n v="1"/>
    <n v="40"/>
    <s v="sausage patties"/>
    <x v="109"/>
    <x v="0"/>
    <n v="40"/>
    <n v="18.143694800000002"/>
    <n v="5.56"/>
    <n v="100.878943088"/>
  </r>
  <r>
    <d v="2019-02-01T00:00:00"/>
    <s v="Savannah River Farms"/>
    <n v="1"/>
    <n v="1"/>
    <n v="150"/>
    <s v="pork chops"/>
    <x v="109"/>
    <x v="0"/>
    <n v="150"/>
    <n v="68.038855500000011"/>
    <n v="5.56"/>
    <n v="378.29603658000002"/>
  </r>
  <r>
    <d v="2019-02-01T00:00:00"/>
    <s v="Meats"/>
    <n v="4"/>
    <n v="2"/>
    <n v="5"/>
    <s v="SAUSAGE LINK ANDOUILLE 4X1"/>
    <x v="109"/>
    <x v="0"/>
    <n v="40"/>
    <n v="18.143694800000002"/>
    <n v="5.56"/>
    <n v="100.878943088"/>
  </r>
  <r>
    <d v="2019-02-01T00:00:00"/>
    <s v="Meats"/>
    <n v="1"/>
    <n v="1"/>
    <n v="5.96"/>
    <s v="HAM CAPICOLA BUTT HOT"/>
    <x v="109"/>
    <x v="0"/>
    <n v="5.96"/>
    <n v="2.7034105251999998"/>
    <n v="5.56"/>
    <n v="15.030962520111999"/>
  </r>
  <r>
    <d v="2019-02-01T00:00:00"/>
    <s v="Meats"/>
    <n v="1"/>
    <n v="1"/>
    <n v="22.52"/>
    <s v="SALAMI GENOA"/>
    <x v="109"/>
    <x v="0"/>
    <n v="22.52"/>
    <n v="10.214900172400002"/>
    <n v="5.56"/>
    <n v="56.794844958544004"/>
  </r>
  <r>
    <d v="2019-02-06T00:00:00"/>
    <s v="Royal"/>
    <n v="2"/>
    <n v="1"/>
    <n v="50"/>
    <s v="Red potato A LOCAL"/>
    <x v="110"/>
    <x v="1"/>
    <n v="100"/>
    <n v="45.359237"/>
    <n v="0.217"/>
    <n v="9.8429544290000006"/>
  </r>
  <r>
    <d v="2019-02-01T00:00:00"/>
    <s v="Frozen"/>
    <n v="5"/>
    <n v="6"/>
    <n v="5"/>
    <s v="POTATO FRY TWISTER ORIG BTTERD"/>
    <x v="110"/>
    <x v="1"/>
    <n v="150"/>
    <n v="68.038855500000011"/>
    <n v="0.217"/>
    <n v="14.764431643500002"/>
  </r>
  <r>
    <d v="2019-02-01T00:00:00"/>
    <s v="Frozen"/>
    <n v="4"/>
    <n v="6"/>
    <n v="6"/>
    <s v="POTATO H/BRN DICE SKIN-ON CTRY"/>
    <x v="110"/>
    <x v="1"/>
    <n v="144"/>
    <n v="65.317301279999995"/>
    <n v="0.217"/>
    <n v="14.17385437776"/>
  </r>
  <r>
    <d v="2019-02-01T00:00:00"/>
    <s v="Frozen"/>
    <n v="4"/>
    <n v="6"/>
    <n v="5"/>
    <s v="POTATO FRY STEAK HSE"/>
    <x v="110"/>
    <x v="1"/>
    <n v="120"/>
    <n v="54.431084400000003"/>
    <n v="0.217"/>
    <n v="11.8115453148"/>
  </r>
  <r>
    <d v="2019-02-01T00:00:00"/>
    <s v="Frozen"/>
    <n v="2"/>
    <n v="6"/>
    <n v="5"/>
    <s v="POTATO CHIP NAT FRY 1/8"/>
    <x v="110"/>
    <x v="1"/>
    <n v="60"/>
    <n v="27.215542200000002"/>
    <n v="0.217"/>
    <n v="5.9057726574"/>
  </r>
  <r>
    <d v="2019-02-01T00:00:00"/>
    <s v="Frozen"/>
    <n v="5"/>
    <n v="6"/>
    <n v="5"/>
    <s v="POTATO FRY 3/8 COLSSL CRISP"/>
    <x v="110"/>
    <x v="1"/>
    <n v="150"/>
    <n v="68.038855500000011"/>
    <n v="0.217"/>
    <n v="14.764431643500002"/>
  </r>
  <r>
    <d v="2019-02-04T00:00:00"/>
    <s v="Frozen"/>
    <n v="6"/>
    <n v="6"/>
    <n v="5"/>
    <s v="POTATO FRY 3/8 COLSSL CRISP"/>
    <x v="110"/>
    <x v="1"/>
    <n v="180"/>
    <n v="81.646626600000005"/>
    <n v="0.217"/>
    <n v="17.7173179722"/>
  </r>
  <r>
    <d v="2019-02-07T00:00:00"/>
    <s v="Frozen"/>
    <n v="3"/>
    <n v="6"/>
    <n v="6"/>
    <s v="POTATO H/BRN DICE SKIN-ON CTRY"/>
    <x v="110"/>
    <x v="1"/>
    <n v="108"/>
    <n v="48.987975960000007"/>
    <n v="0.217"/>
    <n v="10.630390783320001"/>
  </r>
  <r>
    <d v="2019-02-07T00:00:00"/>
    <s v="Frozen"/>
    <n v="3"/>
    <n v="6"/>
    <n v="3"/>
    <s v="POTATO H/BRN IQF LOOSE SHRED"/>
    <x v="110"/>
    <x v="1"/>
    <n v="54"/>
    <n v="24.493987980000004"/>
    <n v="0.217"/>
    <n v="5.3151953916600005"/>
  </r>
  <r>
    <d v="2019-02-07T00:00:00"/>
    <s v="Frozen"/>
    <n v="2"/>
    <n v="6"/>
    <n v="5"/>
    <s v="POTATO FRY STEAK HSE"/>
    <x v="110"/>
    <x v="1"/>
    <n v="60"/>
    <n v="27.215542200000002"/>
    <n v="0.217"/>
    <n v="5.9057726574"/>
  </r>
  <r>
    <d v="2019-02-07T00:00:00"/>
    <s v="Frozen"/>
    <n v="1"/>
    <n v="6"/>
    <n v="5"/>
    <s v="POTATO CHIP NAT FRY 1/8"/>
    <x v="110"/>
    <x v="1"/>
    <n v="30"/>
    <n v="13.607771100000001"/>
    <n v="0.217"/>
    <n v="2.9528863287"/>
  </r>
  <r>
    <d v="2019-02-07T00:00:00"/>
    <s v="Frozen"/>
    <n v="2"/>
    <n v="6"/>
    <n v="5"/>
    <s v="POTATO FRY 3/8 COLSSL CRISP"/>
    <x v="110"/>
    <x v="1"/>
    <n v="60"/>
    <n v="27.215542200000002"/>
    <n v="0.217"/>
    <n v="5.9057726574"/>
  </r>
  <r>
    <d v="2019-02-01T00:00:00"/>
    <s v="Canned and dry goods"/>
    <n v="2"/>
    <n v="1"/>
    <n v="25"/>
    <s v="RICE PARBOILED"/>
    <x v="113"/>
    <x v="1"/>
    <n v="50"/>
    <n v="22.6796185"/>
    <n v="1.5409999999999999"/>
    <n v="34.949292108499996"/>
  </r>
  <r>
    <d v="2019-02-01T00:00:00"/>
    <s v="Canned and dry goods"/>
    <n v="3"/>
    <n v="2"/>
    <n v="5"/>
    <s v="RICE JASMINE"/>
    <x v="113"/>
    <x v="1"/>
    <n v="30"/>
    <n v="13.607771100000001"/>
    <n v="1.5409999999999999"/>
    <n v="20.969575265100001"/>
  </r>
  <r>
    <d v="2019-02-01T00:00:00"/>
    <s v="Canned and dry goods"/>
    <n v="3"/>
    <n v="2"/>
    <n v="5"/>
    <s v="RICE BASMATI"/>
    <x v="113"/>
    <x v="1"/>
    <n v="30"/>
    <n v="13.607771100000001"/>
    <n v="1.5409999999999999"/>
    <n v="20.969575265100001"/>
  </r>
  <r>
    <d v="2019-02-01T00:00:00"/>
    <s v="Canned and dry goods"/>
    <n v="1"/>
    <n v="1"/>
    <n v="50"/>
    <s v="RICE CALROSE MED GRN SUSHI"/>
    <x v="113"/>
    <x v="1"/>
    <n v="50"/>
    <n v="22.6796185"/>
    <n v="1.5409999999999999"/>
    <n v="34.949292108499996"/>
  </r>
  <r>
    <d v="2019-02-04T00:00:00"/>
    <s v="Canned and dry goods"/>
    <n v="4"/>
    <n v="1"/>
    <n v="25"/>
    <s v="RICE PARBOILED"/>
    <x v="113"/>
    <x v="1"/>
    <n v="100"/>
    <n v="45.359237"/>
    <n v="1.5409999999999999"/>
    <n v="69.898584216999993"/>
  </r>
  <r>
    <d v="2019-02-04T00:00:00"/>
    <s v="Canned and dry goods"/>
    <n v="2"/>
    <n v="2"/>
    <n v="5"/>
    <s v="RICE JASMINE"/>
    <x v="113"/>
    <x v="1"/>
    <n v="20"/>
    <n v="9.0718474000000011"/>
    <n v="1.5409999999999999"/>
    <n v="13.9797168434"/>
  </r>
  <r>
    <d v="2019-02-04T00:00:00"/>
    <s v="Canned and dry goods"/>
    <n v="2"/>
    <n v="2"/>
    <n v="5"/>
    <s v="RICE BASMATI"/>
    <x v="113"/>
    <x v="1"/>
    <n v="20"/>
    <n v="9.0718474000000011"/>
    <n v="1.5409999999999999"/>
    <n v="13.9797168434"/>
  </r>
  <r>
    <d v="2019-02-04T00:00:00"/>
    <s v="Canned and dry goods"/>
    <n v="2"/>
    <n v="1"/>
    <n v="50"/>
    <s v="RICE CALROSE MED GRN SUSHI"/>
    <x v="113"/>
    <x v="1"/>
    <n v="100"/>
    <n v="45.359237"/>
    <n v="1.5409999999999999"/>
    <n v="69.898584216999993"/>
  </r>
  <r>
    <d v="2019-02-07T00:00:00"/>
    <s v="Canned and dry goods"/>
    <n v="2"/>
    <n v="1"/>
    <n v="25"/>
    <s v="RICE PARBOILED BRN WHLGN LNGRN"/>
    <x v="113"/>
    <x v="1"/>
    <n v="50"/>
    <n v="22.6796185"/>
    <n v="1.5409999999999999"/>
    <n v="34.949292108499996"/>
  </r>
  <r>
    <d v="2019-02-04T00:00:00"/>
    <s v="Frozen"/>
    <n v="2"/>
    <n v="48"/>
    <s v="3.0.3125"/>
    <s v="ROLL CIABATTA 4X4 MULTIGRAIN"/>
    <x v="238"/>
    <x v="1"/>
    <n v="0"/>
    <n v="0"/>
    <n v="1.28"/>
    <n v="0"/>
  </r>
  <r>
    <d v="2019-02-01T00:00:00"/>
    <s v="Honeysuckle Gelato"/>
    <n v="1"/>
    <n v="1"/>
    <n v="50"/>
    <s v="mango sorbet"/>
    <x v="117"/>
    <x v="1"/>
    <n v="50"/>
    <n v="22.6796185"/>
    <n v="0.63900000000000001"/>
    <n v="14.492276221500001"/>
  </r>
  <r>
    <d v="2019-02-04T00:00:00"/>
    <s v="Dairy Products"/>
    <n v="2"/>
    <n v="12"/>
    <n v="0.125"/>
    <s v="MILK SOY PLAIN"/>
    <x v="118"/>
    <x v="1"/>
    <n v="3"/>
    <n v="1.3607771100000001"/>
    <n v="0.25800000000000001"/>
    <n v="0.35108049438000005"/>
  </r>
  <r>
    <d v="2019-02-01T00:00:00"/>
    <s v="Royal"/>
    <n v="1"/>
    <n v="1"/>
    <n v="20"/>
    <s v="Beans Edamame (No Shell)"/>
    <x v="119"/>
    <x v="1"/>
    <n v="20"/>
    <n v="9.0718474000000011"/>
    <n v="1.1539999999999999"/>
    <n v="10.4689118996"/>
  </r>
  <r>
    <d v="2019-02-01T00:00:00"/>
    <s v="Dairy Products"/>
    <n v="3"/>
    <n v="1"/>
    <n v="21.5"/>
    <s v="MILK SOY VAN BAG"/>
    <x v="214"/>
    <x v="1"/>
    <n v="64.5"/>
    <n v="29.256707864999999"/>
    <n v="0.25800000000000001"/>
    <n v="7.5482306291699999"/>
  </r>
  <r>
    <d v="2019-02-01T00:00:00"/>
    <s v="Dairy Products"/>
    <n v="3"/>
    <n v="1"/>
    <n v="21.5"/>
    <s v="MILK SOY CHOC BAG"/>
    <x v="214"/>
    <x v="1"/>
    <n v="64.5"/>
    <n v="29.256707864999999"/>
    <n v="0.25800000000000001"/>
    <n v="7.5482306291699999"/>
  </r>
  <r>
    <d v="2019-02-04T00:00:00"/>
    <s v="Dairy Products"/>
    <n v="3"/>
    <n v="1"/>
    <n v="21.5"/>
    <s v="MILK SOY VAN BAG"/>
    <x v="214"/>
    <x v="1"/>
    <n v="64.5"/>
    <n v="29.256707864999999"/>
    <n v="0.25800000000000001"/>
    <n v="7.5482306291699999"/>
  </r>
  <r>
    <d v="2019-02-04T00:00:00"/>
    <s v="Dairy Products"/>
    <n v="3"/>
    <n v="1"/>
    <n v="21.5"/>
    <s v="MILK SOY CHOC BAG"/>
    <x v="214"/>
    <x v="1"/>
    <n v="64.5"/>
    <n v="29.256707864999999"/>
    <n v="0.25800000000000001"/>
    <n v="7.5482306291699999"/>
  </r>
  <r>
    <d v="2019-02-07T00:00:00"/>
    <s v="Dairy Products"/>
    <n v="3"/>
    <n v="1"/>
    <n v="21.5"/>
    <s v="MILK SOY VAN BAG"/>
    <x v="214"/>
    <x v="1"/>
    <n v="64.5"/>
    <n v="29.256707864999999"/>
    <n v="0.25800000000000001"/>
    <n v="7.5482306291699999"/>
  </r>
  <r>
    <d v="2019-02-07T00:00:00"/>
    <s v="Dairy Products"/>
    <n v="1"/>
    <n v="1"/>
    <n v="21.5"/>
    <s v="MILK SOY CHOC BAG"/>
    <x v="214"/>
    <x v="1"/>
    <n v="21.5"/>
    <n v="9.7522359549999997"/>
    <n v="0.25800000000000001"/>
    <n v="2.5160768763900001"/>
  </r>
  <r>
    <d v="2019-02-01T00:00:00"/>
    <s v="Canned and dry goods"/>
    <n v="2"/>
    <n v="6"/>
    <n v="10.5"/>
    <s v="SPICE CHILI POWDER LT"/>
    <x v="120"/>
    <x v="1"/>
    <n v="126"/>
    <n v="57.152638620000005"/>
    <n v="0.87"/>
    <n v="49.722795599400001"/>
  </r>
  <r>
    <d v="2019-02-01T00:00:00"/>
    <s v="Canned and dry goods"/>
    <n v="1"/>
    <n v="3"/>
    <n v="4.75"/>
    <s v="SPICE CINNAMON GROUND BAKER"/>
    <x v="120"/>
    <x v="1"/>
    <n v="14.25"/>
    <n v="6.4636912725000002"/>
    <n v="0.87"/>
    <n v="5.6234114070750003"/>
  </r>
  <r>
    <d v="2019-02-01T00:00:00"/>
    <s v="Canned and dry goods"/>
    <n v="3"/>
    <n v="6"/>
    <n v="0.875"/>
    <s v="SPICE CORIANDER GRND"/>
    <x v="120"/>
    <x v="1"/>
    <n v="15.75"/>
    <n v="7.1440798275000006"/>
    <n v="0.87"/>
    <n v="6.2153494499250002"/>
  </r>
  <r>
    <d v="2019-02-01T00:00:00"/>
    <s v="Canned and dry goods"/>
    <n v="2"/>
    <n v="6"/>
    <n v="0.875"/>
    <s v="SPICE CUMIN GRND"/>
    <x v="120"/>
    <x v="1"/>
    <n v="10.5"/>
    <n v="4.7627198850000001"/>
    <n v="0.87"/>
    <n v="4.1435662999499998"/>
  </r>
  <r>
    <d v="2019-02-01T00:00:00"/>
    <s v="Canned and dry goods"/>
    <n v="1"/>
    <n v="3"/>
    <n v="7.25"/>
    <s v="SPICE GARLIC GRANULATED"/>
    <x v="120"/>
    <x v="1"/>
    <n v="21.75"/>
    <n v="9.8656340475000004"/>
    <n v="0.87"/>
    <n v="8.5831016213249995"/>
  </r>
  <r>
    <d v="2019-02-01T00:00:00"/>
    <s v="Canned and dry goods"/>
    <n v="2"/>
    <n v="6"/>
    <n v="1.25"/>
    <s v="SPICE ONION POWDER"/>
    <x v="120"/>
    <x v="1"/>
    <n v="15"/>
    <n v="6.8038855500000004"/>
    <n v="0.87"/>
    <n v="5.9193804285000002"/>
  </r>
  <r>
    <d v="2019-02-01T00:00:00"/>
    <s v="Canned and dry goods"/>
    <n v="2"/>
    <n v="6"/>
    <n v="1"/>
    <s v="SPICE PAPRIKA XFCY"/>
    <x v="120"/>
    <x v="1"/>
    <n v="12"/>
    <n v="5.4431084400000005"/>
    <n v="0.87"/>
    <n v="4.7355043428000005"/>
  </r>
  <r>
    <d v="2019-02-01T00:00:00"/>
    <s v="Canned and dry goods"/>
    <n v="1"/>
    <n v="6"/>
    <n v="1"/>
    <s v="SPICE TURMERIC GROUND"/>
    <x v="120"/>
    <x v="1"/>
    <n v="6"/>
    <n v="2.7215542200000002"/>
    <n v="0.87"/>
    <n v="2.3677521714000003"/>
  </r>
  <r>
    <d v="2019-02-01T00:00:00"/>
    <s v="Canned and dry goods"/>
    <n v="2"/>
    <n v="6"/>
    <n v="10.5"/>
    <s v="SEASONING CARIBBEAN JERK"/>
    <x v="120"/>
    <x v="1"/>
    <n v="126"/>
    <n v="57.152638620000005"/>
    <n v="0.87"/>
    <n v="49.722795599400001"/>
  </r>
  <r>
    <d v="2019-02-04T00:00:00"/>
    <s v="Canned and dry goods"/>
    <n v="1"/>
    <n v="3"/>
    <n v="7.25"/>
    <s v="SPICE GARLIC GRANULATED"/>
    <x v="120"/>
    <x v="1"/>
    <n v="21.75"/>
    <n v="9.8656340475000004"/>
    <n v="0.87"/>
    <n v="8.5831016213249995"/>
  </r>
  <r>
    <d v="2019-02-04T00:00:00"/>
    <s v="Canned and dry goods"/>
    <n v="1"/>
    <n v="6"/>
    <n v="1.25"/>
    <s v="SPICE ONION POWDER"/>
    <x v="120"/>
    <x v="1"/>
    <n v="7.5"/>
    <n v="3.4019427750000002"/>
    <n v="0.87"/>
    <n v="2.9596902142500001"/>
  </r>
  <r>
    <d v="2019-02-04T00:00:00"/>
    <s v="Canned and dry goods"/>
    <n v="1"/>
    <n v="6"/>
    <n v="1"/>
    <s v="SPICE PAPRIKA XFCY"/>
    <x v="120"/>
    <x v="1"/>
    <n v="6"/>
    <n v="2.7215542200000002"/>
    <n v="0.87"/>
    <n v="2.3677521714000003"/>
  </r>
  <r>
    <d v="2019-02-04T00:00:00"/>
    <s v="Canned and dry goods"/>
    <n v="2"/>
    <n v="3"/>
    <n v="7.5"/>
    <s v="SEASONING SEAFOOD"/>
    <x v="120"/>
    <x v="1"/>
    <n v="45"/>
    <n v="20.411656650000001"/>
    <n v="0.87"/>
    <n v="17.758141285500002"/>
  </r>
  <r>
    <d v="2019-02-04T00:00:00"/>
    <s v="Canned and dry goods"/>
    <n v="1"/>
    <n v="3"/>
    <n v="5"/>
    <s v="SPICE PEPPER BLK SHAKER GRND"/>
    <x v="120"/>
    <x v="1"/>
    <n v="15"/>
    <n v="6.8038855500000004"/>
    <n v="0.87"/>
    <n v="5.9193804285000002"/>
  </r>
  <r>
    <d v="2019-02-04T00:00:00"/>
    <s v="Canned and dry goods"/>
    <n v="2"/>
    <n v="6"/>
    <n v="20.0625"/>
    <s v="SPICE GARLIC PWDR"/>
    <x v="120"/>
    <x v="1"/>
    <n v="240.75"/>
    <n v="109.20236307750001"/>
    <n v="0.87"/>
    <n v="95.006055877425013"/>
  </r>
  <r>
    <d v="2019-02-07T00:00:00"/>
    <s v="Royal"/>
    <n v="1"/>
    <n v="1"/>
    <n v="1"/>
    <s v="S-Cumin Ground 1 2126"/>
    <x v="173"/>
    <x v="1"/>
    <n v="1"/>
    <n v="0.45359237000000002"/>
    <n v="0.87"/>
    <n v="0.39462536190000003"/>
  </r>
  <r>
    <d v="2019-02-07T00:00:00"/>
    <s v="Royal"/>
    <n v="1"/>
    <n v="1"/>
    <n v="1"/>
    <s v="S-Curry Garam Masala 1# 7214"/>
    <x v="173"/>
    <x v="1"/>
    <n v="1"/>
    <n v="0.45359237000000002"/>
    <n v="0.87"/>
    <n v="0.39462536190000003"/>
  </r>
  <r>
    <d v="2019-02-01T00:00:00"/>
    <s v="Canned and dry goods"/>
    <n v="2"/>
    <n v="6"/>
    <n v="10.5"/>
    <s v="SEASONING CAJUN"/>
    <x v="173"/>
    <x v="1"/>
    <n v="126"/>
    <n v="57.152638620000005"/>
    <n v="0.87"/>
    <n v="49.722795599400001"/>
  </r>
  <r>
    <d v="2019-02-01T00:00:00"/>
    <s v="Canned and dry goods"/>
    <n v="1"/>
    <n v="18"/>
    <n v="2.25"/>
    <s v="SALT GRANULATED IODIZED"/>
    <x v="173"/>
    <x v="1"/>
    <n v="40.5"/>
    <n v="18.370490985"/>
    <n v="0.87"/>
    <n v="15.982327156949999"/>
  </r>
  <r>
    <d v="2019-02-04T00:00:00"/>
    <s v="Canned and dry goods"/>
    <n v="0"/>
    <n v="12"/>
    <n v="3"/>
    <s v="SALT KOSHER FLAKE COARSE"/>
    <x v="173"/>
    <x v="1"/>
    <n v="0"/>
    <n v="0"/>
    <n v="0.87"/>
    <n v="0"/>
  </r>
  <r>
    <d v="2019-02-04T00:00:00"/>
    <s v="Canned and dry goods"/>
    <n v="0"/>
    <n v="6"/>
    <n v="20.125"/>
    <s v="SEASONING RUB OLD BAY"/>
    <x v="173"/>
    <x v="1"/>
    <n v="0"/>
    <n v="0"/>
    <n v="0.87"/>
    <n v="0"/>
  </r>
  <r>
    <d v="2019-02-04T00:00:00"/>
    <s v="Canned and dry goods"/>
    <n v="1"/>
    <n v="12"/>
    <n v="3"/>
    <s v="SALT KOSHER FLAKE COARSE"/>
    <x v="173"/>
    <x v="1"/>
    <n v="36"/>
    <n v="16.329325319999999"/>
    <n v="0.87"/>
    <n v="14.206513028399998"/>
  </r>
  <r>
    <d v="2019-02-07T00:00:00"/>
    <s v="Royal"/>
    <n v="6"/>
    <n v="1"/>
    <n v="10"/>
    <s v="Spinach Washed  Flatleaf"/>
    <x v="122"/>
    <x v="1"/>
    <n v="60"/>
    <n v="27.215542200000002"/>
    <n v="0.307"/>
    <n v="8.3551714554000007"/>
  </r>
  <r>
    <d v="2019-02-05T00:00:00"/>
    <s v="Royal"/>
    <n v="5"/>
    <n v="1"/>
    <n v="10"/>
    <s v="Spinach Washed  Flatleaf"/>
    <x v="122"/>
    <x v="1"/>
    <n v="50"/>
    <n v="22.6796185"/>
    <n v="0.307"/>
    <n v="6.9626428794999997"/>
  </r>
  <r>
    <d v="2019-02-04T00:00:00"/>
    <s v="Royal"/>
    <n v="6"/>
    <n v="1"/>
    <n v="10"/>
    <s v="Spinach Washed  Flatleaf"/>
    <x v="122"/>
    <x v="1"/>
    <n v="60"/>
    <n v="27.215542200000002"/>
    <n v="0.307"/>
    <n v="8.3551714554000007"/>
  </r>
  <r>
    <d v="2019-02-01T00:00:00"/>
    <s v="Royal"/>
    <n v="8"/>
    <n v="1"/>
    <n v="10"/>
    <s v="Spinach Washed  Flatleaf"/>
    <x v="122"/>
    <x v="1"/>
    <n v="80"/>
    <n v="36.287389600000004"/>
    <n v="0.307"/>
    <n v="11.140228607200001"/>
  </r>
  <r>
    <d v="2019-02-01T00:00:00"/>
    <s v="Frozen"/>
    <n v="2"/>
    <n v="12"/>
    <n v="2"/>
    <s v="SPINACH CHOPPED IQF"/>
    <x v="122"/>
    <x v="1"/>
    <n v="48"/>
    <n v="21.772433760000002"/>
    <n v="0.307"/>
    <n v="6.6841371643200009"/>
  </r>
  <r>
    <d v="2019-02-07T00:00:00"/>
    <s v="Royal"/>
    <n v="2"/>
    <n v="1"/>
    <n v="20"/>
    <s v="IDP Squash Yellow"/>
    <x v="123"/>
    <x v="1"/>
    <n v="40"/>
    <n v="18.143694800000002"/>
    <n v="1.2290000000000001"/>
    <n v="22.298600909200005"/>
  </r>
  <r>
    <d v="2019-02-07T00:00:00"/>
    <s v="Royal"/>
    <n v="3"/>
    <n v="1"/>
    <n v="20"/>
    <s v="IDP Squash Zucchini"/>
    <x v="123"/>
    <x v="1"/>
    <n v="60"/>
    <n v="27.215542200000002"/>
    <n v="1.2290000000000001"/>
    <n v="33.447901363800007"/>
  </r>
  <r>
    <d v="2019-02-07T00:00:00"/>
    <s v="Royal"/>
    <n v="2"/>
    <n v="1"/>
    <n v="20"/>
    <s v="Pr Squash Butternut Dice 1&quot; LOCAL"/>
    <x v="123"/>
    <x v="1"/>
    <n v="40"/>
    <n v="18.143694800000002"/>
    <n v="1.2290000000000001"/>
    <n v="22.298600909200005"/>
  </r>
  <r>
    <d v="2019-02-06T00:00:00"/>
    <s v="Royal"/>
    <n v="4"/>
    <n v="1"/>
    <n v="20"/>
    <s v="IDP Squash Yellow"/>
    <x v="123"/>
    <x v="1"/>
    <n v="80"/>
    <n v="36.287389600000004"/>
    <n v="1.2290000000000001"/>
    <n v="44.597201818400009"/>
  </r>
  <r>
    <d v="2019-02-06T00:00:00"/>
    <s v="Royal"/>
    <n v="4"/>
    <n v="1"/>
    <n v="20"/>
    <s v="IDP Squash Zucchini"/>
    <x v="123"/>
    <x v="1"/>
    <n v="80"/>
    <n v="36.287389600000004"/>
    <n v="1.2290000000000001"/>
    <n v="44.597201818400009"/>
  </r>
  <r>
    <d v="2019-02-04T00:00:00"/>
    <s v="Royal"/>
    <n v="4"/>
    <n v="1"/>
    <n v="20"/>
    <s v="IDP Squash Yellow"/>
    <x v="123"/>
    <x v="1"/>
    <n v="80"/>
    <n v="36.287389600000004"/>
    <n v="1.2290000000000001"/>
    <n v="44.597201818400009"/>
  </r>
  <r>
    <d v="2019-02-04T00:00:00"/>
    <s v="Royal"/>
    <n v="4"/>
    <n v="1"/>
    <n v="20"/>
    <s v="IDP Squash Zucchini"/>
    <x v="123"/>
    <x v="1"/>
    <n v="80"/>
    <n v="36.287389600000004"/>
    <n v="1.2290000000000001"/>
    <n v="44.597201818400009"/>
  </r>
  <r>
    <d v="2019-02-04T00:00:00"/>
    <s v="Royal"/>
    <n v="3"/>
    <n v="1"/>
    <n v="20"/>
    <s v="Pr Squash Bnut Dice 1&quot; LOCAL"/>
    <x v="123"/>
    <x v="1"/>
    <n v="60"/>
    <n v="27.215542200000002"/>
    <n v="1.2290000000000001"/>
    <n v="33.447901363800007"/>
  </r>
  <r>
    <d v="2019-02-02T00:00:00"/>
    <s v="Royal"/>
    <n v="2"/>
    <n v="1"/>
    <n v="33"/>
    <s v="Squash   Yellow  #2 LOCAL"/>
    <x v="123"/>
    <x v="1"/>
    <n v="66"/>
    <n v="29.937096420000003"/>
    <n v="1.2290000000000001"/>
    <n v="36.792691500180005"/>
  </r>
  <r>
    <d v="2019-02-02T00:00:00"/>
    <s v="Royal"/>
    <n v="2"/>
    <n v="1"/>
    <n v="22"/>
    <s v="Squash   Zucchini  Medium LOCAL"/>
    <x v="123"/>
    <x v="1"/>
    <n v="44"/>
    <n v="19.958064280000002"/>
    <n v="1.2290000000000001"/>
    <n v="24.528461000120004"/>
  </r>
  <r>
    <d v="2019-02-01T00:00:00"/>
    <s v="Royal"/>
    <n v="6"/>
    <n v="1"/>
    <n v="33"/>
    <s v="Squash   Yellow  #2"/>
    <x v="123"/>
    <x v="1"/>
    <n v="198"/>
    <n v="89.811289260000009"/>
    <n v="1.2290000000000001"/>
    <n v="110.37807450054002"/>
  </r>
  <r>
    <d v="2019-02-01T00:00:00"/>
    <s v="Royal"/>
    <n v="4"/>
    <n v="1"/>
    <n v="22"/>
    <s v="Squash   Zucchini  Medium"/>
    <x v="123"/>
    <x v="1"/>
    <n v="88"/>
    <n v="39.916128560000004"/>
    <n v="1.2290000000000001"/>
    <n v="49.056922000240007"/>
  </r>
  <r>
    <d v="2019-02-02T00:00:00"/>
    <s v="Royal"/>
    <n v="2"/>
    <n v="1"/>
    <n v="33"/>
    <s v="Squash   Yellow  #2 LOCAL"/>
    <x v="123"/>
    <x v="1"/>
    <n v="66"/>
    <n v="29.937096420000003"/>
    <n v="1.2290000000000001"/>
    <n v="36.792691500180005"/>
  </r>
  <r>
    <d v="2019-02-02T00:00:00"/>
    <s v="Royal"/>
    <n v="2"/>
    <n v="1"/>
    <n v="22"/>
    <s v="Squash   Zucchini  Medium LOCAL"/>
    <x v="123"/>
    <x v="1"/>
    <n v="44"/>
    <n v="19.958064280000002"/>
    <n v="1.2290000000000001"/>
    <n v="24.528461000120004"/>
  </r>
  <r>
    <d v="2019-02-07T00:00:00"/>
    <s v="Royal"/>
    <n v="6"/>
    <n v="1"/>
    <n v="8"/>
    <s v="Strawberry  Clamshell LOCAL"/>
    <x v="124"/>
    <x v="1"/>
    <n v="48"/>
    <n v="21.772433760000002"/>
    <n v="0.61399999999999999"/>
    <n v="13.368274328640002"/>
  </r>
  <r>
    <d v="2019-02-06T00:00:00"/>
    <s v="Royal"/>
    <n v="8"/>
    <n v="1"/>
    <n v="8"/>
    <s v="Strawberry  Driscoll Clamshell LOCA"/>
    <x v="124"/>
    <x v="1"/>
    <n v="64"/>
    <n v="29.029911680000001"/>
    <n v="0.61399999999999999"/>
    <n v="17.82436577152"/>
  </r>
  <r>
    <d v="2019-02-05T00:00:00"/>
    <s v="Royal"/>
    <n v="10"/>
    <n v="1"/>
    <n v="8"/>
    <s v="Strawberry  Driscoll Clamshell LOCA"/>
    <x v="124"/>
    <x v="1"/>
    <n v="80"/>
    <n v="36.287389600000004"/>
    <n v="0.61399999999999999"/>
    <n v="22.280457214400002"/>
  </r>
  <r>
    <d v="2019-02-01T00:00:00"/>
    <s v="Royal"/>
    <n v="5"/>
    <n v="1"/>
    <n v="8"/>
    <s v="Strawberry Clamshell (DAR)"/>
    <x v="124"/>
    <x v="1"/>
    <n v="40"/>
    <n v="18.143694800000002"/>
    <n v="0.61399999999999999"/>
    <n v="11.140228607200001"/>
  </r>
  <r>
    <d v="2019-02-04T00:00:00"/>
    <s v="Canned and dry goods"/>
    <n v="1"/>
    <n v="1"/>
    <n v="50"/>
    <s v="SUGAR BROWN LIGHT CANE"/>
    <x v="125"/>
    <x v="1"/>
    <n v="50"/>
    <n v="22.6796185"/>
    <n v="0.7"/>
    <n v="15.87573295"/>
  </r>
  <r>
    <d v="2019-02-04T00:00:00"/>
    <s v="Canned and dry goods"/>
    <n v="3"/>
    <n v="1"/>
    <n v="50"/>
    <s v="SUGAR GRANULATED XFN"/>
    <x v="125"/>
    <x v="1"/>
    <n v="150"/>
    <n v="68.038855500000011"/>
    <n v="0.7"/>
    <n v="47.627198850000006"/>
  </r>
  <r>
    <d v="2019-02-07T00:00:00"/>
    <s v="Canned and dry goods"/>
    <n v="1"/>
    <n v="1"/>
    <n v="50"/>
    <s v="SUGAR BROWN LIGHT CANE"/>
    <x v="239"/>
    <x v="1"/>
    <n v="50"/>
    <n v="22.6796185"/>
    <n v="0.7"/>
    <n v="15.87573295"/>
  </r>
  <r>
    <d v="2019-02-01T00:00:00"/>
    <s v="Canned and dry goods"/>
    <n v="8"/>
    <n v="4"/>
    <n v="7.9"/>
    <s v="OIL CANOLA SAL"/>
    <x v="216"/>
    <x v="1"/>
    <n v="252.8"/>
    <n v="114.66815113600002"/>
    <n v="2.6459999999999999"/>
    <n v="303.41192790585603"/>
  </r>
  <r>
    <d v="2019-02-01T00:00:00"/>
    <s v="Canned and dry goods"/>
    <n v="3"/>
    <n v="1"/>
    <n v="35"/>
    <s v="OIL CANOLA PURE ZTF"/>
    <x v="216"/>
    <x v="1"/>
    <n v="105"/>
    <n v="47.627198849999999"/>
    <n v="2.6459999999999999"/>
    <n v="126.02156815709999"/>
  </r>
  <r>
    <d v="2019-02-04T00:00:00"/>
    <s v="Canned and dry goods"/>
    <n v="8"/>
    <n v="4"/>
    <n v="7.9"/>
    <s v="OIL CANOLA SAL"/>
    <x v="216"/>
    <x v="1"/>
    <n v="252.8"/>
    <n v="114.66815113600002"/>
    <n v="2.6459999999999999"/>
    <n v="303.41192790585603"/>
  </r>
  <r>
    <d v="2019-02-04T00:00:00"/>
    <s v="Canned and dry goods"/>
    <n v="3"/>
    <n v="1"/>
    <n v="35"/>
    <s v="OIL CANOLA PURE ZTF"/>
    <x v="216"/>
    <x v="1"/>
    <n v="105"/>
    <n v="47.627198849999999"/>
    <n v="2.6459999999999999"/>
    <n v="126.02156815709999"/>
  </r>
  <r>
    <d v="2019-02-07T00:00:00"/>
    <s v="Canned and dry goods"/>
    <n v="1"/>
    <n v="3"/>
    <n v="2"/>
    <s v="SUNFLOWER KERNEL OIL RST SALT"/>
    <x v="216"/>
    <x v="1"/>
    <n v="6"/>
    <n v="2.7215542200000002"/>
    <n v="2.6459999999999999"/>
    <n v="7.2012324661200005"/>
  </r>
  <r>
    <d v="2019-02-07T00:00:00"/>
    <s v="Canned and dry goods"/>
    <n v="3"/>
    <n v="1"/>
    <n v="35"/>
    <s v="OIL CANOLA PURE ZTF"/>
    <x v="216"/>
    <x v="1"/>
    <n v="105"/>
    <n v="47.627198849999999"/>
    <n v="2.6459999999999999"/>
    <n v="126.02156815709999"/>
  </r>
  <r>
    <d v="2019-02-07T00:00:00"/>
    <s v="Canned and dry goods"/>
    <n v="3"/>
    <n v="4"/>
    <n v="7.9"/>
    <s v="OIL CANOLA"/>
    <x v="216"/>
    <x v="1"/>
    <n v="94.800000000000011"/>
    <n v="43.000556676000009"/>
    <n v="2.6459999999999999"/>
    <n v="113.77947296469603"/>
  </r>
  <r>
    <d v="2019-02-01T00:00:00"/>
    <s v="Canned and dry goods"/>
    <n v="1"/>
    <n v="3"/>
    <n v="2"/>
    <s v="SUNFLOWER KERNEL OIL RST SALT"/>
    <x v="240"/>
    <x v="1"/>
    <n v="6"/>
    <n v="2.7215542200000002"/>
    <n v="0.84799999999999998"/>
    <n v="2.3078779785600001"/>
  </r>
  <r>
    <d v="2019-02-01T00:00:00"/>
    <s v="Common Market"/>
    <n v="1"/>
    <n v="1"/>
    <n v="120"/>
    <s v="sweet potatoes"/>
    <x v="126"/>
    <x v="1"/>
    <n v="120"/>
    <n v="54.431084400000003"/>
    <n v="0.30199999999999999"/>
    <n v="16.438187488800001"/>
  </r>
  <r>
    <d v="2019-02-05T00:00:00"/>
    <s v="Common Market"/>
    <n v="1"/>
    <n v="1"/>
    <n v="120"/>
    <s v="sweet potatoes"/>
    <x v="126"/>
    <x v="1"/>
    <n v="120"/>
    <n v="54.431084400000003"/>
    <n v="0.30199999999999999"/>
    <n v="16.438187488800001"/>
  </r>
  <r>
    <d v="2019-02-06T00:00:00"/>
    <s v="Royal"/>
    <n v="2"/>
    <n v="1"/>
    <n v="40"/>
    <s v="Sweet potato Jumbo LOCAL"/>
    <x v="126"/>
    <x v="1"/>
    <n v="80"/>
    <n v="36.287389600000004"/>
    <n v="0.30199999999999999"/>
    <n v="10.958791659200001"/>
  </r>
  <r>
    <d v="2019-02-02T00:00:00"/>
    <s v="Royal"/>
    <n v="4"/>
    <n v="1"/>
    <n v="40"/>
    <s v="Sweet potato Jumbo LOCAL"/>
    <x v="126"/>
    <x v="1"/>
    <n v="160"/>
    <n v="72.574779200000009"/>
    <n v="0.30199999999999999"/>
    <n v="21.917583318400002"/>
  </r>
  <r>
    <d v="2019-02-01T00:00:00"/>
    <s v="Royal"/>
    <n v="1"/>
    <n v="1"/>
    <n v="40"/>
    <s v="Potato    Sweet Jumbo LOCAL"/>
    <x v="126"/>
    <x v="1"/>
    <n v="40"/>
    <n v="18.143694800000002"/>
    <n v="0.30199999999999999"/>
    <n v="5.4793958296000005"/>
  </r>
  <r>
    <d v="2019-02-01T00:00:00"/>
    <s v="Canned and dry goods"/>
    <n v="2"/>
    <n v="4"/>
    <n v="11.01"/>
    <s v="SYRUP PANCAKE &amp;  WAFFLE"/>
    <x v="218"/>
    <x v="1"/>
    <n v="88.08"/>
    <n v="39.952415949600002"/>
    <n v="6.7539999999999996"/>
    <n v="269.83861732359838"/>
  </r>
  <r>
    <d v="2019-02-07T00:00:00"/>
    <s v="Royal"/>
    <n v="3"/>
    <n v="1"/>
    <n v="4.1719999999999997"/>
    <s v="Tofu Firm 5 Gal"/>
    <x v="131"/>
    <x v="1"/>
    <n v="12.515999999999998"/>
    <n v="5.6771621029199997"/>
    <n v="1.6639999999999999"/>
    <n v="9.4467977392588782"/>
  </r>
  <r>
    <d v="2019-02-06T00:00:00"/>
    <s v="Royal"/>
    <n v="6"/>
    <n v="1"/>
    <n v="4.1719999999999997"/>
    <s v="Tofu Firm 5 Gal"/>
    <x v="131"/>
    <x v="1"/>
    <n v="25.031999999999996"/>
    <n v="11.354324205839999"/>
    <n v="1.6639999999999999"/>
    <n v="18.893595478517756"/>
  </r>
  <r>
    <d v="2019-02-05T00:00:00"/>
    <s v="Royal"/>
    <n v="1"/>
    <n v="1"/>
    <n v="4.1719999999999997"/>
    <s v="Tofu Firm 5 Gal"/>
    <x v="131"/>
    <x v="1"/>
    <n v="4.1719999999999997"/>
    <n v="1.8923873676399998"/>
    <n v="1.6639999999999999"/>
    <n v="3.1489325797529597"/>
  </r>
  <r>
    <d v="2019-02-04T00:00:00"/>
    <s v="Royal"/>
    <n v="5"/>
    <n v="1"/>
    <n v="4.1719999999999997"/>
    <s v="Tofu Firm 5 Gal"/>
    <x v="131"/>
    <x v="1"/>
    <n v="20.86"/>
    <n v="9.4619368381999998"/>
    <n v="1.6639999999999999"/>
    <n v="15.744662898764799"/>
  </r>
  <r>
    <d v="2019-02-01T00:00:00"/>
    <s v="Royal"/>
    <n v="8"/>
    <n v="1"/>
    <n v="4.1719999999999997"/>
    <s v="Tofu Firm 5 Gal"/>
    <x v="131"/>
    <x v="1"/>
    <n v="33.375999999999998"/>
    <n v="15.139098941119999"/>
    <n v="1.6639999999999999"/>
    <n v="25.191460638023678"/>
  </r>
  <r>
    <d v="2019-02-07T00:00:00"/>
    <s v="Royal"/>
    <n v="5"/>
    <n v="1"/>
    <n v="10"/>
    <s v="Tomato   Grape Red Bulk"/>
    <x v="132"/>
    <x v="1"/>
    <n v="50"/>
    <n v="22.6796185"/>
    <n v="0.47"/>
    <n v="10.659420695"/>
  </r>
  <r>
    <d v="2019-02-06T00:00:00"/>
    <s v="Royal"/>
    <n v="2"/>
    <n v="1"/>
    <n v="10"/>
    <s v="Pr Tomato Diced 1/4&quot; TY LOCAL"/>
    <x v="132"/>
    <x v="1"/>
    <n v="20"/>
    <n v="9.0718474000000011"/>
    <n v="0.47"/>
    <n v="4.2637682780000006"/>
  </r>
  <r>
    <d v="2019-02-06T00:00:00"/>
    <s v="Royal"/>
    <n v="8"/>
    <n v="1"/>
    <n v="10"/>
    <s v="Tomato   Grape Red Bulk"/>
    <x v="132"/>
    <x v="1"/>
    <n v="80"/>
    <n v="36.287389600000004"/>
    <n v="0.47"/>
    <n v="17.055073112000002"/>
  </r>
  <r>
    <d v="2019-02-06T00:00:00"/>
    <s v="Royal"/>
    <n v="1"/>
    <n v="1"/>
    <n v="58.888888888888893"/>
    <s v="Tomatillo"/>
    <x v="132"/>
    <x v="1"/>
    <n v="58.888888888888893"/>
    <n v="26.711550677777783"/>
    <n v="0.47"/>
    <n v="12.554428818555557"/>
  </r>
  <r>
    <d v="2019-02-05T00:00:00"/>
    <s v="Royal"/>
    <n v="1"/>
    <n v="1"/>
    <n v="10"/>
    <s v="Pr Tomato Diced 1/4&quot; TY LOCAL"/>
    <x v="132"/>
    <x v="1"/>
    <n v="10"/>
    <n v="4.5359237000000006"/>
    <n v="0.47"/>
    <n v="2.1318841390000003"/>
  </r>
  <r>
    <d v="2019-02-05T00:00:00"/>
    <s v="Royal"/>
    <n v="4"/>
    <n v="1"/>
    <n v="10"/>
    <s v="Tomato   Grape Red Bulk"/>
    <x v="132"/>
    <x v="1"/>
    <n v="40"/>
    <n v="18.143694800000002"/>
    <n v="0.47"/>
    <n v="8.5275365560000012"/>
  </r>
  <r>
    <d v="2019-02-05T00:00:00"/>
    <s v="Royal"/>
    <n v="2"/>
    <n v="1"/>
    <n v="25"/>
    <s v="Tomato   Green 5x6"/>
    <x v="132"/>
    <x v="1"/>
    <n v="50"/>
    <n v="22.6796185"/>
    <n v="0.47"/>
    <n v="10.659420695"/>
  </r>
  <r>
    <d v="2019-02-04T00:00:00"/>
    <s v="Royal"/>
    <n v="1"/>
    <n v="1"/>
    <n v="10"/>
    <s v="Pr Tomato Diced 1/4&quot; TY LOCAL"/>
    <x v="132"/>
    <x v="1"/>
    <n v="10"/>
    <n v="4.5359237000000006"/>
    <n v="0.47"/>
    <n v="2.1318841390000003"/>
  </r>
  <r>
    <d v="2019-02-04T00:00:00"/>
    <s v="Royal"/>
    <n v="2"/>
    <n v="1"/>
    <n v="20"/>
    <s v="Tomato"/>
    <x v="132"/>
    <x v="1"/>
    <n v="40"/>
    <n v="18.143694800000002"/>
    <n v="0.47"/>
    <n v="8.5275365560000012"/>
  </r>
  <r>
    <d v="2019-02-04T00:00:00"/>
    <s v="Royal"/>
    <n v="8"/>
    <n v="1"/>
    <n v="10"/>
    <s v="Tomato   Grape Red Bulk"/>
    <x v="132"/>
    <x v="1"/>
    <n v="80"/>
    <n v="36.287389600000004"/>
    <n v="0.47"/>
    <n v="17.055073112000002"/>
  </r>
  <r>
    <d v="2019-02-04T00:00:00"/>
    <s v="Royal"/>
    <n v="2"/>
    <n v="1"/>
    <n v="58.888888888888893"/>
    <s v="Tomatillo"/>
    <x v="132"/>
    <x v="1"/>
    <n v="117.77777777777779"/>
    <n v="53.423101355555566"/>
    <n v="0.47"/>
    <n v="25.108857637111115"/>
  </r>
  <r>
    <d v="2019-02-02T00:00:00"/>
    <s v="Royal"/>
    <n v="3"/>
    <n v="1"/>
    <n v="10"/>
    <s v="tomato diced"/>
    <x v="132"/>
    <x v="1"/>
    <n v="30"/>
    <n v="13.607771100000001"/>
    <n v="0.47"/>
    <n v="6.395652417"/>
  </r>
  <r>
    <d v="2019-02-02T00:00:00"/>
    <s v="Royal"/>
    <n v="4"/>
    <n v="1"/>
    <n v="12"/>
    <s v="Tomato   Cherry Premium"/>
    <x v="132"/>
    <x v="1"/>
    <n v="48"/>
    <n v="21.772433760000002"/>
    <n v="0.47"/>
    <n v="10.233043867200001"/>
  </r>
  <r>
    <d v="2019-02-02T00:00:00"/>
    <s v="Royal"/>
    <n v="4"/>
    <n v="1"/>
    <n v="12"/>
    <s v="tomato cherry premium"/>
    <x v="132"/>
    <x v="1"/>
    <n v="48"/>
    <n v="21.772433760000002"/>
    <n v="0.47"/>
    <n v="10.233043867200001"/>
  </r>
  <r>
    <d v="2019-02-01T00:00:00"/>
    <s v="Canned and dry goods"/>
    <n v="4"/>
    <n v="6"/>
    <n v="10"/>
    <s v="TOMATO CRUSHED ALL PURP FCY CA"/>
    <x v="132"/>
    <x v="1"/>
    <n v="240"/>
    <n v="108.86216880000001"/>
    <n v="0.47"/>
    <n v="51.165219336"/>
  </r>
  <r>
    <d v="2019-02-01T00:00:00"/>
    <s v="Canned and dry goods"/>
    <n v="2"/>
    <n v="6"/>
    <n v="10"/>
    <s v="TOMATO GRND PLD IN PUREE"/>
    <x v="132"/>
    <x v="1"/>
    <n v="120"/>
    <n v="54.431084400000003"/>
    <n v="0.47"/>
    <n v="25.582609668"/>
  </r>
  <r>
    <d v="2019-02-04T00:00:00"/>
    <s v="Canned and dry goods"/>
    <n v="6"/>
    <n v="6"/>
    <n v="10"/>
    <s v="TOMATO DICED IN JCE NO SALT CA"/>
    <x v="132"/>
    <x v="1"/>
    <n v="360"/>
    <n v="163.29325320000001"/>
    <n v="0.47"/>
    <n v="76.747829003999996"/>
  </r>
  <r>
    <d v="2019-02-04T00:00:00"/>
    <s v="Canned and dry goods"/>
    <n v="4"/>
    <n v="6"/>
    <n v="10"/>
    <s v="TOMATO CRUSHED ALL PURP FCY CA"/>
    <x v="132"/>
    <x v="1"/>
    <n v="240"/>
    <n v="108.86216880000001"/>
    <n v="0.47"/>
    <n v="51.165219336"/>
  </r>
  <r>
    <d v="2019-02-04T00:00:00"/>
    <s v="Canned and dry goods"/>
    <n v="6"/>
    <n v="6"/>
    <n v="10"/>
    <s v="TOMATO GRND PLD IN PUREE"/>
    <x v="132"/>
    <x v="1"/>
    <n v="360"/>
    <n v="163.29325320000001"/>
    <n v="0.47"/>
    <n v="76.747829003999996"/>
  </r>
  <r>
    <d v="2019-02-07T00:00:00"/>
    <s v="Frozen"/>
    <n v="1"/>
    <n v="24"/>
    <n v="0.79366439999999994"/>
    <s v="TORTILLA FLOUR PRESSED 6 IN"/>
    <x v="135"/>
    <x v="1"/>
    <n v="19.047945599999998"/>
    <n v="8.6400027883350727"/>
    <n v="1.28"/>
    <n v="11.059203569068893"/>
  </r>
  <r>
    <d v="2019-02-01T00:00:00"/>
    <s v="Canned and dry goods"/>
    <n v="2"/>
    <n v="6"/>
    <n v="4.15625"/>
    <s v="TUNA CHUNK SKIP JACK FAD FREE"/>
    <x v="136"/>
    <x v="0"/>
    <n v="49.875"/>
    <n v="22.622919453750001"/>
    <n v="2.1480000000000001"/>
    <n v="48.594030986655007"/>
  </r>
  <r>
    <d v="2019-02-07T00:00:00"/>
    <s v="Canned and dry goods"/>
    <n v="1"/>
    <n v="6"/>
    <n v="4.15625"/>
    <s v="TUNA CHUNK SKIP JACK FAD FREE"/>
    <x v="136"/>
    <x v="0"/>
    <n v="24.9375"/>
    <n v="11.311459726875"/>
    <n v="2.1480000000000001"/>
    <n v="24.297015493327503"/>
  </r>
  <r>
    <d v="2019-02-01T00:00:00"/>
    <s v="Northside Deli Provisions (Boar's Head)"/>
    <n v="1"/>
    <n v="1"/>
    <n v="78.7"/>
    <s v="mesquite turkey"/>
    <x v="137"/>
    <x v="0"/>
    <n v="78.7"/>
    <n v="35.697719519000003"/>
    <n v="2.5710000000000002"/>
    <n v="91.778836883349015"/>
  </r>
  <r>
    <d v="2019-02-01T00:00:00"/>
    <s v="Poultry"/>
    <n v="2"/>
    <n v="2"/>
    <n v="6"/>
    <s v="BACON TURKEY LAYFLT"/>
    <x v="137"/>
    <x v="0"/>
    <n v="24"/>
    <n v="10.886216880000001"/>
    <n v="2.5710000000000002"/>
    <n v="27.988463598480003"/>
  </r>
  <r>
    <d v="2019-02-04T00:00:00"/>
    <s v="Poultry"/>
    <n v="6"/>
    <n v="2"/>
    <n v="6"/>
    <s v="BACON TURKEY LAYFLT"/>
    <x v="137"/>
    <x v="0"/>
    <n v="72"/>
    <n v="32.658650639999998"/>
    <n v="2.5710000000000002"/>
    <n v="83.965390795440001"/>
  </r>
  <r>
    <d v="2019-02-07T00:00:00"/>
    <s v="Poultry"/>
    <n v="4"/>
    <n v="160"/>
    <n v="6.25E-2"/>
    <s v="TURKEY SAUSAGE LINK RAW"/>
    <x v="137"/>
    <x v="0"/>
    <n v="40"/>
    <n v="18.143694800000002"/>
    <n v="2.5710000000000002"/>
    <n v="46.647439330800012"/>
  </r>
  <r>
    <d v="2019-02-01T00:00:00"/>
    <s v="Canned and dry goods"/>
    <n v="1"/>
    <n v="4"/>
    <n v="8.41"/>
    <s v="VINEGAR WINE RED PLS"/>
    <x v="138"/>
    <x v="1"/>
    <n v="33.64"/>
    <n v="15.258847326800002"/>
    <n v="0.34"/>
    <n v="5.1880080911120006"/>
  </r>
  <r>
    <d v="2019-02-01T00:00:00"/>
    <s v="Canned and dry goods"/>
    <n v="1"/>
    <n v="2"/>
    <n v="11.950000000000001"/>
    <s v="VINEGAR BLSMIC AGED ITALY  PL"/>
    <x v="138"/>
    <x v="1"/>
    <n v="23.900000000000002"/>
    <n v="10.840857643000001"/>
    <n v="0.34"/>
    <n v="3.6858915986200009"/>
  </r>
  <r>
    <d v="2019-02-04T00:00:00"/>
    <s v="Canned and dry goods"/>
    <n v="1"/>
    <n v="2"/>
    <n v="11.950000000000001"/>
    <s v="VINEGAR BLSMIC AGED ITALY  PL"/>
    <x v="138"/>
    <x v="1"/>
    <n v="23.900000000000002"/>
    <n v="10.840857643000001"/>
    <n v="0.34"/>
    <n v="3.6858915986200009"/>
  </r>
  <r>
    <d v="2019-02-01T00:00:00"/>
    <s v="Canned and dry goods"/>
    <n v="2"/>
    <n v="6"/>
    <n v="2"/>
    <s v="GRAIN SPECIALTY BULGUR WHEAT"/>
    <x v="139"/>
    <x v="1"/>
    <n v="24"/>
    <n v="10.886216880000001"/>
    <n v="0.34699999999999998"/>
    <n v="3.77751725736"/>
  </r>
  <r>
    <d v="2019-02-01T00:00:00"/>
    <s v="Canned and dry goods"/>
    <n v="2"/>
    <n v="6"/>
    <n v="2"/>
    <s v="QUINOA GRAIN WHT"/>
    <x v="139"/>
    <x v="1"/>
    <n v="24"/>
    <n v="10.886216880000001"/>
    <n v="0.34699999999999998"/>
    <n v="3.77751725736"/>
  </r>
  <r>
    <d v="2019-02-01T00:00:00"/>
    <s v="Canned and dry goods"/>
    <n v="2"/>
    <n v="1"/>
    <n v="10"/>
    <s v="COUSCOUS INTL"/>
    <x v="139"/>
    <x v="1"/>
    <n v="20"/>
    <n v="9.0718474000000011"/>
    <n v="0.34699999999999998"/>
    <n v="3.1479310478000002"/>
  </r>
  <r>
    <d v="2019-02-04T00:00:00"/>
    <s v="Canned and dry goods"/>
    <n v="2"/>
    <n v="6"/>
    <n v="2"/>
    <s v="GRAIN SPECIALTY BULGUR WHEAT"/>
    <x v="139"/>
    <x v="1"/>
    <n v="24"/>
    <n v="10.886216880000001"/>
    <n v="0.34699999999999998"/>
    <n v="3.77751725736"/>
  </r>
  <r>
    <d v="2019-02-04T00:00:00"/>
    <s v="Canned and dry goods"/>
    <n v="2"/>
    <n v="6"/>
    <n v="2"/>
    <s v="QUINOA GRAIN WHT"/>
    <x v="139"/>
    <x v="1"/>
    <n v="24"/>
    <n v="10.886216880000001"/>
    <n v="0.34699999999999998"/>
    <n v="3.77751725736"/>
  </r>
  <r>
    <d v="2019-02-07T00:00:00"/>
    <s v="Canned and dry goods"/>
    <n v="1"/>
    <n v="12"/>
    <n v="2"/>
    <s v="YEAST ACTIVE DRY"/>
    <x v="142"/>
    <x v="1"/>
    <n v="24"/>
    <n v="10.886216880000001"/>
    <m/>
    <n v="0"/>
  </r>
  <r>
    <d v="2019-02-01T00:00:00"/>
    <s v="Dairy Products"/>
    <n v="5"/>
    <n v="2"/>
    <n v="6"/>
    <s v="YOGURT PLAIN GREEK BAG OIKOS"/>
    <x v="143"/>
    <x v="2"/>
    <n v="60"/>
    <n v="27.215542200000002"/>
    <n v="1.33"/>
    <n v="36.196671126000005"/>
  </r>
  <r>
    <d v="2019-02-01T00:00:00"/>
    <s v="Dairy Products"/>
    <n v="5"/>
    <n v="2"/>
    <n v="6"/>
    <s v="YOGURT VANILLA GRK BAG OIKOS"/>
    <x v="143"/>
    <x v="2"/>
    <n v="60"/>
    <n v="27.215542200000002"/>
    <n v="1.33"/>
    <n v="36.196671126000005"/>
  </r>
  <r>
    <d v="2019-02-04T00:00:00"/>
    <s v="Dairy Products"/>
    <n v="5"/>
    <n v="2"/>
    <n v="6"/>
    <s v="YOGURT PLAIN GREEK BAG OIKOS"/>
    <x v="143"/>
    <x v="2"/>
    <n v="60"/>
    <n v="27.215542200000002"/>
    <n v="1.33"/>
    <n v="36.196671126000005"/>
  </r>
  <r>
    <d v="2019-02-04T00:00:00"/>
    <s v="Dairy Products"/>
    <n v="5"/>
    <n v="2"/>
    <n v="6"/>
    <s v="YOGURT VANILLA GRK BAG OIKOS"/>
    <x v="143"/>
    <x v="2"/>
    <n v="60"/>
    <n v="27.215542200000002"/>
    <n v="1.33"/>
    <n v="36.196671126000005"/>
  </r>
  <r>
    <d v="2019-02-07T00:00:00"/>
    <s v="Dairy Products"/>
    <n v="2"/>
    <n v="2"/>
    <n v="6"/>
    <s v="YOGURT PLAIN GREEK BAG OIKOS"/>
    <x v="143"/>
    <x v="2"/>
    <n v="24"/>
    <n v="10.886216880000001"/>
    <n v="1.33"/>
    <n v="14.478668450400002"/>
  </r>
  <r>
    <d v="2019-02-07T00:00:00"/>
    <s v="Dairy Products"/>
    <n v="1"/>
    <n v="2"/>
    <n v="6"/>
    <s v="YOGURT VANILLA GRK BAG OIKOS"/>
    <x v="143"/>
    <x v="2"/>
    <n v="12"/>
    <n v="5.4431084400000005"/>
    <n v="1.33"/>
    <n v="7.2393342252000012"/>
  </r>
  <r>
    <d v="2019-02-02T00:00:00"/>
    <s v="Royal"/>
    <n v="2"/>
    <n v="1"/>
    <n v="22"/>
    <s v="zucchini squash"/>
    <x v="241"/>
    <x v="1"/>
    <n v="44"/>
    <n v="19.958064280000002"/>
    <n v="1.2290000000000001"/>
    <n v="24.52846100012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7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250" firstHeaderRow="0" firstDataRow="1" firstDataCol="1"/>
  <pivotFields count="12">
    <pivotField showAll="0"/>
    <pivotField showAll="0"/>
    <pivotField showAll="0"/>
    <pivotField showAll="0"/>
    <pivotField showAll="0"/>
    <pivotField showAll="0"/>
    <pivotField axis="axisRow" showAll="0">
      <items count="243">
        <item x="0"/>
        <item x="1"/>
        <item x="2"/>
        <item x="3"/>
        <item x="4"/>
        <item x="223"/>
        <item x="5"/>
        <item x="6"/>
        <item x="144"/>
        <item x="7"/>
        <item x="8"/>
        <item x="182"/>
        <item x="9"/>
        <item x="183"/>
        <item x="10"/>
        <item x="11"/>
        <item x="12"/>
        <item x="13"/>
        <item x="184"/>
        <item x="14"/>
        <item x="15"/>
        <item x="16"/>
        <item x="185"/>
        <item x="145"/>
        <item x="175"/>
        <item x="17"/>
        <item x="160"/>
        <item x="146"/>
        <item x="18"/>
        <item x="19"/>
        <item x="186"/>
        <item x="20"/>
        <item x="21"/>
        <item x="22"/>
        <item x="23"/>
        <item x="147"/>
        <item x="24"/>
        <item x="187"/>
        <item x="25"/>
        <item x="26"/>
        <item x="27"/>
        <item x="28"/>
        <item x="176"/>
        <item x="148"/>
        <item x="29"/>
        <item x="30"/>
        <item x="161"/>
        <item x="31"/>
        <item x="224"/>
        <item x="32"/>
        <item x="33"/>
        <item x="188"/>
        <item x="34"/>
        <item x="35"/>
        <item x="149"/>
        <item x="189"/>
        <item x="36"/>
        <item x="37"/>
        <item x="38"/>
        <item x="39"/>
        <item x="40"/>
        <item x="41"/>
        <item x="42"/>
        <item x="150"/>
        <item x="43"/>
        <item x="44"/>
        <item x="45"/>
        <item x="46"/>
        <item x="47"/>
        <item x="162"/>
        <item x="225"/>
        <item x="190"/>
        <item x="48"/>
        <item x="226"/>
        <item x="163"/>
        <item x="164"/>
        <item x="49"/>
        <item x="151"/>
        <item x="50"/>
        <item x="51"/>
        <item x="191"/>
        <item x="52"/>
        <item x="53"/>
        <item x="192"/>
        <item x="54"/>
        <item x="55"/>
        <item x="193"/>
        <item x="56"/>
        <item x="57"/>
        <item x="194"/>
        <item x="227"/>
        <item x="195"/>
        <item x="196"/>
        <item x="197"/>
        <item x="58"/>
        <item x="198"/>
        <item x="59"/>
        <item x="199"/>
        <item x="60"/>
        <item x="165"/>
        <item x="61"/>
        <item x="200"/>
        <item x="201"/>
        <item x="228"/>
        <item x="62"/>
        <item x="63"/>
        <item x="229"/>
        <item x="202"/>
        <item x="230"/>
        <item x="203"/>
        <item x="231"/>
        <item x="64"/>
        <item x="232"/>
        <item x="65"/>
        <item x="66"/>
        <item x="67"/>
        <item x="68"/>
        <item x="177"/>
        <item x="69"/>
        <item x="70"/>
        <item x="71"/>
        <item x="72"/>
        <item x="166"/>
        <item x="73"/>
        <item x="152"/>
        <item x="74"/>
        <item x="75"/>
        <item x="76"/>
        <item x="77"/>
        <item x="204"/>
        <item x="78"/>
        <item x="79"/>
        <item x="205"/>
        <item x="80"/>
        <item x="81"/>
        <item x="82"/>
        <item x="206"/>
        <item x="83"/>
        <item x="153"/>
        <item x="167"/>
        <item x="168"/>
        <item x="84"/>
        <item x="85"/>
        <item x="233"/>
        <item x="207"/>
        <item x="86"/>
        <item x="87"/>
        <item x="234"/>
        <item x="208"/>
        <item x="88"/>
        <item x="89"/>
        <item x="90"/>
        <item x="235"/>
        <item x="91"/>
        <item x="236"/>
        <item x="237"/>
        <item x="92"/>
        <item x="93"/>
        <item x="154"/>
        <item x="94"/>
        <item x="209"/>
        <item x="95"/>
        <item x="96"/>
        <item x="97"/>
        <item x="98"/>
        <item x="178"/>
        <item x="99"/>
        <item x="100"/>
        <item x="101"/>
        <item x="169"/>
        <item x="102"/>
        <item x="103"/>
        <item x="170"/>
        <item x="179"/>
        <item x="210"/>
        <item x="155"/>
        <item x="104"/>
        <item x="180"/>
        <item x="105"/>
        <item x="156"/>
        <item x="106"/>
        <item x="107"/>
        <item x="157"/>
        <item x="211"/>
        <item x="108"/>
        <item x="109"/>
        <item x="110"/>
        <item x="111"/>
        <item x="212"/>
        <item x="112"/>
        <item x="113"/>
        <item x="238"/>
        <item x="171"/>
        <item x="114"/>
        <item x="213"/>
        <item x="115"/>
        <item x="116"/>
        <item x="181"/>
        <item x="117"/>
        <item x="118"/>
        <item x="172"/>
        <item x="119"/>
        <item x="214"/>
        <item x="120"/>
        <item x="173"/>
        <item x="121"/>
        <item x="122"/>
        <item x="123"/>
        <item x="124"/>
        <item x="158"/>
        <item x="159"/>
        <item x="125"/>
        <item x="239"/>
        <item x="215"/>
        <item x="216"/>
        <item x="240"/>
        <item x="217"/>
        <item x="126"/>
        <item x="127"/>
        <item x="128"/>
        <item x="129"/>
        <item x="218"/>
        <item x="130"/>
        <item x="219"/>
        <item x="131"/>
        <item x="132"/>
        <item x="133"/>
        <item x="220"/>
        <item x="134"/>
        <item x="135"/>
        <item x="221"/>
        <item x="136"/>
        <item x="137"/>
        <item x="138"/>
        <item x="139"/>
        <item x="222"/>
        <item x="140"/>
        <item x="141"/>
        <item x="142"/>
        <item x="143"/>
        <item x="174"/>
        <item x="241"/>
        <item t="default"/>
      </items>
    </pivotField>
    <pivotField axis="axisRow" showAll="0">
      <items count="4">
        <item x="2"/>
        <item x="0"/>
        <item x="1"/>
        <item t="default"/>
      </items>
    </pivotField>
    <pivotField showAll="0"/>
    <pivotField dataField="1" showAll="0"/>
    <pivotField dataField="1" showAll="0"/>
    <pivotField dataField="1" showAll="0"/>
  </pivotFields>
  <rowFields count="2">
    <field x="7"/>
    <field x="6"/>
  </rowFields>
  <rowItems count="247">
    <i>
      <x/>
    </i>
    <i r="1">
      <x v="45"/>
    </i>
    <i r="1">
      <x v="62"/>
    </i>
    <i r="1">
      <x v="63"/>
    </i>
    <i r="1">
      <x v="78"/>
    </i>
    <i r="1">
      <x v="79"/>
    </i>
    <i r="1">
      <x v="96"/>
    </i>
    <i r="1">
      <x v="104"/>
    </i>
    <i r="1">
      <x v="120"/>
    </i>
    <i r="1">
      <x v="121"/>
    </i>
    <i r="1">
      <x v="122"/>
    </i>
    <i r="1">
      <x v="128"/>
    </i>
    <i r="1">
      <x v="145"/>
    </i>
    <i r="1">
      <x v="235"/>
    </i>
    <i r="1">
      <x v="239"/>
    </i>
    <i r="1">
      <x v="240"/>
    </i>
    <i>
      <x v="1"/>
    </i>
    <i r="1">
      <x/>
    </i>
    <i r="1">
      <x v="25"/>
    </i>
    <i r="1">
      <x v="55"/>
    </i>
    <i r="1">
      <x v="64"/>
    </i>
    <i r="1">
      <x v="82"/>
    </i>
    <i r="1">
      <x v="83"/>
    </i>
    <i r="1">
      <x v="111"/>
    </i>
    <i r="1">
      <x v="112"/>
    </i>
    <i r="1">
      <x v="133"/>
    </i>
    <i r="1">
      <x v="183"/>
    </i>
    <i r="1">
      <x v="185"/>
    </i>
    <i r="1">
      <x v="194"/>
    </i>
    <i r="1">
      <x v="223"/>
    </i>
    <i r="1">
      <x v="230"/>
    </i>
    <i r="1">
      <x v="231"/>
    </i>
    <i r="1">
      <x v="23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80"/>
    </i>
    <i r="1">
      <x v="81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3"/>
    </i>
    <i r="1">
      <x v="124"/>
    </i>
    <i r="1">
      <x v="125"/>
    </i>
    <i r="1">
      <x v="126"/>
    </i>
    <i r="1">
      <x v="127"/>
    </i>
    <i r="1">
      <x v="129"/>
    </i>
    <i r="1">
      <x v="130"/>
    </i>
    <i r="1">
      <x v="131"/>
    </i>
    <i r="1">
      <x v="132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4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3"/>
    </i>
    <i r="1">
      <x v="234"/>
    </i>
    <i r="1">
      <x v="236"/>
    </i>
    <i r="1">
      <x v="237"/>
    </i>
    <i r="1">
      <x v="238"/>
    </i>
    <i r="1">
      <x v="24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Weight (kg)" fld="9" showDataAs="percentOfTotal" baseField="0" baseItem="0" numFmtId="10"/>
    <dataField name="Average of GWP (kg CO2-eq/kg)" fld="10" subtotal="average" baseField="0" baseItem="0"/>
    <dataField name="Sum of GHGE (kg CO2-eq)" fld="11" showDataAs="percentOfTotal" baseField="0" baseItem="0" numFmtId="1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88" firstHeaderRow="0" firstDataRow="1" firstDataCol="1"/>
  <pivotFields count="12">
    <pivotField numFmtId="14" showAll="0"/>
    <pivotField showAll="0"/>
    <pivotField showAll="0"/>
    <pivotField showAll="0"/>
    <pivotField showAll="0"/>
    <pivotField showAll="0"/>
    <pivotField axis="axisRow" showAll="0">
      <items count="83">
        <item x="75"/>
        <item x="0"/>
        <item x="1"/>
        <item x="61"/>
        <item x="3"/>
        <item x="2"/>
        <item x="4"/>
        <item x="5"/>
        <item x="76"/>
        <item x="62"/>
        <item x="65"/>
        <item x="68"/>
        <item x="63"/>
        <item x="6"/>
        <item x="64"/>
        <item x="53"/>
        <item x="7"/>
        <item x="8"/>
        <item x="10"/>
        <item x="11"/>
        <item x="12"/>
        <item x="54"/>
        <item x="13"/>
        <item x="66"/>
        <item x="14"/>
        <item x="23"/>
        <item x="67"/>
        <item x="77"/>
        <item x="9"/>
        <item x="15"/>
        <item x="16"/>
        <item x="17"/>
        <item x="55"/>
        <item x="18"/>
        <item x="56"/>
        <item x="80"/>
        <item x="19"/>
        <item x="20"/>
        <item x="21"/>
        <item x="57"/>
        <item x="22"/>
        <item x="59"/>
        <item x="25"/>
        <item x="26"/>
        <item x="27"/>
        <item m="1" x="81"/>
        <item x="28"/>
        <item x="29"/>
        <item x="30"/>
        <item x="31"/>
        <item x="32"/>
        <item x="69"/>
        <item x="34"/>
        <item x="35"/>
        <item x="36"/>
        <item x="33"/>
        <item x="78"/>
        <item x="70"/>
        <item x="71"/>
        <item x="38"/>
        <item x="39"/>
        <item x="40"/>
        <item x="58"/>
        <item x="41"/>
        <item x="42"/>
        <item x="43"/>
        <item x="72"/>
        <item x="44"/>
        <item x="45"/>
        <item x="46"/>
        <item x="47"/>
        <item x="73"/>
        <item x="74"/>
        <item x="48"/>
        <item x="79"/>
        <item x="49"/>
        <item x="37"/>
        <item x="50"/>
        <item x="51"/>
        <item x="52"/>
        <item x="60"/>
        <item x="24"/>
        <item t="default"/>
      </items>
    </pivotField>
    <pivotField axis="axisRow" showAll="0">
      <items count="4">
        <item x="1"/>
        <item x="2"/>
        <item x="0"/>
        <item t="default"/>
      </items>
    </pivotField>
    <pivotField showAll="0"/>
    <pivotField dataField="1" showAll="0"/>
    <pivotField showAll="0"/>
    <pivotField dataField="1" showAll="0"/>
  </pivotFields>
  <rowFields count="2">
    <field x="7"/>
    <field x="6"/>
  </rowFields>
  <rowItems count="85">
    <i>
      <x/>
    </i>
    <i r="1">
      <x v="15"/>
    </i>
    <i r="1">
      <x v="21"/>
    </i>
    <i r="1">
      <x v="32"/>
    </i>
    <i r="1">
      <x v="34"/>
    </i>
    <i r="1">
      <x v="39"/>
    </i>
    <i r="1">
      <x v="41"/>
    </i>
    <i r="1">
      <x v="80"/>
    </i>
    <i r="1">
      <x v="81"/>
    </i>
    <i>
      <x v="1"/>
    </i>
    <i r="1">
      <x/>
    </i>
    <i r="1">
      <x v="8"/>
    </i>
    <i r="1">
      <x v="27"/>
    </i>
    <i r="1">
      <x v="35"/>
    </i>
    <i r="1">
      <x v="56"/>
    </i>
    <i r="1">
      <x v="73"/>
    </i>
    <i r="1">
      <x v="74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3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4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5"/>
    </i>
    <i r="1">
      <x v="76"/>
    </i>
    <i r="1">
      <x v="77"/>
    </i>
    <i r="1">
      <x v="78"/>
    </i>
    <i r="1">
      <x v="7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Weight (kg)" fld="9" showDataAs="percentOfTotal" baseField="0" baseItem="0" numFmtId="10"/>
    <dataField name="Sum of GHGE (kg CO2-eq)" fld="11" showDataAs="percentOfTotal" baseField="0" baseItem="0" numFmtId="1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0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88" firstHeaderRow="0" firstDataRow="1" firstDataCol="1"/>
  <pivotFields count="12">
    <pivotField numFmtId="14" showAll="0"/>
    <pivotField showAll="0"/>
    <pivotField showAll="0"/>
    <pivotField showAll="0"/>
    <pivotField showAll="0"/>
    <pivotField showAll="0"/>
    <pivotField axis="axisRow" showAll="0">
      <items count="140">
        <item m="1" x="101"/>
        <item m="1" x="123"/>
        <item m="1" x="98"/>
        <item m="1" x="97"/>
        <item m="1" x="138"/>
        <item x="0"/>
        <item m="1" x="94"/>
        <item x="1"/>
        <item x="2"/>
        <item x="3"/>
        <item x="4"/>
        <item x="5"/>
        <item x="6"/>
        <item m="1" x="92"/>
        <item x="73"/>
        <item m="1" x="115"/>
        <item x="57"/>
        <item x="58"/>
        <item x="59"/>
        <item m="1" x="127"/>
        <item m="1" x="118"/>
        <item x="60"/>
        <item x="61"/>
        <item m="1" x="95"/>
        <item m="1" x="129"/>
        <item x="62"/>
        <item x="47"/>
        <item m="1" x="108"/>
        <item m="1" x="90"/>
        <item x="7"/>
        <item m="1" x="120"/>
        <item m="1" x="131"/>
        <item m="1" x="114"/>
        <item m="1" x="116"/>
        <item x="8"/>
        <item x="48"/>
        <item x="77"/>
        <item x="9"/>
        <item m="1" x="113"/>
        <item x="10"/>
        <item m="1" x="126"/>
        <item m="1" x="89"/>
        <item x="11"/>
        <item x="13"/>
        <item x="78"/>
        <item x="14"/>
        <item m="1" x="125"/>
        <item x="16"/>
        <item x="17"/>
        <item x="18"/>
        <item m="1" x="83"/>
        <item x="19"/>
        <item x="49"/>
        <item x="64"/>
        <item m="1" x="122"/>
        <item x="65"/>
        <item x="66"/>
        <item x="50"/>
        <item m="1" x="93"/>
        <item x="67"/>
        <item x="20"/>
        <item x="21"/>
        <item m="1" x="102"/>
        <item m="1" x="88"/>
        <item m="1" x="84"/>
        <item m="1" x="107"/>
        <item m="1" x="109"/>
        <item m="1" x="106"/>
        <item x="22"/>
        <item m="1" x="130"/>
        <item x="51"/>
        <item x="23"/>
        <item x="24"/>
        <item m="1" x="134"/>
        <item x="25"/>
        <item m="1" x="117"/>
        <item x="26"/>
        <item m="1" x="121"/>
        <item m="1" x="99"/>
        <item x="52"/>
        <item m="1" x="128"/>
        <item x="53"/>
        <item x="27"/>
        <item m="1" x="87"/>
        <item x="28"/>
        <item x="30"/>
        <item m="1" x="100"/>
        <item m="1" x="104"/>
        <item m="1" x="96"/>
        <item m="1" x="132"/>
        <item x="31"/>
        <item m="1" x="85"/>
        <item x="32"/>
        <item x="33"/>
        <item m="1" x="111"/>
        <item m="1" x="136"/>
        <item x="35"/>
        <item x="34"/>
        <item x="74"/>
        <item m="1" x="124"/>
        <item m="1" x="105"/>
        <item x="75"/>
        <item x="68"/>
        <item x="36"/>
        <item x="37"/>
        <item x="79"/>
        <item m="1" x="135"/>
        <item m="1" x="137"/>
        <item x="55"/>
        <item m="1" x="119"/>
        <item m="1" x="133"/>
        <item x="54"/>
        <item x="38"/>
        <item x="39"/>
        <item m="1" x="82"/>
        <item m="1" x="110"/>
        <item m="1" x="81"/>
        <item x="40"/>
        <item x="41"/>
        <item x="29"/>
        <item x="63"/>
        <item x="69"/>
        <item m="1" x="112"/>
        <item x="42"/>
        <item x="80"/>
        <item m="1" x="103"/>
        <item x="43"/>
        <item x="70"/>
        <item x="71"/>
        <item x="72"/>
        <item m="1" x="86"/>
        <item x="44"/>
        <item x="76"/>
        <item x="45"/>
        <item x="15"/>
        <item m="1" x="91"/>
        <item x="46"/>
        <item x="56"/>
        <item x="12"/>
        <item t="default"/>
      </items>
    </pivotField>
    <pivotField axis="axisRow" showAll="0">
      <items count="4">
        <item x="1"/>
        <item x="2"/>
        <item x="0"/>
        <item t="default"/>
      </items>
    </pivotField>
    <pivotField showAll="0"/>
    <pivotField dataField="1" showAll="0"/>
    <pivotField showAll="0"/>
    <pivotField dataField="1" showAll="0"/>
  </pivotFields>
  <rowFields count="2">
    <field x="7"/>
    <field x="6"/>
  </rowFields>
  <rowItems count="85">
    <i>
      <x/>
    </i>
    <i r="1">
      <x v="26"/>
    </i>
    <i r="1">
      <x v="35"/>
    </i>
    <i r="1">
      <x v="52"/>
    </i>
    <i r="1">
      <x v="57"/>
    </i>
    <i r="1">
      <x v="70"/>
    </i>
    <i r="1">
      <x v="81"/>
    </i>
    <i r="1">
      <x v="137"/>
    </i>
    <i r="1">
      <x v="138"/>
    </i>
    <i>
      <x v="1"/>
    </i>
    <i r="1">
      <x v="14"/>
    </i>
    <i r="1">
      <x v="36"/>
    </i>
    <i r="1">
      <x v="44"/>
    </i>
    <i r="1">
      <x v="98"/>
    </i>
    <i r="1">
      <x v="101"/>
    </i>
    <i r="1">
      <x v="105"/>
    </i>
    <i r="1">
      <x v="124"/>
    </i>
    <i r="1">
      <x v="131"/>
    </i>
    <i r="1">
      <x v="132"/>
    </i>
    <i>
      <x v="2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6"/>
    </i>
    <i r="1">
      <x v="17"/>
    </i>
    <i r="1">
      <x v="18"/>
    </i>
    <i r="1">
      <x v="21"/>
    </i>
    <i r="1">
      <x v="22"/>
    </i>
    <i r="1">
      <x v="25"/>
    </i>
    <i r="1">
      <x v="29"/>
    </i>
    <i r="1">
      <x v="34"/>
    </i>
    <i r="1">
      <x v="37"/>
    </i>
    <i r="1">
      <x v="39"/>
    </i>
    <i r="1">
      <x v="42"/>
    </i>
    <i r="1">
      <x v="43"/>
    </i>
    <i r="1">
      <x v="45"/>
    </i>
    <i r="1">
      <x v="47"/>
    </i>
    <i r="1">
      <x v="48"/>
    </i>
    <i r="1">
      <x v="49"/>
    </i>
    <i r="1">
      <x v="51"/>
    </i>
    <i r="1">
      <x v="53"/>
    </i>
    <i r="1">
      <x v="55"/>
    </i>
    <i r="1">
      <x v="56"/>
    </i>
    <i r="1">
      <x v="59"/>
    </i>
    <i r="1">
      <x v="60"/>
    </i>
    <i r="1">
      <x v="61"/>
    </i>
    <i r="1">
      <x v="68"/>
    </i>
    <i r="1">
      <x v="71"/>
    </i>
    <i r="1">
      <x v="72"/>
    </i>
    <i r="1">
      <x v="74"/>
    </i>
    <i r="1">
      <x v="76"/>
    </i>
    <i r="1">
      <x v="79"/>
    </i>
    <i r="1">
      <x v="82"/>
    </i>
    <i r="1">
      <x v="84"/>
    </i>
    <i r="1">
      <x v="85"/>
    </i>
    <i r="1">
      <x v="90"/>
    </i>
    <i r="1">
      <x v="92"/>
    </i>
    <i r="1">
      <x v="93"/>
    </i>
    <i r="1">
      <x v="96"/>
    </i>
    <i r="1">
      <x v="97"/>
    </i>
    <i r="1">
      <x v="102"/>
    </i>
    <i r="1">
      <x v="103"/>
    </i>
    <i r="1">
      <x v="104"/>
    </i>
    <i r="1">
      <x v="108"/>
    </i>
    <i r="1">
      <x v="111"/>
    </i>
    <i r="1">
      <x v="112"/>
    </i>
    <i r="1">
      <x v="113"/>
    </i>
    <i r="1">
      <x v="117"/>
    </i>
    <i r="1">
      <x v="118"/>
    </i>
    <i r="1">
      <x v="119"/>
    </i>
    <i r="1">
      <x v="120"/>
    </i>
    <i r="1">
      <x v="121"/>
    </i>
    <i r="1">
      <x v="123"/>
    </i>
    <i r="1">
      <x v="126"/>
    </i>
    <i r="1">
      <x v="127"/>
    </i>
    <i r="1">
      <x v="128"/>
    </i>
    <i r="1">
      <x v="129"/>
    </i>
    <i r="1">
      <x v="133"/>
    </i>
    <i r="1">
      <x v="134"/>
    </i>
    <i r="1">
      <x v="13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Weight (kg)" fld="9" showDataAs="percentOfTotal" baseField="0" baseItem="0" numFmtId="10"/>
    <dataField name="Sum of GHGE (kg CO2-eq)" fld="11" showDataAs="percentOfTotal" baseField="0" baseItem="0" numFmtId="1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80" firstHeaderRow="0" firstDataRow="1" firstDataCol="1"/>
  <pivotFields count="12">
    <pivotField numFmtId="14" showAll="0"/>
    <pivotField showAll="0"/>
    <pivotField showAll="0"/>
    <pivotField showAll="0"/>
    <pivotField showAll="0"/>
    <pivotField showAll="0"/>
    <pivotField axis="axisRow" showAll="0">
      <items count="73">
        <item x="66"/>
        <item x="0"/>
        <item x="54"/>
        <item x="1"/>
        <item x="2"/>
        <item x="3"/>
        <item x="4"/>
        <item x="67"/>
        <item x="55"/>
        <item x="56"/>
        <item x="57"/>
        <item x="58"/>
        <item x="43"/>
        <item x="5"/>
        <item x="6"/>
        <item x="44"/>
        <item x="69"/>
        <item x="7"/>
        <item x="8"/>
        <item x="9"/>
        <item x="10"/>
        <item x="12"/>
        <item x="13"/>
        <item x="14"/>
        <item x="15"/>
        <item x="45"/>
        <item x="16"/>
        <item x="46"/>
        <item x="59"/>
        <item x="17"/>
        <item x="71"/>
        <item x="18"/>
        <item x="47"/>
        <item x="48"/>
        <item x="19"/>
        <item x="20"/>
        <item x="21"/>
        <item x="60"/>
        <item x="49"/>
        <item x="50"/>
        <item x="22"/>
        <item x="23"/>
        <item x="24"/>
        <item x="26"/>
        <item x="25"/>
        <item x="27"/>
        <item x="28"/>
        <item x="61"/>
        <item x="29"/>
        <item x="68"/>
        <item x="62"/>
        <item x="30"/>
        <item x="63"/>
        <item x="51"/>
        <item x="52"/>
        <item x="31"/>
        <item x="32"/>
        <item x="64"/>
        <item x="33"/>
        <item x="34"/>
        <item x="35"/>
        <item x="36"/>
        <item x="37"/>
        <item x="38"/>
        <item x="65"/>
        <item x="39"/>
        <item x="70"/>
        <item x="40"/>
        <item x="41"/>
        <item x="42"/>
        <item x="53"/>
        <item x="11"/>
        <item t="default"/>
      </items>
    </pivotField>
    <pivotField axis="axisRow" showAll="0">
      <items count="4">
        <item x="1"/>
        <item x="2"/>
        <item x="0"/>
        <item t="default"/>
      </items>
    </pivotField>
    <pivotField showAll="0"/>
    <pivotField dataField="1" showAll="0"/>
    <pivotField showAll="0"/>
    <pivotField dataField="1" showAll="0"/>
  </pivotFields>
  <rowFields count="2">
    <field x="7"/>
    <field x="6"/>
  </rowFields>
  <rowItems count="77">
    <i>
      <x/>
    </i>
    <i r="1">
      <x v="12"/>
    </i>
    <i r="1">
      <x v="15"/>
    </i>
    <i r="1">
      <x v="20"/>
    </i>
    <i r="1">
      <x v="25"/>
    </i>
    <i r="1">
      <x v="27"/>
    </i>
    <i r="1">
      <x v="32"/>
    </i>
    <i r="1">
      <x v="33"/>
    </i>
    <i r="1">
      <x v="39"/>
    </i>
    <i r="1">
      <x v="70"/>
    </i>
    <i r="1">
      <x v="71"/>
    </i>
    <i>
      <x v="1"/>
    </i>
    <i r="1">
      <x/>
    </i>
    <i r="1">
      <x v="7"/>
    </i>
    <i r="1">
      <x v="16"/>
    </i>
    <i r="1">
      <x v="30"/>
    </i>
    <i r="1">
      <x v="49"/>
    </i>
    <i r="1">
      <x v="65"/>
    </i>
    <i r="1">
      <x v="66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8"/>
    </i>
    <i r="1">
      <x v="29"/>
    </i>
    <i r="1">
      <x v="31"/>
    </i>
    <i r="1">
      <x v="34"/>
    </i>
    <i r="1">
      <x v="35"/>
    </i>
    <i r="1">
      <x v="36"/>
    </i>
    <i r="1">
      <x v="37"/>
    </i>
    <i r="1">
      <x v="38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7"/>
    </i>
    <i r="1">
      <x v="68"/>
    </i>
    <i r="1">
      <x v="6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GHGE (kg CO2-eq)" fld="11" showDataAs="percentOfTotal" baseField="0" baseItem="0" numFmtId="10"/>
    <dataField name="Sum of Weight (kg)" fld="9" showDataAs="percentOfTotal" baseField="0" baseItem="0" numFmtId="1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X526"/>
  <sheetViews>
    <sheetView workbookViewId="0">
      <pane ySplit="2" topLeftCell="A176" activePane="bottomLeft" state="frozen"/>
      <selection activeCell="B126" sqref="B126"/>
      <selection pane="bottomLeft" activeCell="B126" sqref="B126"/>
    </sheetView>
  </sheetViews>
  <sheetFormatPr baseColWidth="10" defaultRowHeight="16" x14ac:dyDescent="0.2"/>
  <cols>
    <col min="2" max="2" width="21.5" customWidth="1"/>
    <col min="5" max="5" width="11.83203125" customWidth="1"/>
    <col min="6" max="7" width="22.33203125" customWidth="1"/>
    <col min="8" max="8" width="13.5" customWidth="1"/>
    <col min="11" max="11" width="18.1640625" bestFit="1" customWidth="1"/>
    <col min="12" max="12" width="16" bestFit="1" customWidth="1"/>
    <col min="13" max="13" width="12" bestFit="1" customWidth="1"/>
    <col min="14" max="14" width="12" customWidth="1"/>
    <col min="15" max="15" width="11.1640625" bestFit="1" customWidth="1"/>
    <col min="16" max="16" width="16.33203125" bestFit="1" customWidth="1"/>
    <col min="17" max="17" width="14" bestFit="1" customWidth="1"/>
    <col min="18" max="18" width="21.5" bestFit="1" customWidth="1"/>
  </cols>
  <sheetData>
    <row r="1" spans="1:12" x14ac:dyDescent="0.2">
      <c r="A1" s="94" t="s">
        <v>945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x14ac:dyDescent="0.2">
      <c r="A2" s="1" t="s">
        <v>0</v>
      </c>
      <c r="B2" s="1" t="s">
        <v>1</v>
      </c>
      <c r="C2" s="61" t="s">
        <v>2</v>
      </c>
      <c r="D2" s="2" t="s">
        <v>280</v>
      </c>
      <c r="E2" s="2" t="s">
        <v>3</v>
      </c>
      <c r="F2" s="31" t="s">
        <v>1090</v>
      </c>
      <c r="G2" s="31" t="s">
        <v>780</v>
      </c>
      <c r="H2" s="3" t="s">
        <v>934</v>
      </c>
      <c r="I2" s="3" t="s">
        <v>938</v>
      </c>
      <c r="J2" s="3" t="s">
        <v>6</v>
      </c>
      <c r="K2" s="1" t="s">
        <v>7</v>
      </c>
      <c r="L2" s="1" t="s">
        <v>8</v>
      </c>
    </row>
    <row r="3" spans="1:12" x14ac:dyDescent="0.2">
      <c r="A3" s="10">
        <v>43434</v>
      </c>
      <c r="B3" s="8" t="s">
        <v>525</v>
      </c>
      <c r="C3" s="8">
        <v>2</v>
      </c>
      <c r="D3" s="8">
        <v>2</v>
      </c>
      <c r="E3">
        <v>5</v>
      </c>
      <c r="F3" t="s">
        <v>398</v>
      </c>
      <c r="G3" s="6" t="s">
        <v>890</v>
      </c>
      <c r="H3" s="6" t="s">
        <v>1072</v>
      </c>
      <c r="I3">
        <f t="shared" ref="I3:I34" si="0">C3*D3*E3</f>
        <v>20</v>
      </c>
      <c r="J3">
        <f t="shared" ref="J3:J66" si="1">CONVERT(I3,"lbm","kg")</f>
        <v>9.0718474000000011</v>
      </c>
      <c r="K3">
        <f>(0.5*32.846)+(0.5*5.56)</f>
        <v>19.202999999999999</v>
      </c>
      <c r="L3">
        <f t="shared" ref="L3:L66" si="2">J3*K3</f>
        <v>174.20668562220001</v>
      </c>
    </row>
    <row r="4" spans="1:12" x14ac:dyDescent="0.2">
      <c r="A4" s="4">
        <v>43439</v>
      </c>
      <c r="B4" t="s">
        <v>525</v>
      </c>
      <c r="C4">
        <v>1</v>
      </c>
      <c r="D4">
        <v>2</v>
      </c>
      <c r="E4">
        <v>5</v>
      </c>
      <c r="F4" t="s">
        <v>398</v>
      </c>
      <c r="G4" t="s">
        <v>890</v>
      </c>
      <c r="H4" t="s">
        <v>1072</v>
      </c>
      <c r="I4">
        <f t="shared" si="0"/>
        <v>10</v>
      </c>
      <c r="J4">
        <f t="shared" si="1"/>
        <v>4.5359237000000006</v>
      </c>
      <c r="K4">
        <f>(0.5*32.846)+(0.5*5.56)</f>
        <v>19.202999999999999</v>
      </c>
      <c r="L4">
        <f t="shared" si="2"/>
        <v>87.103342811100006</v>
      </c>
    </row>
    <row r="5" spans="1:12" x14ac:dyDescent="0.2">
      <c r="A5" s="4">
        <v>43347</v>
      </c>
      <c r="B5" t="s">
        <v>22</v>
      </c>
      <c r="C5">
        <v>1</v>
      </c>
      <c r="D5">
        <v>1</v>
      </c>
      <c r="E5">
        <v>160</v>
      </c>
      <c r="F5" s="9" t="s">
        <v>25</v>
      </c>
      <c r="G5" s="9" t="s">
        <v>767</v>
      </c>
      <c r="H5" s="8" t="s">
        <v>1071</v>
      </c>
      <c r="I5">
        <f t="shared" si="0"/>
        <v>160</v>
      </c>
      <c r="J5" s="8">
        <f t="shared" si="1"/>
        <v>72.574779200000009</v>
      </c>
      <c r="K5">
        <v>0.22800000000000001</v>
      </c>
      <c r="L5">
        <f t="shared" si="2"/>
        <v>16.547049657600002</v>
      </c>
    </row>
    <row r="6" spans="1:12" x14ac:dyDescent="0.2">
      <c r="A6" s="4">
        <v>43347</v>
      </c>
      <c r="B6" t="s">
        <v>22</v>
      </c>
      <c r="C6">
        <v>1</v>
      </c>
      <c r="D6">
        <v>1</v>
      </c>
      <c r="E6">
        <v>100</v>
      </c>
      <c r="F6" s="9" t="s">
        <v>26</v>
      </c>
      <c r="G6" s="9" t="s">
        <v>767</v>
      </c>
      <c r="H6" s="8" t="s">
        <v>1071</v>
      </c>
      <c r="I6">
        <f t="shared" si="0"/>
        <v>100</v>
      </c>
      <c r="J6" s="8">
        <f t="shared" si="1"/>
        <v>45.359237</v>
      </c>
      <c r="K6">
        <v>0.22800000000000001</v>
      </c>
      <c r="L6">
        <f t="shared" si="2"/>
        <v>10.341906036000001</v>
      </c>
    </row>
    <row r="7" spans="1:12" x14ac:dyDescent="0.2">
      <c r="A7" s="4">
        <v>43343</v>
      </c>
      <c r="B7" t="s">
        <v>22</v>
      </c>
      <c r="C7">
        <v>1</v>
      </c>
      <c r="D7">
        <v>1</v>
      </c>
      <c r="E7">
        <v>100</v>
      </c>
      <c r="F7" s="9" t="s">
        <v>26</v>
      </c>
      <c r="G7" s="9" t="s">
        <v>767</v>
      </c>
      <c r="H7" s="8" t="s">
        <v>1071</v>
      </c>
      <c r="I7">
        <f t="shared" si="0"/>
        <v>100</v>
      </c>
      <c r="J7" s="8">
        <f t="shared" si="1"/>
        <v>45.359237</v>
      </c>
      <c r="K7">
        <v>0.22800000000000001</v>
      </c>
      <c r="L7">
        <f t="shared" si="2"/>
        <v>10.341906036000001</v>
      </c>
    </row>
    <row r="8" spans="1:12" x14ac:dyDescent="0.2">
      <c r="A8" s="4">
        <v>43347</v>
      </c>
      <c r="B8" t="s">
        <v>22</v>
      </c>
      <c r="C8">
        <v>1</v>
      </c>
      <c r="D8">
        <v>1</v>
      </c>
      <c r="E8">
        <v>160</v>
      </c>
      <c r="F8" s="9" t="s">
        <v>25</v>
      </c>
      <c r="G8" s="9" t="s">
        <v>767</v>
      </c>
      <c r="H8" s="8" t="s">
        <v>1071</v>
      </c>
      <c r="I8">
        <f t="shared" si="0"/>
        <v>160</v>
      </c>
      <c r="J8" s="8">
        <f t="shared" si="1"/>
        <v>72.574779200000009</v>
      </c>
      <c r="K8">
        <v>0.22800000000000001</v>
      </c>
      <c r="L8">
        <f t="shared" si="2"/>
        <v>16.547049657600002</v>
      </c>
    </row>
    <row r="9" spans="1:12" x14ac:dyDescent="0.2">
      <c r="A9" s="10">
        <v>43347</v>
      </c>
      <c r="B9" s="8" t="s">
        <v>22</v>
      </c>
      <c r="C9">
        <v>1</v>
      </c>
      <c r="D9">
        <v>1</v>
      </c>
      <c r="E9" s="8">
        <v>100</v>
      </c>
      <c r="F9" s="9" t="s">
        <v>26</v>
      </c>
      <c r="G9" s="9" t="s">
        <v>767</v>
      </c>
      <c r="H9" s="8" t="s">
        <v>1071</v>
      </c>
      <c r="I9">
        <f t="shared" si="0"/>
        <v>100</v>
      </c>
      <c r="J9" s="8">
        <f t="shared" si="1"/>
        <v>45.359237</v>
      </c>
      <c r="K9">
        <v>0.22800000000000001</v>
      </c>
      <c r="L9">
        <f t="shared" si="2"/>
        <v>10.341906036000001</v>
      </c>
    </row>
    <row r="10" spans="1:12" x14ac:dyDescent="0.2">
      <c r="A10" s="4">
        <v>43344</v>
      </c>
      <c r="B10" s="6" t="s">
        <v>1074</v>
      </c>
      <c r="C10">
        <v>2</v>
      </c>
      <c r="D10" s="8">
        <v>1</v>
      </c>
      <c r="E10">
        <f>138*(1/3)</f>
        <v>46</v>
      </c>
      <c r="F10" t="s">
        <v>115</v>
      </c>
      <c r="G10" t="s">
        <v>767</v>
      </c>
      <c r="H10" s="8" t="s">
        <v>1071</v>
      </c>
      <c r="I10">
        <f t="shared" si="0"/>
        <v>92</v>
      </c>
      <c r="J10" s="8">
        <f t="shared" si="1"/>
        <v>41.730498040000001</v>
      </c>
      <c r="K10">
        <v>0.22800000000000001</v>
      </c>
      <c r="L10">
        <f t="shared" si="2"/>
        <v>9.5145535531200007</v>
      </c>
    </row>
    <row r="11" spans="1:12" x14ac:dyDescent="0.2">
      <c r="A11" s="4">
        <v>43346</v>
      </c>
      <c r="B11" s="6" t="s">
        <v>1074</v>
      </c>
      <c r="C11">
        <v>3</v>
      </c>
      <c r="D11" s="8">
        <v>1</v>
      </c>
      <c r="E11">
        <f>38*(1/3)</f>
        <v>12.666666666666666</v>
      </c>
      <c r="F11" t="s">
        <v>1078</v>
      </c>
      <c r="G11" t="s">
        <v>767</v>
      </c>
      <c r="H11" s="8" t="s">
        <v>1071</v>
      </c>
      <c r="I11">
        <f t="shared" si="0"/>
        <v>38</v>
      </c>
      <c r="J11" s="8">
        <f t="shared" si="1"/>
        <v>17.236510060000001</v>
      </c>
      <c r="K11">
        <v>0.22800000000000001</v>
      </c>
      <c r="L11">
        <f t="shared" si="2"/>
        <v>3.9299242936800001</v>
      </c>
    </row>
    <row r="12" spans="1:12" x14ac:dyDescent="0.2">
      <c r="A12" s="4">
        <v>43346</v>
      </c>
      <c r="B12" s="6" t="s">
        <v>1074</v>
      </c>
      <c r="C12">
        <v>3</v>
      </c>
      <c r="D12" s="8">
        <v>1</v>
      </c>
      <c r="E12">
        <f>38*(1/3)</f>
        <v>12.666666666666666</v>
      </c>
      <c r="F12" t="s">
        <v>1079</v>
      </c>
      <c r="G12" t="s">
        <v>767</v>
      </c>
      <c r="H12" s="8" t="s">
        <v>1071</v>
      </c>
      <c r="I12">
        <f t="shared" si="0"/>
        <v>38</v>
      </c>
      <c r="J12" s="8">
        <f t="shared" si="1"/>
        <v>17.236510060000001</v>
      </c>
      <c r="K12">
        <v>0.22800000000000001</v>
      </c>
      <c r="L12">
        <f t="shared" si="2"/>
        <v>3.9299242936800001</v>
      </c>
    </row>
    <row r="13" spans="1:12" x14ac:dyDescent="0.2">
      <c r="A13" s="4">
        <v>43346</v>
      </c>
      <c r="B13" s="6" t="s">
        <v>1074</v>
      </c>
      <c r="C13">
        <v>2</v>
      </c>
      <c r="D13" s="8">
        <v>1</v>
      </c>
      <c r="E13">
        <v>10</v>
      </c>
      <c r="F13" t="s">
        <v>1030</v>
      </c>
      <c r="G13" t="s">
        <v>767</v>
      </c>
      <c r="H13" s="8" t="s">
        <v>1071</v>
      </c>
      <c r="I13">
        <f t="shared" si="0"/>
        <v>20</v>
      </c>
      <c r="J13" s="8">
        <f t="shared" si="1"/>
        <v>9.0718474000000011</v>
      </c>
      <c r="K13">
        <v>0.22800000000000001</v>
      </c>
      <c r="L13">
        <f t="shared" si="2"/>
        <v>2.0683812072000003</v>
      </c>
    </row>
    <row r="14" spans="1:12" x14ac:dyDescent="0.2">
      <c r="A14" s="4">
        <v>43343</v>
      </c>
      <c r="B14" t="s">
        <v>22</v>
      </c>
      <c r="C14">
        <v>1</v>
      </c>
      <c r="D14">
        <v>1</v>
      </c>
      <c r="E14">
        <v>160</v>
      </c>
      <c r="F14" s="9" t="s">
        <v>25</v>
      </c>
      <c r="G14" s="9" t="s">
        <v>754</v>
      </c>
      <c r="H14" s="8" t="s">
        <v>1071</v>
      </c>
      <c r="I14">
        <f t="shared" si="0"/>
        <v>160</v>
      </c>
      <c r="J14" s="8">
        <f t="shared" si="1"/>
        <v>72.574779200000009</v>
      </c>
      <c r="K14">
        <v>0.22800000000000001</v>
      </c>
      <c r="L14">
        <f t="shared" si="2"/>
        <v>16.547049657600002</v>
      </c>
    </row>
    <row r="15" spans="1:12" x14ac:dyDescent="0.2">
      <c r="A15" s="4">
        <v>43437</v>
      </c>
      <c r="B15" t="s">
        <v>538</v>
      </c>
      <c r="C15">
        <v>1</v>
      </c>
      <c r="D15">
        <v>6</v>
      </c>
      <c r="E15">
        <v>10</v>
      </c>
      <c r="F15" t="s">
        <v>577</v>
      </c>
      <c r="G15" s="6" t="s">
        <v>918</v>
      </c>
      <c r="H15" t="s">
        <v>1071</v>
      </c>
      <c r="I15">
        <f t="shared" si="0"/>
        <v>60</v>
      </c>
      <c r="J15">
        <f t="shared" si="1"/>
        <v>27.215542200000002</v>
      </c>
      <c r="K15">
        <v>3.25</v>
      </c>
      <c r="L15">
        <f t="shared" si="2"/>
        <v>88.450512150000009</v>
      </c>
    </row>
    <row r="16" spans="1:12" x14ac:dyDescent="0.2">
      <c r="A16" s="4">
        <v>43434</v>
      </c>
      <c r="B16" t="s">
        <v>538</v>
      </c>
      <c r="C16">
        <v>2</v>
      </c>
      <c r="D16">
        <v>6</v>
      </c>
      <c r="E16">
        <v>6.6138700000000004</v>
      </c>
      <c r="F16" t="s">
        <v>447</v>
      </c>
      <c r="G16" t="s">
        <v>870</v>
      </c>
      <c r="H16" t="s">
        <v>1071</v>
      </c>
      <c r="I16">
        <f t="shared" si="0"/>
        <v>79.366440000000011</v>
      </c>
      <c r="J16">
        <f t="shared" si="1"/>
        <v>36.000011618062807</v>
      </c>
      <c r="K16">
        <v>0.84599999999999997</v>
      </c>
      <c r="L16">
        <f t="shared" si="2"/>
        <v>30.456009828881133</v>
      </c>
    </row>
    <row r="17" spans="1:24" x14ac:dyDescent="0.2">
      <c r="A17" s="4">
        <v>43346</v>
      </c>
      <c r="B17" s="6" t="s">
        <v>1074</v>
      </c>
      <c r="C17">
        <v>1</v>
      </c>
      <c r="D17" s="8">
        <v>1</v>
      </c>
      <c r="E17">
        <f>2*1.5</f>
        <v>3</v>
      </c>
      <c r="F17" t="s">
        <v>1032</v>
      </c>
      <c r="G17" s="6" t="s">
        <v>769</v>
      </c>
      <c r="H17" s="8" t="s">
        <v>1071</v>
      </c>
      <c r="I17">
        <f t="shared" si="0"/>
        <v>3</v>
      </c>
      <c r="J17" s="8">
        <f t="shared" si="1"/>
        <v>1.3607771100000001</v>
      </c>
      <c r="K17">
        <v>0.3</v>
      </c>
      <c r="L17">
        <f t="shared" si="2"/>
        <v>0.40823313300000003</v>
      </c>
    </row>
    <row r="18" spans="1:24" x14ac:dyDescent="0.2">
      <c r="A18" s="4">
        <v>43343</v>
      </c>
      <c r="B18" s="6" t="s">
        <v>1074</v>
      </c>
      <c r="C18">
        <v>1</v>
      </c>
      <c r="D18" s="8">
        <v>1</v>
      </c>
      <c r="E18">
        <f>11*6</f>
        <v>66</v>
      </c>
      <c r="F18" t="s">
        <v>80</v>
      </c>
      <c r="G18" t="s">
        <v>80</v>
      </c>
      <c r="H18" s="8" t="s">
        <v>1071</v>
      </c>
      <c r="I18">
        <f t="shared" si="0"/>
        <v>66</v>
      </c>
      <c r="J18" s="8">
        <f t="shared" si="1"/>
        <v>29.937096420000003</v>
      </c>
      <c r="K18">
        <v>2.1709999999999998</v>
      </c>
      <c r="L18">
        <f t="shared" si="2"/>
        <v>64.993436327820007</v>
      </c>
    </row>
    <row r="19" spans="1:24" x14ac:dyDescent="0.2">
      <c r="A19" s="4">
        <v>43344</v>
      </c>
      <c r="B19" s="6" t="s">
        <v>1074</v>
      </c>
      <c r="C19">
        <v>6</v>
      </c>
      <c r="D19" s="8">
        <v>1</v>
      </c>
      <c r="E19">
        <v>11</v>
      </c>
      <c r="F19" t="s">
        <v>1001</v>
      </c>
      <c r="G19" t="s">
        <v>80</v>
      </c>
      <c r="H19" s="8" t="s">
        <v>1071</v>
      </c>
      <c r="I19">
        <f t="shared" si="0"/>
        <v>66</v>
      </c>
      <c r="J19" s="8">
        <f t="shared" si="1"/>
        <v>29.937096420000003</v>
      </c>
      <c r="K19">
        <v>2.1709999999999998</v>
      </c>
      <c r="L19">
        <f t="shared" si="2"/>
        <v>64.993436327820007</v>
      </c>
    </row>
    <row r="20" spans="1:24" x14ac:dyDescent="0.2">
      <c r="A20" s="4">
        <v>43434</v>
      </c>
      <c r="B20" t="s">
        <v>531</v>
      </c>
      <c r="C20">
        <v>4</v>
      </c>
      <c r="D20">
        <v>4</v>
      </c>
      <c r="E20">
        <v>6</v>
      </c>
      <c r="F20" t="s">
        <v>537</v>
      </c>
      <c r="G20" t="s">
        <v>858</v>
      </c>
      <c r="H20" t="s">
        <v>1071</v>
      </c>
      <c r="I20">
        <f t="shared" si="0"/>
        <v>96</v>
      </c>
      <c r="J20">
        <f t="shared" si="1"/>
        <v>43.544867520000004</v>
      </c>
      <c r="K20">
        <v>0.374</v>
      </c>
      <c r="L20">
        <f t="shared" si="2"/>
        <v>16.285780452480001</v>
      </c>
    </row>
    <row r="21" spans="1:24" x14ac:dyDescent="0.2">
      <c r="A21" s="4">
        <v>43437</v>
      </c>
      <c r="B21" t="s">
        <v>531</v>
      </c>
      <c r="C21">
        <v>5</v>
      </c>
      <c r="D21">
        <v>4</v>
      </c>
      <c r="E21">
        <v>6</v>
      </c>
      <c r="F21" t="s">
        <v>413</v>
      </c>
      <c r="G21" t="s">
        <v>858</v>
      </c>
      <c r="H21" t="s">
        <v>1071</v>
      </c>
      <c r="I21">
        <f t="shared" si="0"/>
        <v>120</v>
      </c>
      <c r="J21">
        <f t="shared" si="1"/>
        <v>54.431084400000003</v>
      </c>
      <c r="K21">
        <v>0.374</v>
      </c>
      <c r="L21">
        <f t="shared" si="2"/>
        <v>20.3572255656</v>
      </c>
    </row>
    <row r="22" spans="1:24" x14ac:dyDescent="0.2">
      <c r="A22" s="4">
        <v>43343</v>
      </c>
      <c r="B22" s="6" t="s">
        <v>1074</v>
      </c>
      <c r="C22">
        <v>1</v>
      </c>
      <c r="D22" s="8">
        <v>1</v>
      </c>
      <c r="E22">
        <v>40</v>
      </c>
      <c r="F22" t="s">
        <v>81</v>
      </c>
      <c r="G22" t="s">
        <v>81</v>
      </c>
      <c r="H22" s="8" t="s">
        <v>1071</v>
      </c>
      <c r="I22">
        <f t="shared" si="0"/>
        <v>40</v>
      </c>
      <c r="J22" s="8">
        <f t="shared" si="1"/>
        <v>18.143694800000002</v>
      </c>
      <c r="K22">
        <v>0.374</v>
      </c>
      <c r="L22">
        <f t="shared" si="2"/>
        <v>6.7857418552000004</v>
      </c>
    </row>
    <row r="23" spans="1:24" x14ac:dyDescent="0.2">
      <c r="A23" s="4">
        <v>43344</v>
      </c>
      <c r="B23" s="6" t="s">
        <v>1074</v>
      </c>
      <c r="C23">
        <v>10</v>
      </c>
      <c r="D23" s="8">
        <v>1</v>
      </c>
      <c r="E23">
        <v>40</v>
      </c>
      <c r="F23" t="s">
        <v>116</v>
      </c>
      <c r="G23" t="s">
        <v>81</v>
      </c>
      <c r="H23" s="8" t="s">
        <v>1071</v>
      </c>
      <c r="I23">
        <f t="shared" si="0"/>
        <v>400</v>
      </c>
      <c r="J23" s="8">
        <f t="shared" si="1"/>
        <v>181.436948</v>
      </c>
      <c r="K23">
        <v>0.374</v>
      </c>
      <c r="L23">
        <f t="shared" si="2"/>
        <v>67.857418551999999</v>
      </c>
      <c r="X23" s="5"/>
    </row>
    <row r="24" spans="1:24" x14ac:dyDescent="0.2">
      <c r="A24" s="4">
        <v>43346</v>
      </c>
      <c r="B24" s="6" t="s">
        <v>1074</v>
      </c>
      <c r="C24">
        <v>10</v>
      </c>
      <c r="D24" s="8">
        <v>1</v>
      </c>
      <c r="E24">
        <v>40</v>
      </c>
      <c r="F24" t="s">
        <v>116</v>
      </c>
      <c r="G24" t="s">
        <v>81</v>
      </c>
      <c r="H24" s="8" t="s">
        <v>1071</v>
      </c>
      <c r="I24">
        <f t="shared" si="0"/>
        <v>400</v>
      </c>
      <c r="J24" s="8">
        <f t="shared" si="1"/>
        <v>181.436948</v>
      </c>
      <c r="K24">
        <v>0.374</v>
      </c>
      <c r="L24">
        <f t="shared" si="2"/>
        <v>67.857418551999999</v>
      </c>
      <c r="X24" s="5"/>
    </row>
    <row r="25" spans="1:24" x14ac:dyDescent="0.2">
      <c r="A25" s="4">
        <v>43347</v>
      </c>
      <c r="B25" s="6" t="s">
        <v>1074</v>
      </c>
      <c r="C25">
        <v>4</v>
      </c>
      <c r="D25" s="8">
        <v>1</v>
      </c>
      <c r="E25">
        <v>40</v>
      </c>
      <c r="F25" t="s">
        <v>116</v>
      </c>
      <c r="G25" t="s">
        <v>81</v>
      </c>
      <c r="H25" s="8" t="s">
        <v>1071</v>
      </c>
      <c r="I25">
        <f t="shared" si="0"/>
        <v>160</v>
      </c>
      <c r="J25" s="8">
        <f t="shared" si="1"/>
        <v>72.574779200000009</v>
      </c>
      <c r="K25">
        <v>0.374</v>
      </c>
      <c r="L25">
        <f t="shared" si="2"/>
        <v>27.142967420800002</v>
      </c>
      <c r="O25" s="8"/>
      <c r="P25" s="8"/>
      <c r="Q25" s="8"/>
      <c r="R25" s="9"/>
      <c r="S25" s="9"/>
      <c r="T25" s="9"/>
      <c r="U25" s="9"/>
      <c r="V25" s="8"/>
      <c r="W25" s="9"/>
      <c r="X25" s="5"/>
    </row>
    <row r="26" spans="1:24" x14ac:dyDescent="0.2">
      <c r="A26" s="4">
        <v>43348</v>
      </c>
      <c r="B26" s="6" t="s">
        <v>1074</v>
      </c>
      <c r="C26">
        <v>8</v>
      </c>
      <c r="D26" s="8">
        <v>1</v>
      </c>
      <c r="E26">
        <v>40</v>
      </c>
      <c r="F26" t="s">
        <v>81</v>
      </c>
      <c r="G26" t="s">
        <v>81</v>
      </c>
      <c r="H26" s="8" t="s">
        <v>1071</v>
      </c>
      <c r="I26">
        <f t="shared" si="0"/>
        <v>320</v>
      </c>
      <c r="J26" s="8">
        <f t="shared" si="1"/>
        <v>145.14955840000002</v>
      </c>
      <c r="K26">
        <v>0.374</v>
      </c>
      <c r="L26">
        <f t="shared" si="2"/>
        <v>54.285934841600003</v>
      </c>
    </row>
    <row r="27" spans="1:24" x14ac:dyDescent="0.2">
      <c r="A27" s="4">
        <v>43349</v>
      </c>
      <c r="B27" s="6" t="s">
        <v>1074</v>
      </c>
      <c r="C27">
        <v>6</v>
      </c>
      <c r="D27" s="8">
        <v>1</v>
      </c>
      <c r="E27">
        <v>40</v>
      </c>
      <c r="F27" t="s">
        <v>81</v>
      </c>
      <c r="G27" t="s">
        <v>81</v>
      </c>
      <c r="H27" s="8" t="s">
        <v>1071</v>
      </c>
      <c r="I27">
        <f t="shared" si="0"/>
        <v>240</v>
      </c>
      <c r="J27" s="8">
        <f t="shared" si="1"/>
        <v>108.86216880000001</v>
      </c>
      <c r="K27">
        <v>0.374</v>
      </c>
      <c r="L27">
        <f t="shared" si="2"/>
        <v>40.714451131200001</v>
      </c>
    </row>
    <row r="28" spans="1:24" x14ac:dyDescent="0.2">
      <c r="A28" s="4">
        <v>43343</v>
      </c>
      <c r="B28" s="6" t="s">
        <v>1074</v>
      </c>
      <c r="C28">
        <v>1</v>
      </c>
      <c r="D28" s="8">
        <v>1</v>
      </c>
      <c r="E28">
        <f>1*2</f>
        <v>2</v>
      </c>
      <c r="F28" t="s">
        <v>93</v>
      </c>
      <c r="G28" t="s">
        <v>184</v>
      </c>
      <c r="H28" s="8" t="s">
        <v>1071</v>
      </c>
      <c r="I28">
        <f t="shared" si="0"/>
        <v>2</v>
      </c>
      <c r="J28" s="8">
        <f t="shared" si="1"/>
        <v>0.90718474000000004</v>
      </c>
      <c r="K28">
        <v>0.221</v>
      </c>
      <c r="L28">
        <f t="shared" si="2"/>
        <v>0.20048782754000002</v>
      </c>
    </row>
    <row r="29" spans="1:24" x14ac:dyDescent="0.2">
      <c r="A29" s="4">
        <v>43344</v>
      </c>
      <c r="B29" s="6" t="s">
        <v>1074</v>
      </c>
      <c r="C29">
        <v>2</v>
      </c>
      <c r="D29" s="8">
        <v>1</v>
      </c>
      <c r="E29">
        <v>1</v>
      </c>
      <c r="F29" t="s">
        <v>1002</v>
      </c>
      <c r="G29" t="s">
        <v>184</v>
      </c>
      <c r="H29" s="8" t="s">
        <v>1071</v>
      </c>
      <c r="I29">
        <f t="shared" si="0"/>
        <v>2</v>
      </c>
      <c r="J29" s="8">
        <f t="shared" si="1"/>
        <v>0.90718474000000004</v>
      </c>
      <c r="K29">
        <v>0.221</v>
      </c>
      <c r="L29">
        <f t="shared" si="2"/>
        <v>0.20048782754000002</v>
      </c>
    </row>
    <row r="30" spans="1:24" x14ac:dyDescent="0.2">
      <c r="A30" s="4">
        <v>43346</v>
      </c>
      <c r="B30" s="6" t="s">
        <v>1074</v>
      </c>
      <c r="C30">
        <v>1</v>
      </c>
      <c r="D30" s="8">
        <v>1</v>
      </c>
      <c r="E30">
        <v>1</v>
      </c>
      <c r="F30" t="s">
        <v>1002</v>
      </c>
      <c r="G30" t="s">
        <v>184</v>
      </c>
      <c r="H30" s="8" t="s">
        <v>1071</v>
      </c>
      <c r="I30">
        <f t="shared" si="0"/>
        <v>1</v>
      </c>
      <c r="J30" s="8">
        <f t="shared" si="1"/>
        <v>0.45359237000000002</v>
      </c>
      <c r="K30">
        <v>0.221</v>
      </c>
      <c r="L30">
        <f t="shared" si="2"/>
        <v>0.10024391377000001</v>
      </c>
      <c r="O30" s="10"/>
      <c r="P30" s="8"/>
      <c r="Q30" s="8"/>
      <c r="R30" s="9"/>
      <c r="S30" s="9"/>
      <c r="T30" s="9"/>
      <c r="U30" s="9"/>
      <c r="V30" s="8"/>
      <c r="W30" s="9"/>
      <c r="X30" s="5"/>
    </row>
    <row r="31" spans="1:24" x14ac:dyDescent="0.2">
      <c r="A31" s="4">
        <v>43348</v>
      </c>
      <c r="B31" s="6" t="s">
        <v>1074</v>
      </c>
      <c r="C31">
        <v>2</v>
      </c>
      <c r="D31" s="8">
        <v>1</v>
      </c>
      <c r="E31">
        <v>1</v>
      </c>
      <c r="F31" t="s">
        <v>93</v>
      </c>
      <c r="G31" t="s">
        <v>184</v>
      </c>
      <c r="H31" s="8" t="s">
        <v>1071</v>
      </c>
      <c r="I31">
        <f t="shared" si="0"/>
        <v>2</v>
      </c>
      <c r="J31" s="8">
        <f t="shared" si="1"/>
        <v>0.90718474000000004</v>
      </c>
      <c r="K31">
        <v>0.221</v>
      </c>
      <c r="L31">
        <f t="shared" si="2"/>
        <v>0.20048782754000002</v>
      </c>
      <c r="O31" s="8"/>
      <c r="P31" s="8"/>
      <c r="Q31" s="8"/>
      <c r="R31" s="9"/>
      <c r="S31" s="9"/>
      <c r="T31" s="9"/>
      <c r="U31" s="9"/>
      <c r="V31" s="8"/>
      <c r="W31" s="9"/>
      <c r="X31" s="5"/>
    </row>
    <row r="32" spans="1:24" x14ac:dyDescent="0.2">
      <c r="A32" s="4">
        <v>43349</v>
      </c>
      <c r="B32" s="6" t="s">
        <v>1074</v>
      </c>
      <c r="C32">
        <v>3</v>
      </c>
      <c r="D32" s="8">
        <v>1</v>
      </c>
      <c r="E32">
        <v>1</v>
      </c>
      <c r="F32" t="s">
        <v>93</v>
      </c>
      <c r="G32" t="s">
        <v>184</v>
      </c>
      <c r="H32" s="8" t="s">
        <v>1071</v>
      </c>
      <c r="I32">
        <f t="shared" si="0"/>
        <v>3</v>
      </c>
      <c r="J32" s="8">
        <f t="shared" si="1"/>
        <v>1.3607771100000001</v>
      </c>
      <c r="K32">
        <v>0.221</v>
      </c>
      <c r="L32">
        <f t="shared" si="2"/>
        <v>0.30073174131000002</v>
      </c>
      <c r="O32" s="8"/>
      <c r="P32" s="8"/>
      <c r="Q32" s="8"/>
      <c r="R32" s="9"/>
      <c r="S32" s="9"/>
      <c r="T32" s="9"/>
      <c r="U32" s="9"/>
      <c r="V32" s="8"/>
      <c r="W32" s="9"/>
      <c r="X32" s="5"/>
    </row>
    <row r="33" spans="1:24" x14ac:dyDescent="0.2">
      <c r="A33" s="4">
        <v>43434</v>
      </c>
      <c r="B33" t="s">
        <v>538</v>
      </c>
      <c r="C33">
        <v>3</v>
      </c>
      <c r="D33">
        <v>6</v>
      </c>
      <c r="E33">
        <v>10</v>
      </c>
      <c r="F33" t="s">
        <v>420</v>
      </c>
      <c r="G33" t="s">
        <v>898</v>
      </c>
      <c r="H33" t="s">
        <v>1071</v>
      </c>
      <c r="I33">
        <f t="shared" si="0"/>
        <v>180</v>
      </c>
      <c r="J33">
        <f t="shared" si="1"/>
        <v>81.646626600000005</v>
      </c>
      <c r="K33">
        <v>0.308</v>
      </c>
      <c r="L33">
        <f t="shared" si="2"/>
        <v>25.1471609928</v>
      </c>
      <c r="O33" s="8"/>
      <c r="P33" s="8"/>
      <c r="Q33" s="8"/>
      <c r="R33" s="9"/>
      <c r="S33" s="9"/>
      <c r="T33" s="9"/>
      <c r="U33" s="9"/>
      <c r="V33" s="8"/>
      <c r="W33" s="9"/>
      <c r="X33" s="11"/>
    </row>
    <row r="34" spans="1:24" x14ac:dyDescent="0.2">
      <c r="A34" s="4">
        <v>43439</v>
      </c>
      <c r="B34" t="s">
        <v>538</v>
      </c>
      <c r="C34">
        <v>1</v>
      </c>
      <c r="D34">
        <v>6</v>
      </c>
      <c r="E34">
        <v>10</v>
      </c>
      <c r="F34" t="s">
        <v>420</v>
      </c>
      <c r="G34" t="s">
        <v>898</v>
      </c>
      <c r="H34" t="s">
        <v>1071</v>
      </c>
      <c r="I34">
        <f t="shared" si="0"/>
        <v>60</v>
      </c>
      <c r="J34">
        <f t="shared" si="1"/>
        <v>27.215542200000002</v>
      </c>
      <c r="K34">
        <v>0.308</v>
      </c>
      <c r="L34">
        <f t="shared" si="2"/>
        <v>8.3823869976000012</v>
      </c>
    </row>
    <row r="35" spans="1:24" x14ac:dyDescent="0.2">
      <c r="A35" s="4">
        <v>43343</v>
      </c>
      <c r="B35" s="6" t="s">
        <v>1074</v>
      </c>
      <c r="C35">
        <v>1</v>
      </c>
      <c r="D35" s="8">
        <v>1</v>
      </c>
      <c r="E35">
        <f>5*8</f>
        <v>40</v>
      </c>
      <c r="F35" t="s">
        <v>83</v>
      </c>
      <c r="G35" s="54" t="s">
        <v>1083</v>
      </c>
      <c r="H35" s="8" t="s">
        <v>1071</v>
      </c>
      <c r="I35">
        <f t="shared" ref="I35:I54" si="3">C35*D35*E35</f>
        <v>40</v>
      </c>
      <c r="J35" s="8">
        <f t="shared" si="1"/>
        <v>18.143694800000002</v>
      </c>
      <c r="K35">
        <v>0.66200000000000003</v>
      </c>
      <c r="L35">
        <f t="shared" si="2"/>
        <v>12.011125957600003</v>
      </c>
    </row>
    <row r="36" spans="1:24" x14ac:dyDescent="0.2">
      <c r="A36" s="4">
        <v>43344</v>
      </c>
      <c r="B36" s="6" t="s">
        <v>1074</v>
      </c>
      <c r="C36">
        <v>6</v>
      </c>
      <c r="D36" s="8">
        <v>1</v>
      </c>
      <c r="E36">
        <v>10</v>
      </c>
      <c r="F36" t="s">
        <v>1020</v>
      </c>
      <c r="G36" t="s">
        <v>1081</v>
      </c>
      <c r="H36" s="8" t="s">
        <v>1071</v>
      </c>
      <c r="I36">
        <f t="shared" si="3"/>
        <v>60</v>
      </c>
      <c r="J36" s="8">
        <f t="shared" si="1"/>
        <v>27.215542200000002</v>
      </c>
      <c r="K36">
        <v>0.66200000000000003</v>
      </c>
      <c r="L36">
        <f t="shared" si="2"/>
        <v>18.016688936400001</v>
      </c>
    </row>
    <row r="37" spans="1:24" x14ac:dyDescent="0.2">
      <c r="A37" s="4">
        <v>43346</v>
      </c>
      <c r="B37" s="6" t="s">
        <v>1074</v>
      </c>
      <c r="C37">
        <v>1</v>
      </c>
      <c r="D37" s="8">
        <v>1</v>
      </c>
      <c r="E37">
        <v>10</v>
      </c>
      <c r="F37" t="s">
        <v>1020</v>
      </c>
      <c r="G37" t="s">
        <v>1081</v>
      </c>
      <c r="H37" s="8" t="s">
        <v>1071</v>
      </c>
      <c r="I37">
        <f t="shared" si="3"/>
        <v>10</v>
      </c>
      <c r="J37" s="8">
        <f t="shared" si="1"/>
        <v>4.5359237000000006</v>
      </c>
      <c r="K37">
        <v>0.66200000000000003</v>
      </c>
      <c r="L37">
        <f t="shared" si="2"/>
        <v>3.0027814894000007</v>
      </c>
    </row>
    <row r="38" spans="1:24" x14ac:dyDescent="0.2">
      <c r="A38" s="4">
        <v>43347</v>
      </c>
      <c r="B38" s="6" t="s">
        <v>1074</v>
      </c>
      <c r="C38">
        <v>4</v>
      </c>
      <c r="D38" s="8">
        <v>1</v>
      </c>
      <c r="E38">
        <v>10</v>
      </c>
      <c r="F38" t="s">
        <v>1020</v>
      </c>
      <c r="G38" t="s">
        <v>1081</v>
      </c>
      <c r="H38" s="8" t="s">
        <v>1071</v>
      </c>
      <c r="I38">
        <f t="shared" si="3"/>
        <v>40</v>
      </c>
      <c r="J38" s="8">
        <f t="shared" si="1"/>
        <v>18.143694800000002</v>
      </c>
      <c r="K38">
        <v>0.66200000000000003</v>
      </c>
      <c r="L38">
        <f t="shared" si="2"/>
        <v>12.011125957600003</v>
      </c>
    </row>
    <row r="39" spans="1:24" x14ac:dyDescent="0.2">
      <c r="A39" s="4">
        <v>43434</v>
      </c>
      <c r="B39" t="s">
        <v>538</v>
      </c>
      <c r="C39">
        <v>2</v>
      </c>
      <c r="D39">
        <v>6</v>
      </c>
      <c r="E39">
        <v>10</v>
      </c>
      <c r="F39" t="s">
        <v>565</v>
      </c>
      <c r="G39" t="s">
        <v>935</v>
      </c>
      <c r="H39" t="s">
        <v>1071</v>
      </c>
      <c r="I39">
        <f t="shared" si="3"/>
        <v>120</v>
      </c>
      <c r="J39">
        <f t="shared" si="1"/>
        <v>54.431084400000003</v>
      </c>
      <c r="K39">
        <v>0.308</v>
      </c>
      <c r="L39">
        <f t="shared" si="2"/>
        <v>16.764773995200002</v>
      </c>
    </row>
    <row r="40" spans="1:24" x14ac:dyDescent="0.2">
      <c r="A40" s="4">
        <v>43434</v>
      </c>
      <c r="B40" t="s">
        <v>538</v>
      </c>
      <c r="C40">
        <v>3</v>
      </c>
      <c r="D40">
        <v>6</v>
      </c>
      <c r="E40">
        <v>10</v>
      </c>
      <c r="F40" t="s">
        <v>540</v>
      </c>
      <c r="G40" t="s">
        <v>897</v>
      </c>
      <c r="H40" t="s">
        <v>1071</v>
      </c>
      <c r="I40">
        <f t="shared" si="3"/>
        <v>180</v>
      </c>
      <c r="J40">
        <f t="shared" si="1"/>
        <v>81.646626600000005</v>
      </c>
      <c r="K40">
        <v>0.308</v>
      </c>
      <c r="L40">
        <f t="shared" si="2"/>
        <v>25.1471609928</v>
      </c>
    </row>
    <row r="41" spans="1:24" x14ac:dyDescent="0.2">
      <c r="A41" s="4">
        <v>43439</v>
      </c>
      <c r="B41" t="s">
        <v>538</v>
      </c>
      <c r="C41">
        <v>1</v>
      </c>
      <c r="D41">
        <v>6</v>
      </c>
      <c r="E41">
        <v>10</v>
      </c>
      <c r="F41" t="s">
        <v>440</v>
      </c>
      <c r="G41" t="s">
        <v>922</v>
      </c>
      <c r="H41" t="s">
        <v>1071</v>
      </c>
      <c r="I41">
        <f t="shared" si="3"/>
        <v>60</v>
      </c>
      <c r="J41">
        <f t="shared" si="1"/>
        <v>27.215542200000002</v>
      </c>
      <c r="K41">
        <v>0.308</v>
      </c>
      <c r="L41">
        <f t="shared" si="2"/>
        <v>8.3823869976000012</v>
      </c>
      <c r="O41" s="4"/>
      <c r="R41" s="9"/>
      <c r="S41" s="9"/>
      <c r="T41" s="9"/>
      <c r="U41" s="9"/>
      <c r="V41" s="8"/>
      <c r="W41" s="8"/>
      <c r="X41" s="5"/>
    </row>
    <row r="42" spans="1:24" x14ac:dyDescent="0.2">
      <c r="A42" s="4">
        <v>43439</v>
      </c>
      <c r="B42" t="s">
        <v>538</v>
      </c>
      <c r="C42">
        <v>1</v>
      </c>
      <c r="D42">
        <v>1</v>
      </c>
      <c r="E42">
        <v>20</v>
      </c>
      <c r="F42" t="s">
        <v>591</v>
      </c>
      <c r="G42" t="s">
        <v>920</v>
      </c>
      <c r="H42" t="s">
        <v>1071</v>
      </c>
      <c r="I42">
        <f t="shared" si="3"/>
        <v>20</v>
      </c>
      <c r="J42">
        <f t="shared" si="1"/>
        <v>9.0718474000000011</v>
      </c>
      <c r="K42">
        <v>0.308</v>
      </c>
      <c r="L42">
        <f t="shared" si="2"/>
        <v>2.7941289992000002</v>
      </c>
      <c r="R42" s="9"/>
      <c r="S42" s="9"/>
      <c r="T42" s="9"/>
      <c r="U42" s="9"/>
      <c r="V42" s="8"/>
      <c r="W42" s="8"/>
      <c r="X42" s="5"/>
    </row>
    <row r="43" spans="1:24" x14ac:dyDescent="0.2">
      <c r="A43" s="4">
        <v>43344</v>
      </c>
      <c r="B43" s="6" t="s">
        <v>1074</v>
      </c>
      <c r="C43">
        <v>2</v>
      </c>
      <c r="D43" s="8">
        <v>1</v>
      </c>
      <c r="E43">
        <v>10</v>
      </c>
      <c r="F43" t="s">
        <v>113</v>
      </c>
      <c r="G43" t="s">
        <v>833</v>
      </c>
      <c r="H43" s="8" t="s">
        <v>1071</v>
      </c>
      <c r="I43">
        <f t="shared" si="3"/>
        <v>20</v>
      </c>
      <c r="J43" s="8">
        <f t="shared" si="1"/>
        <v>9.0718474000000011</v>
      </c>
      <c r="K43">
        <v>0.754</v>
      </c>
      <c r="L43">
        <f t="shared" si="2"/>
        <v>6.8401729396000013</v>
      </c>
      <c r="R43" s="9"/>
      <c r="S43" s="9"/>
      <c r="T43" s="9"/>
      <c r="U43" s="9"/>
      <c r="V43" s="8"/>
      <c r="W43" s="8"/>
      <c r="X43" s="5"/>
    </row>
    <row r="44" spans="1:24" x14ac:dyDescent="0.2">
      <c r="A44" s="4">
        <v>43350</v>
      </c>
      <c r="B44" t="s">
        <v>9</v>
      </c>
      <c r="C44">
        <v>1</v>
      </c>
      <c r="D44">
        <v>1</v>
      </c>
      <c r="E44">
        <v>150</v>
      </c>
      <c r="F44" t="s">
        <v>11</v>
      </c>
      <c r="G44" t="s">
        <v>10</v>
      </c>
      <c r="H44" s="8" t="s">
        <v>1072</v>
      </c>
      <c r="I44">
        <f t="shared" si="3"/>
        <v>150</v>
      </c>
      <c r="J44" s="8">
        <f t="shared" si="1"/>
        <v>68.038855500000011</v>
      </c>
      <c r="K44">
        <v>32.845999999999997</v>
      </c>
      <c r="L44">
        <f t="shared" si="2"/>
        <v>2234.8042477530003</v>
      </c>
      <c r="R44" s="9"/>
      <c r="S44" s="9"/>
      <c r="T44" s="9"/>
      <c r="U44" s="9"/>
      <c r="V44" s="8"/>
      <c r="W44" s="8"/>
      <c r="X44" s="5"/>
    </row>
    <row r="45" spans="1:24" x14ac:dyDescent="0.2">
      <c r="A45" s="4">
        <v>43350</v>
      </c>
      <c r="B45" t="s">
        <v>9</v>
      </c>
      <c r="C45">
        <v>1</v>
      </c>
      <c r="D45">
        <v>1</v>
      </c>
      <c r="E45">
        <v>120</v>
      </c>
      <c r="F45" t="s">
        <v>12</v>
      </c>
      <c r="G45" t="s">
        <v>10</v>
      </c>
      <c r="H45" s="8" t="s">
        <v>1072</v>
      </c>
      <c r="I45">
        <f t="shared" si="3"/>
        <v>120</v>
      </c>
      <c r="J45" s="8">
        <f t="shared" si="1"/>
        <v>54.431084400000003</v>
      </c>
      <c r="K45">
        <v>32.845999999999997</v>
      </c>
      <c r="L45">
        <f t="shared" si="2"/>
        <v>1787.8433982023998</v>
      </c>
      <c r="O45" s="4"/>
      <c r="R45" s="9"/>
      <c r="S45" s="9"/>
      <c r="T45" s="9"/>
      <c r="U45" s="9"/>
      <c r="V45" s="8"/>
      <c r="W45" s="8"/>
      <c r="X45" s="5"/>
    </row>
    <row r="46" spans="1:24" x14ac:dyDescent="0.2">
      <c r="A46" s="10">
        <v>43343</v>
      </c>
      <c r="B46" s="8" t="s">
        <v>30</v>
      </c>
      <c r="C46">
        <v>1</v>
      </c>
      <c r="D46">
        <v>1</v>
      </c>
      <c r="E46" s="9">
        <v>40</v>
      </c>
      <c r="F46" s="9" t="s">
        <v>33</v>
      </c>
      <c r="G46" s="9" t="s">
        <v>10</v>
      </c>
      <c r="H46" s="8" t="s">
        <v>1072</v>
      </c>
      <c r="I46">
        <f t="shared" si="3"/>
        <v>40</v>
      </c>
      <c r="J46" s="8">
        <f t="shared" si="1"/>
        <v>18.143694800000002</v>
      </c>
      <c r="K46">
        <v>32.845999999999997</v>
      </c>
      <c r="L46">
        <f t="shared" si="2"/>
        <v>595.94779940080002</v>
      </c>
      <c r="R46" s="9"/>
      <c r="S46" s="9"/>
      <c r="T46" s="9"/>
      <c r="U46" s="9"/>
      <c r="V46" s="8"/>
      <c r="W46" s="8"/>
      <c r="X46" s="5"/>
    </row>
    <row r="47" spans="1:24" x14ac:dyDescent="0.2">
      <c r="A47" s="10">
        <v>43343</v>
      </c>
      <c r="B47" s="8" t="s">
        <v>30</v>
      </c>
      <c r="C47">
        <v>1</v>
      </c>
      <c r="D47">
        <v>1</v>
      </c>
      <c r="E47" s="9">
        <v>61.22</v>
      </c>
      <c r="F47" s="9" t="s">
        <v>34</v>
      </c>
      <c r="G47" s="9" t="s">
        <v>10</v>
      </c>
      <c r="H47" s="8" t="s">
        <v>1072</v>
      </c>
      <c r="I47">
        <f t="shared" si="3"/>
        <v>61.22</v>
      </c>
      <c r="J47" s="8">
        <f t="shared" si="1"/>
        <v>27.768924891400001</v>
      </c>
      <c r="K47">
        <v>32.845999999999997</v>
      </c>
      <c r="L47">
        <f t="shared" si="2"/>
        <v>912.09810698292438</v>
      </c>
      <c r="R47" s="9"/>
      <c r="S47" s="9"/>
      <c r="T47" s="9"/>
      <c r="U47" s="9"/>
      <c r="V47" s="8"/>
      <c r="W47" s="8"/>
      <c r="X47" s="5"/>
    </row>
    <row r="48" spans="1:24" x14ac:dyDescent="0.2">
      <c r="A48" s="10">
        <v>43347</v>
      </c>
      <c r="B48" s="8" t="s">
        <v>30</v>
      </c>
      <c r="C48">
        <v>1</v>
      </c>
      <c r="D48">
        <v>1</v>
      </c>
      <c r="E48" s="9">
        <v>52</v>
      </c>
      <c r="F48" s="9" t="s">
        <v>34</v>
      </c>
      <c r="G48" s="9" t="s">
        <v>10</v>
      </c>
      <c r="H48" s="8" t="s">
        <v>1072</v>
      </c>
      <c r="I48">
        <f t="shared" si="3"/>
        <v>52</v>
      </c>
      <c r="J48" s="8">
        <f t="shared" si="1"/>
        <v>23.586803240000002</v>
      </c>
      <c r="K48">
        <v>32.845999999999997</v>
      </c>
      <c r="L48">
        <f t="shared" si="2"/>
        <v>774.73213922104003</v>
      </c>
      <c r="R48" s="9"/>
      <c r="S48" s="9"/>
      <c r="T48" s="9"/>
      <c r="U48" s="9"/>
      <c r="V48" s="8"/>
      <c r="W48" s="8"/>
      <c r="X48" s="5"/>
    </row>
    <row r="49" spans="1:12" x14ac:dyDescent="0.2">
      <c r="A49" s="10">
        <v>43347</v>
      </c>
      <c r="B49" s="8" t="s">
        <v>30</v>
      </c>
      <c r="C49">
        <v>1</v>
      </c>
      <c r="D49">
        <v>1</v>
      </c>
      <c r="E49" s="9">
        <v>40</v>
      </c>
      <c r="F49" s="9" t="s">
        <v>37</v>
      </c>
      <c r="G49" s="9" t="s">
        <v>10</v>
      </c>
      <c r="H49" s="8" t="s">
        <v>1072</v>
      </c>
      <c r="I49">
        <f t="shared" si="3"/>
        <v>40</v>
      </c>
      <c r="J49" s="8">
        <f t="shared" si="1"/>
        <v>18.143694800000002</v>
      </c>
      <c r="K49">
        <v>32.845999999999997</v>
      </c>
      <c r="L49">
        <f t="shared" si="2"/>
        <v>595.94779940080002</v>
      </c>
    </row>
    <row r="50" spans="1:12" x14ac:dyDescent="0.2">
      <c r="A50" s="4">
        <v>43434</v>
      </c>
      <c r="B50" t="s">
        <v>525</v>
      </c>
      <c r="C50">
        <v>1</v>
      </c>
      <c r="D50">
        <v>1</v>
      </c>
      <c r="E50">
        <v>220.62</v>
      </c>
      <c r="F50" t="s">
        <v>397</v>
      </c>
      <c r="G50" t="s">
        <v>850</v>
      </c>
      <c r="H50" t="s">
        <v>1072</v>
      </c>
      <c r="I50">
        <f t="shared" si="3"/>
        <v>220.62</v>
      </c>
      <c r="J50">
        <f t="shared" si="1"/>
        <v>100.0715486694</v>
      </c>
      <c r="K50">
        <v>32.845999999999997</v>
      </c>
      <c r="L50">
        <f t="shared" si="2"/>
        <v>3286.9500875951121</v>
      </c>
    </row>
    <row r="51" spans="1:12" x14ac:dyDescent="0.2">
      <c r="A51" s="4">
        <v>43439</v>
      </c>
      <c r="B51" t="s">
        <v>525</v>
      </c>
      <c r="C51">
        <v>4</v>
      </c>
      <c r="D51">
        <v>1</v>
      </c>
      <c r="E51">
        <v>10</v>
      </c>
      <c r="F51" t="s">
        <v>588</v>
      </c>
      <c r="G51" t="s">
        <v>10</v>
      </c>
      <c r="H51" t="s">
        <v>1072</v>
      </c>
      <c r="I51">
        <f t="shared" si="3"/>
        <v>40</v>
      </c>
      <c r="J51">
        <f t="shared" si="1"/>
        <v>18.143694800000002</v>
      </c>
      <c r="K51">
        <v>32.845999999999997</v>
      </c>
      <c r="L51">
        <f t="shared" si="2"/>
        <v>595.94779940080002</v>
      </c>
    </row>
    <row r="52" spans="1:12" x14ac:dyDescent="0.2">
      <c r="A52" s="4">
        <v>43439</v>
      </c>
      <c r="B52" t="s">
        <v>525</v>
      </c>
      <c r="C52">
        <v>1</v>
      </c>
      <c r="D52">
        <v>1</v>
      </c>
      <c r="E52">
        <v>143.28</v>
      </c>
      <c r="F52" t="s">
        <v>397</v>
      </c>
      <c r="G52" t="s">
        <v>850</v>
      </c>
      <c r="H52" t="s">
        <v>1072</v>
      </c>
      <c r="I52">
        <f t="shared" si="3"/>
        <v>143.28</v>
      </c>
      <c r="J52">
        <f t="shared" si="1"/>
        <v>64.990714773600004</v>
      </c>
      <c r="K52">
        <v>32.845999999999997</v>
      </c>
      <c r="L52">
        <f t="shared" si="2"/>
        <v>2134.6850174536653</v>
      </c>
    </row>
    <row r="53" spans="1:12" x14ac:dyDescent="0.2">
      <c r="A53" s="4">
        <v>43434</v>
      </c>
      <c r="B53" t="s">
        <v>531</v>
      </c>
      <c r="C53">
        <v>4</v>
      </c>
      <c r="D53">
        <v>40</v>
      </c>
      <c r="E53">
        <f>4/16</f>
        <v>0.25</v>
      </c>
      <c r="F53" t="s">
        <v>536</v>
      </c>
      <c r="G53" s="6" t="s">
        <v>893</v>
      </c>
      <c r="H53" t="s">
        <v>1071</v>
      </c>
      <c r="I53">
        <f t="shared" si="3"/>
        <v>40</v>
      </c>
      <c r="J53">
        <f t="shared" si="1"/>
        <v>18.143694800000002</v>
      </c>
      <c r="K53">
        <v>3.5270000000000001</v>
      </c>
      <c r="L53">
        <f t="shared" si="2"/>
        <v>63.992811559600007</v>
      </c>
    </row>
    <row r="54" spans="1:12" x14ac:dyDescent="0.2">
      <c r="A54" s="4">
        <v>43434</v>
      </c>
      <c r="B54" t="s">
        <v>531</v>
      </c>
      <c r="C54">
        <v>2</v>
      </c>
      <c r="D54">
        <v>2</v>
      </c>
      <c r="E54">
        <v>5</v>
      </c>
      <c r="F54" t="s">
        <v>535</v>
      </c>
      <c r="G54" s="14" t="s">
        <v>1087</v>
      </c>
      <c r="H54" s="6" t="s">
        <v>1071</v>
      </c>
      <c r="I54">
        <f t="shared" si="3"/>
        <v>20</v>
      </c>
      <c r="J54">
        <f t="shared" si="1"/>
        <v>9.0718474000000011</v>
      </c>
      <c r="K54">
        <v>0</v>
      </c>
      <c r="L54">
        <f t="shared" si="2"/>
        <v>0</v>
      </c>
    </row>
    <row r="55" spans="1:12" x14ac:dyDescent="0.2">
      <c r="A55" s="4">
        <v>43434</v>
      </c>
      <c r="B55" t="s">
        <v>531</v>
      </c>
      <c r="C55">
        <v>2</v>
      </c>
      <c r="D55">
        <v>210</v>
      </c>
      <c r="E55" t="s">
        <v>1017</v>
      </c>
      <c r="F55" t="s">
        <v>409</v>
      </c>
      <c r="G55" s="14" t="s">
        <v>1086</v>
      </c>
      <c r="H55" s="9" t="s">
        <v>1071</v>
      </c>
      <c r="I55">
        <v>0</v>
      </c>
      <c r="J55">
        <f t="shared" si="1"/>
        <v>0</v>
      </c>
      <c r="K55">
        <v>2.2999999999999998</v>
      </c>
      <c r="L55">
        <f t="shared" si="2"/>
        <v>0</v>
      </c>
    </row>
    <row r="56" spans="1:12" x14ac:dyDescent="0.2">
      <c r="A56" s="4">
        <v>43434</v>
      </c>
      <c r="B56" t="s">
        <v>531</v>
      </c>
      <c r="C56">
        <v>4</v>
      </c>
      <c r="D56">
        <v>48</v>
      </c>
      <c r="E56">
        <v>0.18124999999999999</v>
      </c>
      <c r="F56" t="s">
        <v>417</v>
      </c>
      <c r="G56" s="6" t="s">
        <v>895</v>
      </c>
      <c r="H56" t="s">
        <v>1071</v>
      </c>
      <c r="I56">
        <f t="shared" ref="I56:I87" si="4">C56*D56*E56</f>
        <v>34.799999999999997</v>
      </c>
      <c r="J56">
        <f t="shared" si="1"/>
        <v>15.785014475999999</v>
      </c>
      <c r="K56">
        <v>6.87</v>
      </c>
      <c r="L56">
        <f t="shared" si="2"/>
        <v>108.44304945012</v>
      </c>
    </row>
    <row r="57" spans="1:12" x14ac:dyDescent="0.2">
      <c r="A57" s="4">
        <v>43343</v>
      </c>
      <c r="B57" s="6" t="s">
        <v>1074</v>
      </c>
      <c r="C57">
        <v>1</v>
      </c>
      <c r="D57" s="8">
        <v>1</v>
      </c>
      <c r="E57" s="6">
        <v>6</v>
      </c>
      <c r="F57" t="s">
        <v>84</v>
      </c>
      <c r="G57" t="s">
        <v>84</v>
      </c>
      <c r="H57" s="8" t="s">
        <v>1071</v>
      </c>
      <c r="I57">
        <f t="shared" si="4"/>
        <v>6</v>
      </c>
      <c r="J57" s="8">
        <f t="shared" si="1"/>
        <v>2.7215542200000002</v>
      </c>
      <c r="K57">
        <v>0.59899999999999998</v>
      </c>
      <c r="L57">
        <f t="shared" si="2"/>
        <v>1.63021097778</v>
      </c>
    </row>
    <row r="58" spans="1:12" x14ac:dyDescent="0.2">
      <c r="A58" s="4">
        <v>43344</v>
      </c>
      <c r="B58" s="6" t="s">
        <v>1074</v>
      </c>
      <c r="C58">
        <v>6</v>
      </c>
      <c r="D58" s="8">
        <v>1</v>
      </c>
      <c r="E58">
        <v>6</v>
      </c>
      <c r="F58" s="6" t="s">
        <v>117</v>
      </c>
      <c r="G58" s="6" t="s">
        <v>84</v>
      </c>
      <c r="H58" s="8" t="s">
        <v>1071</v>
      </c>
      <c r="I58">
        <f t="shared" si="4"/>
        <v>36</v>
      </c>
      <c r="J58" s="8">
        <f t="shared" si="1"/>
        <v>16.329325319999999</v>
      </c>
      <c r="K58">
        <v>0.59899999999999998</v>
      </c>
      <c r="L58">
        <f t="shared" si="2"/>
        <v>9.7812658666799983</v>
      </c>
    </row>
    <row r="59" spans="1:12" x14ac:dyDescent="0.2">
      <c r="A59" s="4">
        <v>43346</v>
      </c>
      <c r="B59" s="6" t="s">
        <v>1074</v>
      </c>
      <c r="C59">
        <v>5</v>
      </c>
      <c r="D59" s="8">
        <v>1</v>
      </c>
      <c r="E59">
        <v>6</v>
      </c>
      <c r="F59" t="s">
        <v>117</v>
      </c>
      <c r="G59" t="s">
        <v>84</v>
      </c>
      <c r="H59" s="8" t="s">
        <v>1071</v>
      </c>
      <c r="I59">
        <f t="shared" si="4"/>
        <v>30</v>
      </c>
      <c r="J59" s="8">
        <f t="shared" si="1"/>
        <v>13.607771100000001</v>
      </c>
      <c r="K59">
        <v>0.59899999999999998</v>
      </c>
      <c r="L59">
        <f t="shared" si="2"/>
        <v>8.151054888900001</v>
      </c>
    </row>
    <row r="60" spans="1:12" x14ac:dyDescent="0.2">
      <c r="A60" s="4">
        <v>43347</v>
      </c>
      <c r="B60" s="6" t="s">
        <v>1074</v>
      </c>
      <c r="C60">
        <v>5</v>
      </c>
      <c r="D60" s="8">
        <v>1</v>
      </c>
      <c r="E60">
        <v>6</v>
      </c>
      <c r="F60" t="s">
        <v>117</v>
      </c>
      <c r="G60" t="s">
        <v>84</v>
      </c>
      <c r="H60" s="8" t="s">
        <v>1071</v>
      </c>
      <c r="I60">
        <f t="shared" si="4"/>
        <v>30</v>
      </c>
      <c r="J60" s="8">
        <f t="shared" si="1"/>
        <v>13.607771100000001</v>
      </c>
      <c r="K60">
        <v>0.59899999999999998</v>
      </c>
      <c r="L60">
        <f t="shared" si="2"/>
        <v>8.151054888900001</v>
      </c>
    </row>
    <row r="61" spans="1:12" x14ac:dyDescent="0.2">
      <c r="A61" s="4">
        <v>43343</v>
      </c>
      <c r="B61" s="6" t="s">
        <v>1074</v>
      </c>
      <c r="C61">
        <v>1</v>
      </c>
      <c r="D61" s="8">
        <v>1</v>
      </c>
      <c r="E61" s="6">
        <v>6</v>
      </c>
      <c r="F61" t="s">
        <v>85</v>
      </c>
      <c r="G61" t="s">
        <v>85</v>
      </c>
      <c r="H61" s="8" t="s">
        <v>1071</v>
      </c>
      <c r="I61">
        <f t="shared" si="4"/>
        <v>6</v>
      </c>
      <c r="J61" s="8">
        <f t="shared" si="1"/>
        <v>2.7215542200000002</v>
      </c>
      <c r="K61">
        <v>0.59899999999999998</v>
      </c>
      <c r="L61">
        <f t="shared" si="2"/>
        <v>1.63021097778</v>
      </c>
    </row>
    <row r="62" spans="1:12" x14ac:dyDescent="0.2">
      <c r="A62" s="4">
        <v>43344</v>
      </c>
      <c r="B62" s="6" t="s">
        <v>1074</v>
      </c>
      <c r="C62">
        <v>6</v>
      </c>
      <c r="D62" s="8">
        <v>1</v>
      </c>
      <c r="E62">
        <v>6</v>
      </c>
      <c r="F62" s="6" t="s">
        <v>118</v>
      </c>
      <c r="G62" s="6" t="s">
        <v>85</v>
      </c>
      <c r="H62" s="8" t="s">
        <v>1071</v>
      </c>
      <c r="I62">
        <f t="shared" si="4"/>
        <v>36</v>
      </c>
      <c r="J62" s="8">
        <f t="shared" si="1"/>
        <v>16.329325319999999</v>
      </c>
      <c r="K62">
        <v>0.59899999999999998</v>
      </c>
      <c r="L62">
        <f t="shared" si="2"/>
        <v>9.7812658666799983</v>
      </c>
    </row>
    <row r="63" spans="1:12" x14ac:dyDescent="0.2">
      <c r="A63" s="4">
        <v>43346</v>
      </c>
      <c r="B63" s="6" t="s">
        <v>1074</v>
      </c>
      <c r="C63">
        <v>5</v>
      </c>
      <c r="D63" s="8">
        <v>1</v>
      </c>
      <c r="E63">
        <v>6</v>
      </c>
      <c r="F63" t="s">
        <v>118</v>
      </c>
      <c r="G63" t="s">
        <v>85</v>
      </c>
      <c r="H63" s="8" t="s">
        <v>1071</v>
      </c>
      <c r="I63">
        <f t="shared" si="4"/>
        <v>30</v>
      </c>
      <c r="J63" s="8">
        <f t="shared" si="1"/>
        <v>13.607771100000001</v>
      </c>
      <c r="K63">
        <v>0.59899999999999998</v>
      </c>
      <c r="L63">
        <f t="shared" si="2"/>
        <v>8.151054888900001</v>
      </c>
    </row>
    <row r="64" spans="1:12" x14ac:dyDescent="0.2">
      <c r="A64" s="4">
        <v>43347</v>
      </c>
      <c r="B64" s="6" t="s">
        <v>1074</v>
      </c>
      <c r="C64">
        <v>5</v>
      </c>
      <c r="D64" s="8">
        <v>1</v>
      </c>
      <c r="E64">
        <v>6</v>
      </c>
      <c r="F64" t="s">
        <v>118</v>
      </c>
      <c r="G64" t="s">
        <v>85</v>
      </c>
      <c r="H64" s="8" t="s">
        <v>1071</v>
      </c>
      <c r="I64">
        <f t="shared" si="4"/>
        <v>30</v>
      </c>
      <c r="J64" s="8">
        <f t="shared" si="1"/>
        <v>13.607771100000001</v>
      </c>
      <c r="K64">
        <v>0.59899999999999998</v>
      </c>
      <c r="L64">
        <f t="shared" si="2"/>
        <v>8.151054888900001</v>
      </c>
    </row>
    <row r="65" spans="1:12" x14ac:dyDescent="0.2">
      <c r="A65" s="4">
        <v>43434</v>
      </c>
      <c r="B65" t="s">
        <v>538</v>
      </c>
      <c r="C65">
        <v>1</v>
      </c>
      <c r="D65">
        <v>1</v>
      </c>
      <c r="E65">
        <v>25</v>
      </c>
      <c r="F65" t="s">
        <v>551</v>
      </c>
      <c r="G65" s="6" t="s">
        <v>868</v>
      </c>
      <c r="H65" t="s">
        <v>1071</v>
      </c>
      <c r="I65">
        <f t="shared" si="4"/>
        <v>25</v>
      </c>
      <c r="J65">
        <f t="shared" si="1"/>
        <v>11.33980925</v>
      </c>
      <c r="K65">
        <v>1.28</v>
      </c>
      <c r="L65">
        <f t="shared" si="2"/>
        <v>14.514955840000001</v>
      </c>
    </row>
    <row r="66" spans="1:12" x14ac:dyDescent="0.2">
      <c r="A66" s="4">
        <v>43439</v>
      </c>
      <c r="B66" t="s">
        <v>531</v>
      </c>
      <c r="C66">
        <v>1</v>
      </c>
      <c r="D66">
        <v>10</v>
      </c>
      <c r="E66">
        <v>1</v>
      </c>
      <c r="F66" t="s">
        <v>410</v>
      </c>
      <c r="G66" s="6" t="s">
        <v>868</v>
      </c>
      <c r="H66" t="s">
        <v>1071</v>
      </c>
      <c r="I66">
        <f t="shared" si="4"/>
        <v>10</v>
      </c>
      <c r="J66">
        <f t="shared" si="1"/>
        <v>4.5359237000000006</v>
      </c>
      <c r="K66">
        <v>1.28</v>
      </c>
      <c r="L66">
        <f t="shared" si="2"/>
        <v>5.8059823360000005</v>
      </c>
    </row>
    <row r="67" spans="1:12" x14ac:dyDescent="0.2">
      <c r="A67" s="4">
        <v>43344</v>
      </c>
      <c r="B67" s="6" t="s">
        <v>1074</v>
      </c>
      <c r="C67">
        <v>8</v>
      </c>
      <c r="D67" s="8">
        <v>1</v>
      </c>
      <c r="E67">
        <v>12</v>
      </c>
      <c r="F67" t="s">
        <v>119</v>
      </c>
      <c r="G67" t="s">
        <v>204</v>
      </c>
      <c r="H67" s="8" t="s">
        <v>1071</v>
      </c>
      <c r="I67">
        <f t="shared" si="4"/>
        <v>96</v>
      </c>
      <c r="J67" s="8">
        <f t="shared" ref="J67:J130" si="5">CONVERT(I67,"lbm","kg")</f>
        <v>43.544867520000004</v>
      </c>
      <c r="K67">
        <v>0.79700000000000004</v>
      </c>
      <c r="L67">
        <f t="shared" ref="L67:L130" si="6">J67*K67</f>
        <v>34.705259413440004</v>
      </c>
    </row>
    <row r="68" spans="1:12" x14ac:dyDescent="0.2">
      <c r="A68" s="4">
        <v>43347</v>
      </c>
      <c r="B68" s="6" t="s">
        <v>1074</v>
      </c>
      <c r="C68">
        <v>6</v>
      </c>
      <c r="D68" s="8">
        <v>1</v>
      </c>
      <c r="E68">
        <v>12</v>
      </c>
      <c r="F68" t="s">
        <v>119</v>
      </c>
      <c r="G68" t="s">
        <v>204</v>
      </c>
      <c r="H68" s="8" t="s">
        <v>1071</v>
      </c>
      <c r="I68">
        <f t="shared" si="4"/>
        <v>72</v>
      </c>
      <c r="J68" s="8">
        <f t="shared" si="5"/>
        <v>32.658650639999998</v>
      </c>
      <c r="K68">
        <v>0.79700000000000004</v>
      </c>
      <c r="L68">
        <f t="shared" si="6"/>
        <v>26.028944560079999</v>
      </c>
    </row>
    <row r="69" spans="1:12" x14ac:dyDescent="0.2">
      <c r="A69" s="4">
        <v>43347</v>
      </c>
      <c r="B69" s="6" t="s">
        <v>1074</v>
      </c>
      <c r="C69">
        <v>8</v>
      </c>
      <c r="D69" s="8">
        <v>1</v>
      </c>
      <c r="E69" s="9">
        <v>12</v>
      </c>
      <c r="F69" t="s">
        <v>119</v>
      </c>
      <c r="G69" t="s">
        <v>204</v>
      </c>
      <c r="H69" s="8" t="s">
        <v>1071</v>
      </c>
      <c r="I69">
        <f t="shared" si="4"/>
        <v>96</v>
      </c>
      <c r="J69" s="8">
        <f t="shared" si="5"/>
        <v>43.544867520000004</v>
      </c>
      <c r="K69">
        <v>0.79700000000000004</v>
      </c>
      <c r="L69">
        <f t="shared" si="6"/>
        <v>34.705259413440004</v>
      </c>
    </row>
    <row r="70" spans="1:12" x14ac:dyDescent="0.2">
      <c r="A70" s="4">
        <v>43343</v>
      </c>
      <c r="B70" s="6" t="s">
        <v>1074</v>
      </c>
      <c r="C70">
        <v>1</v>
      </c>
      <c r="D70" s="8">
        <v>1</v>
      </c>
      <c r="E70" s="6">
        <f>4*12</f>
        <v>48</v>
      </c>
      <c r="F70" t="s">
        <v>86</v>
      </c>
      <c r="G70" t="s">
        <v>86</v>
      </c>
      <c r="H70" s="8" t="s">
        <v>1071</v>
      </c>
      <c r="I70">
        <f t="shared" si="4"/>
        <v>48</v>
      </c>
      <c r="J70" s="8">
        <f t="shared" si="5"/>
        <v>21.772433760000002</v>
      </c>
      <c r="K70">
        <v>0.79700000000000004</v>
      </c>
      <c r="L70">
        <f t="shared" si="6"/>
        <v>17.352629706720002</v>
      </c>
    </row>
    <row r="71" spans="1:12" x14ac:dyDescent="0.2">
      <c r="A71" s="4">
        <v>43348</v>
      </c>
      <c r="B71" s="6" t="s">
        <v>1074</v>
      </c>
      <c r="C71">
        <v>2</v>
      </c>
      <c r="D71" s="8">
        <v>1</v>
      </c>
      <c r="E71">
        <v>12</v>
      </c>
      <c r="F71" t="s">
        <v>86</v>
      </c>
      <c r="G71" t="s">
        <v>86</v>
      </c>
      <c r="H71" s="8" t="s">
        <v>1071</v>
      </c>
      <c r="I71">
        <f t="shared" si="4"/>
        <v>24</v>
      </c>
      <c r="J71" s="8">
        <f t="shared" si="5"/>
        <v>10.886216880000001</v>
      </c>
      <c r="K71">
        <v>0.79700000000000004</v>
      </c>
      <c r="L71">
        <f t="shared" si="6"/>
        <v>8.676314853360001</v>
      </c>
    </row>
    <row r="72" spans="1:12" x14ac:dyDescent="0.2">
      <c r="A72" s="4">
        <v>43349</v>
      </c>
      <c r="B72" s="6" t="s">
        <v>1074</v>
      </c>
      <c r="C72">
        <v>8</v>
      </c>
      <c r="D72" s="8">
        <v>1</v>
      </c>
      <c r="E72">
        <v>12</v>
      </c>
      <c r="F72" t="s">
        <v>86</v>
      </c>
      <c r="G72" t="s">
        <v>86</v>
      </c>
      <c r="H72" s="8" t="s">
        <v>1071</v>
      </c>
      <c r="I72">
        <f t="shared" si="4"/>
        <v>96</v>
      </c>
      <c r="J72" s="8">
        <f t="shared" si="5"/>
        <v>43.544867520000004</v>
      </c>
      <c r="K72">
        <v>0.79700000000000004</v>
      </c>
      <c r="L72">
        <f t="shared" si="6"/>
        <v>34.705259413440004</v>
      </c>
    </row>
    <row r="73" spans="1:12" x14ac:dyDescent="0.2">
      <c r="A73" s="4">
        <v>43343</v>
      </c>
      <c r="B73" s="6" t="s">
        <v>1074</v>
      </c>
      <c r="C73">
        <v>1</v>
      </c>
      <c r="D73" s="8">
        <v>1</v>
      </c>
      <c r="E73">
        <f>5*2</f>
        <v>10</v>
      </c>
      <c r="F73" t="s">
        <v>64</v>
      </c>
      <c r="G73" t="s">
        <v>760</v>
      </c>
      <c r="H73" s="8" t="s">
        <v>1071</v>
      </c>
      <c r="I73">
        <f t="shared" si="4"/>
        <v>10</v>
      </c>
      <c r="J73" s="8">
        <f t="shared" si="5"/>
        <v>4.5359237000000006</v>
      </c>
      <c r="K73">
        <v>0.49</v>
      </c>
      <c r="L73">
        <f t="shared" si="6"/>
        <v>2.2226026130000003</v>
      </c>
    </row>
    <row r="74" spans="1:12" x14ac:dyDescent="0.2">
      <c r="A74" s="4">
        <v>43347</v>
      </c>
      <c r="B74" s="6" t="s">
        <v>1074</v>
      </c>
      <c r="C74">
        <v>2</v>
      </c>
      <c r="D74" s="8">
        <v>1</v>
      </c>
      <c r="E74">
        <v>20</v>
      </c>
      <c r="F74" t="s">
        <v>1033</v>
      </c>
      <c r="G74" t="s">
        <v>64</v>
      </c>
      <c r="H74" s="8" t="s">
        <v>1071</v>
      </c>
      <c r="I74">
        <f t="shared" si="4"/>
        <v>40</v>
      </c>
      <c r="J74" s="8">
        <f t="shared" si="5"/>
        <v>18.143694800000002</v>
      </c>
      <c r="K74">
        <v>0.49</v>
      </c>
      <c r="L74">
        <f t="shared" si="6"/>
        <v>8.8904104520000011</v>
      </c>
    </row>
    <row r="75" spans="1:12" x14ac:dyDescent="0.2">
      <c r="A75" s="4">
        <v>43349</v>
      </c>
      <c r="B75" s="6" t="s">
        <v>1074</v>
      </c>
      <c r="C75" s="8">
        <v>2</v>
      </c>
      <c r="D75" s="8">
        <v>1</v>
      </c>
      <c r="E75" s="8">
        <v>20</v>
      </c>
      <c r="F75" s="8" t="s">
        <v>64</v>
      </c>
      <c r="G75" s="8" t="s">
        <v>64</v>
      </c>
      <c r="H75" s="8" t="s">
        <v>1071</v>
      </c>
      <c r="I75">
        <f t="shared" si="4"/>
        <v>40</v>
      </c>
      <c r="J75" s="8">
        <f t="shared" si="5"/>
        <v>18.143694800000002</v>
      </c>
      <c r="K75">
        <v>0.49</v>
      </c>
      <c r="L75">
        <f t="shared" si="6"/>
        <v>8.8904104520000011</v>
      </c>
    </row>
    <row r="76" spans="1:12" x14ac:dyDescent="0.2">
      <c r="A76" s="4">
        <v>43439</v>
      </c>
      <c r="B76" t="s">
        <v>531</v>
      </c>
      <c r="C76">
        <v>2</v>
      </c>
      <c r="D76">
        <v>12</v>
      </c>
      <c r="E76">
        <f>6*(3.5/16)</f>
        <v>1.3125</v>
      </c>
      <c r="F76" t="s">
        <v>589</v>
      </c>
      <c r="G76" s="6" t="s">
        <v>880</v>
      </c>
      <c r="H76" t="s">
        <v>1071</v>
      </c>
      <c r="I76">
        <f t="shared" si="4"/>
        <v>31.5</v>
      </c>
      <c r="J76">
        <f t="shared" si="5"/>
        <v>14.288159655000001</v>
      </c>
      <c r="K76">
        <v>1.28</v>
      </c>
      <c r="L76">
        <f t="shared" si="6"/>
        <v>18.288844358400002</v>
      </c>
    </row>
    <row r="77" spans="1:12" x14ac:dyDescent="0.2">
      <c r="A77" s="4">
        <v>43434</v>
      </c>
      <c r="B77" t="s">
        <v>517</v>
      </c>
      <c r="C77">
        <v>2</v>
      </c>
      <c r="D77">
        <v>36</v>
      </c>
      <c r="E77">
        <v>1</v>
      </c>
      <c r="F77" t="s">
        <v>382</v>
      </c>
      <c r="G77" t="s">
        <v>845</v>
      </c>
      <c r="H77" t="s">
        <v>1073</v>
      </c>
      <c r="I77">
        <f t="shared" si="4"/>
        <v>72</v>
      </c>
      <c r="J77">
        <f t="shared" si="5"/>
        <v>32.658650639999998</v>
      </c>
      <c r="K77">
        <v>11.52</v>
      </c>
      <c r="L77">
        <f t="shared" si="6"/>
        <v>376.22765537279997</v>
      </c>
    </row>
    <row r="78" spans="1:12" x14ac:dyDescent="0.2">
      <c r="A78" s="4">
        <v>43347</v>
      </c>
      <c r="B78" t="s">
        <v>22</v>
      </c>
      <c r="C78">
        <v>1</v>
      </c>
      <c r="D78">
        <v>1</v>
      </c>
      <c r="E78">
        <v>90</v>
      </c>
      <c r="F78" s="9" t="s">
        <v>23</v>
      </c>
      <c r="G78" s="9" t="s">
        <v>753</v>
      </c>
      <c r="H78" s="8" t="s">
        <v>1071</v>
      </c>
      <c r="I78">
        <f t="shared" si="4"/>
        <v>90</v>
      </c>
      <c r="J78" s="8">
        <f t="shared" si="5"/>
        <v>40.823313300000002</v>
      </c>
      <c r="K78">
        <v>0.219</v>
      </c>
      <c r="L78">
        <f t="shared" si="6"/>
        <v>8.9403056127000013</v>
      </c>
    </row>
    <row r="79" spans="1:12" x14ac:dyDescent="0.2">
      <c r="A79" s="4">
        <v>43343</v>
      </c>
      <c r="B79" t="s">
        <v>22</v>
      </c>
      <c r="C79">
        <v>1</v>
      </c>
      <c r="D79">
        <v>1</v>
      </c>
      <c r="E79">
        <v>90</v>
      </c>
      <c r="F79" s="9" t="s">
        <v>23</v>
      </c>
      <c r="G79" s="9" t="s">
        <v>753</v>
      </c>
      <c r="H79" s="8" t="s">
        <v>1071</v>
      </c>
      <c r="I79">
        <f t="shared" si="4"/>
        <v>90</v>
      </c>
      <c r="J79" s="8">
        <f t="shared" si="5"/>
        <v>40.823313300000002</v>
      </c>
      <c r="K79">
        <v>0.219</v>
      </c>
      <c r="L79">
        <f t="shared" si="6"/>
        <v>8.9403056127000013</v>
      </c>
    </row>
    <row r="80" spans="1:12" x14ac:dyDescent="0.2">
      <c r="A80" s="4">
        <v>43347</v>
      </c>
      <c r="B80" t="s">
        <v>22</v>
      </c>
      <c r="C80">
        <v>1</v>
      </c>
      <c r="D80">
        <v>1</v>
      </c>
      <c r="E80">
        <v>90</v>
      </c>
      <c r="F80" s="9" t="s">
        <v>23</v>
      </c>
      <c r="G80" s="9" t="s">
        <v>753</v>
      </c>
      <c r="H80" s="8" t="s">
        <v>1071</v>
      </c>
      <c r="I80">
        <f t="shared" si="4"/>
        <v>90</v>
      </c>
      <c r="J80" s="8">
        <f t="shared" si="5"/>
        <v>40.823313300000002</v>
      </c>
      <c r="K80">
        <v>0.219</v>
      </c>
      <c r="L80">
        <f t="shared" si="6"/>
        <v>8.9403056127000013</v>
      </c>
    </row>
    <row r="81" spans="1:12" x14ac:dyDescent="0.2">
      <c r="A81" s="4">
        <v>43434</v>
      </c>
      <c r="B81" t="s">
        <v>538</v>
      </c>
      <c r="C81">
        <v>4</v>
      </c>
      <c r="D81">
        <v>1</v>
      </c>
      <c r="E81">
        <v>35</v>
      </c>
      <c r="F81" t="s">
        <v>441</v>
      </c>
      <c r="G81" t="s">
        <v>905</v>
      </c>
      <c r="H81" t="s">
        <v>1071</v>
      </c>
      <c r="I81">
        <f t="shared" si="4"/>
        <v>140</v>
      </c>
      <c r="J81">
        <f t="shared" si="5"/>
        <v>63.502931800000006</v>
      </c>
      <c r="K81">
        <v>2.6459999999999999</v>
      </c>
      <c r="L81">
        <f t="shared" si="6"/>
        <v>168.02875754280001</v>
      </c>
    </row>
    <row r="82" spans="1:12" x14ac:dyDescent="0.2">
      <c r="A82" s="4">
        <v>43343</v>
      </c>
      <c r="B82" s="6" t="s">
        <v>1074</v>
      </c>
      <c r="C82">
        <v>1</v>
      </c>
      <c r="D82" s="8">
        <v>1</v>
      </c>
      <c r="E82">
        <f>9*3*10</f>
        <v>270</v>
      </c>
      <c r="F82" t="s">
        <v>102</v>
      </c>
      <c r="G82" t="s">
        <v>102</v>
      </c>
      <c r="H82" s="8" t="s">
        <v>1071</v>
      </c>
      <c r="I82">
        <f t="shared" si="4"/>
        <v>270</v>
      </c>
      <c r="J82" s="8">
        <f t="shared" si="5"/>
        <v>122.4699399</v>
      </c>
      <c r="K82">
        <v>0.49</v>
      </c>
      <c r="L82">
        <f t="shared" si="6"/>
        <v>60.010270550999998</v>
      </c>
    </row>
    <row r="83" spans="1:12" x14ac:dyDescent="0.2">
      <c r="A83" s="4">
        <v>43347</v>
      </c>
      <c r="B83" s="6" t="s">
        <v>1074</v>
      </c>
      <c r="C83">
        <v>6</v>
      </c>
      <c r="D83" s="8">
        <v>1</v>
      </c>
      <c r="E83">
        <f>9*3</f>
        <v>27</v>
      </c>
      <c r="F83" t="s">
        <v>1082</v>
      </c>
      <c r="G83" t="s">
        <v>102</v>
      </c>
      <c r="H83" s="8" t="s">
        <v>1071</v>
      </c>
      <c r="I83">
        <f t="shared" si="4"/>
        <v>162</v>
      </c>
      <c r="J83" s="8">
        <f t="shared" si="5"/>
        <v>73.48196394</v>
      </c>
      <c r="K83">
        <v>0.49</v>
      </c>
      <c r="L83">
        <f t="shared" si="6"/>
        <v>36.006162330599999</v>
      </c>
    </row>
    <row r="84" spans="1:12" x14ac:dyDescent="0.2">
      <c r="A84" s="4">
        <v>43347</v>
      </c>
      <c r="B84" s="6" t="s">
        <v>1074</v>
      </c>
      <c r="C84">
        <v>5</v>
      </c>
      <c r="D84" s="8">
        <v>1</v>
      </c>
      <c r="E84">
        <f>9*3</f>
        <v>27</v>
      </c>
      <c r="F84" t="s">
        <v>1082</v>
      </c>
      <c r="G84" t="s">
        <v>102</v>
      </c>
      <c r="H84" s="8" t="s">
        <v>1071</v>
      </c>
      <c r="I84">
        <f t="shared" si="4"/>
        <v>135</v>
      </c>
      <c r="J84" s="8">
        <f t="shared" si="5"/>
        <v>61.23496995</v>
      </c>
      <c r="K84">
        <v>0.49</v>
      </c>
      <c r="L84">
        <f t="shared" si="6"/>
        <v>30.005135275499999</v>
      </c>
    </row>
    <row r="85" spans="1:12" x14ac:dyDescent="0.2">
      <c r="A85" s="4">
        <v>43348</v>
      </c>
      <c r="B85" s="6" t="s">
        <v>1074</v>
      </c>
      <c r="C85">
        <v>2</v>
      </c>
      <c r="D85" s="8">
        <v>1</v>
      </c>
      <c r="E85">
        <f>9*3</f>
        <v>27</v>
      </c>
      <c r="F85" t="s">
        <v>102</v>
      </c>
      <c r="G85" t="s">
        <v>102</v>
      </c>
      <c r="H85" s="8" t="s">
        <v>1071</v>
      </c>
      <c r="I85">
        <f t="shared" si="4"/>
        <v>54</v>
      </c>
      <c r="J85" s="8">
        <f t="shared" si="5"/>
        <v>24.493987980000004</v>
      </c>
      <c r="K85">
        <v>0.49</v>
      </c>
      <c r="L85">
        <f t="shared" si="6"/>
        <v>12.002054110200001</v>
      </c>
    </row>
    <row r="86" spans="1:12" x14ac:dyDescent="0.2">
      <c r="A86" s="4">
        <v>43349</v>
      </c>
      <c r="B86" s="6" t="s">
        <v>1074</v>
      </c>
      <c r="C86">
        <v>6</v>
      </c>
      <c r="D86" s="8">
        <v>1</v>
      </c>
      <c r="E86">
        <v>27</v>
      </c>
      <c r="F86" t="s">
        <v>102</v>
      </c>
      <c r="G86" t="s">
        <v>102</v>
      </c>
      <c r="H86" s="8" t="s">
        <v>1071</v>
      </c>
      <c r="I86">
        <f t="shared" si="4"/>
        <v>162</v>
      </c>
      <c r="J86" s="8">
        <f t="shared" si="5"/>
        <v>73.48196394</v>
      </c>
      <c r="K86">
        <v>0.49</v>
      </c>
      <c r="L86">
        <f t="shared" si="6"/>
        <v>36.006162330599999</v>
      </c>
    </row>
    <row r="87" spans="1:12" x14ac:dyDescent="0.2">
      <c r="A87" s="4">
        <v>43343</v>
      </c>
      <c r="B87" s="6" t="s">
        <v>1074</v>
      </c>
      <c r="C87">
        <v>1</v>
      </c>
      <c r="D87" s="8">
        <v>1</v>
      </c>
      <c r="E87">
        <f>50</f>
        <v>50</v>
      </c>
      <c r="F87" t="s">
        <v>87</v>
      </c>
      <c r="G87" t="s">
        <v>87</v>
      </c>
      <c r="H87" s="8" t="s">
        <v>1071</v>
      </c>
      <c r="I87">
        <f t="shared" si="4"/>
        <v>50</v>
      </c>
      <c r="J87" s="8">
        <f t="shared" si="5"/>
        <v>22.6796185</v>
      </c>
      <c r="K87">
        <v>9.1999999999999998E-2</v>
      </c>
      <c r="L87">
        <f t="shared" si="6"/>
        <v>2.0865249019999998</v>
      </c>
    </row>
    <row r="88" spans="1:12" x14ac:dyDescent="0.2">
      <c r="A88" s="4">
        <v>43344</v>
      </c>
      <c r="B88" s="6" t="s">
        <v>1074</v>
      </c>
      <c r="C88">
        <v>2</v>
      </c>
      <c r="D88" s="8">
        <v>1</v>
      </c>
      <c r="E88">
        <v>20</v>
      </c>
      <c r="F88" t="s">
        <v>1024</v>
      </c>
      <c r="G88" t="s">
        <v>87</v>
      </c>
      <c r="H88" s="8" t="s">
        <v>1071</v>
      </c>
      <c r="I88">
        <f t="shared" ref="I88:I119" si="7">C88*D88*E88</f>
        <v>40</v>
      </c>
      <c r="J88" s="8">
        <f t="shared" si="5"/>
        <v>18.143694800000002</v>
      </c>
      <c r="K88">
        <v>9.1999999999999998E-2</v>
      </c>
      <c r="L88">
        <f t="shared" si="6"/>
        <v>1.6692199216000001</v>
      </c>
    </row>
    <row r="89" spans="1:12" x14ac:dyDescent="0.2">
      <c r="A89" s="4">
        <v>43348</v>
      </c>
      <c r="B89" s="6" t="s">
        <v>1074</v>
      </c>
      <c r="C89">
        <v>2</v>
      </c>
      <c r="D89" s="8">
        <v>1</v>
      </c>
      <c r="E89">
        <v>50</v>
      </c>
      <c r="F89" t="s">
        <v>87</v>
      </c>
      <c r="G89" t="s">
        <v>87</v>
      </c>
      <c r="H89" s="8" t="s">
        <v>1071</v>
      </c>
      <c r="I89">
        <f t="shared" si="7"/>
        <v>100</v>
      </c>
      <c r="J89" s="8">
        <f t="shared" si="5"/>
        <v>45.359237</v>
      </c>
      <c r="K89">
        <v>9.1999999999999998E-2</v>
      </c>
      <c r="L89">
        <f t="shared" si="6"/>
        <v>4.1730498039999997</v>
      </c>
    </row>
    <row r="90" spans="1:12" x14ac:dyDescent="0.2">
      <c r="A90" s="4">
        <v>43348</v>
      </c>
      <c r="B90" s="6" t="s">
        <v>1074</v>
      </c>
      <c r="C90">
        <v>1</v>
      </c>
      <c r="D90" s="8">
        <v>1</v>
      </c>
      <c r="E90">
        <v>20</v>
      </c>
      <c r="F90" t="s">
        <v>87</v>
      </c>
      <c r="G90" t="s">
        <v>87</v>
      </c>
      <c r="H90" s="8" t="s">
        <v>1071</v>
      </c>
      <c r="I90">
        <f t="shared" si="7"/>
        <v>20</v>
      </c>
      <c r="J90" s="8">
        <f t="shared" si="5"/>
        <v>9.0718474000000011</v>
      </c>
      <c r="K90">
        <v>9.1999999999999998E-2</v>
      </c>
      <c r="L90">
        <f t="shared" si="6"/>
        <v>0.83460996080000005</v>
      </c>
    </row>
    <row r="91" spans="1:12" x14ac:dyDescent="0.2">
      <c r="A91" s="4">
        <v>43349</v>
      </c>
      <c r="B91" s="6" t="s">
        <v>1074</v>
      </c>
      <c r="C91">
        <v>2</v>
      </c>
      <c r="D91" s="8">
        <v>1</v>
      </c>
      <c r="E91">
        <v>20</v>
      </c>
      <c r="F91" t="s">
        <v>87</v>
      </c>
      <c r="G91" t="s">
        <v>87</v>
      </c>
      <c r="H91" s="8" t="s">
        <v>1071</v>
      </c>
      <c r="I91">
        <f t="shared" si="7"/>
        <v>40</v>
      </c>
      <c r="J91" s="8">
        <f t="shared" si="5"/>
        <v>18.143694800000002</v>
      </c>
      <c r="K91">
        <v>9.1999999999999998E-2</v>
      </c>
      <c r="L91">
        <f t="shared" si="6"/>
        <v>1.6692199216000001</v>
      </c>
    </row>
    <row r="92" spans="1:12" x14ac:dyDescent="0.2">
      <c r="A92" s="4">
        <v>43347</v>
      </c>
      <c r="B92" s="6" t="s">
        <v>1074</v>
      </c>
      <c r="C92">
        <v>2</v>
      </c>
      <c r="D92" s="8">
        <v>1</v>
      </c>
      <c r="E92">
        <v>20</v>
      </c>
      <c r="F92" t="s">
        <v>1034</v>
      </c>
      <c r="G92" t="s">
        <v>87</v>
      </c>
      <c r="H92" s="8" t="s">
        <v>1071</v>
      </c>
      <c r="I92">
        <f t="shared" si="7"/>
        <v>40</v>
      </c>
      <c r="J92" s="8">
        <f t="shared" si="5"/>
        <v>18.143694800000002</v>
      </c>
      <c r="K92">
        <v>9.1999999999999998E-2</v>
      </c>
      <c r="L92">
        <f t="shared" si="6"/>
        <v>1.6692199216000001</v>
      </c>
    </row>
    <row r="93" spans="1:12" x14ac:dyDescent="0.2">
      <c r="A93" s="4">
        <v>43343</v>
      </c>
      <c r="B93" s="6" t="s">
        <v>1074</v>
      </c>
      <c r="C93">
        <v>1</v>
      </c>
      <c r="D93" s="8">
        <v>1</v>
      </c>
      <c r="E93">
        <f>5*2</f>
        <v>10</v>
      </c>
      <c r="F93" t="s">
        <v>65</v>
      </c>
      <c r="G93" t="s">
        <v>761</v>
      </c>
      <c r="H93" s="8" t="s">
        <v>1071</v>
      </c>
      <c r="I93">
        <f t="shared" si="7"/>
        <v>10</v>
      </c>
      <c r="J93" s="8">
        <f t="shared" si="5"/>
        <v>4.5359237000000006</v>
      </c>
      <c r="K93">
        <v>9.1999999999999998E-2</v>
      </c>
      <c r="L93">
        <f t="shared" si="6"/>
        <v>0.41730498040000003</v>
      </c>
    </row>
    <row r="94" spans="1:12" x14ac:dyDescent="0.2">
      <c r="A94" s="4">
        <v>43343</v>
      </c>
      <c r="B94" s="6" t="s">
        <v>1074</v>
      </c>
      <c r="C94">
        <v>1</v>
      </c>
      <c r="D94" s="8">
        <v>1</v>
      </c>
      <c r="E94">
        <f>4*5</f>
        <v>20</v>
      </c>
      <c r="F94" t="s">
        <v>66</v>
      </c>
      <c r="G94" t="s">
        <v>220</v>
      </c>
      <c r="H94" s="8" t="s">
        <v>1071</v>
      </c>
      <c r="I94">
        <f t="shared" si="7"/>
        <v>20</v>
      </c>
      <c r="J94" s="8">
        <f t="shared" si="5"/>
        <v>9.0718474000000011</v>
      </c>
      <c r="K94">
        <v>0.93400000000000005</v>
      </c>
      <c r="L94">
        <f t="shared" si="6"/>
        <v>8.473105471600002</v>
      </c>
    </row>
    <row r="95" spans="1:12" x14ac:dyDescent="0.2">
      <c r="A95" s="4">
        <v>43344</v>
      </c>
      <c r="B95" s="6" t="s">
        <v>1074</v>
      </c>
      <c r="C95">
        <v>3</v>
      </c>
      <c r="D95" s="8">
        <v>1</v>
      </c>
      <c r="E95">
        <f>12*1.3</f>
        <v>15.600000000000001</v>
      </c>
      <c r="F95" t="s">
        <v>131</v>
      </c>
      <c r="G95" t="s">
        <v>220</v>
      </c>
      <c r="H95" s="8" t="s">
        <v>1071</v>
      </c>
      <c r="I95">
        <f t="shared" si="7"/>
        <v>46.800000000000004</v>
      </c>
      <c r="J95" s="8">
        <f t="shared" si="5"/>
        <v>21.228122916000004</v>
      </c>
      <c r="K95">
        <v>0.93400000000000005</v>
      </c>
      <c r="L95">
        <f t="shared" si="6"/>
        <v>19.827066803544003</v>
      </c>
    </row>
    <row r="96" spans="1:12" x14ac:dyDescent="0.2">
      <c r="A96" s="4">
        <v>43347</v>
      </c>
      <c r="B96" s="6" t="s">
        <v>1074</v>
      </c>
      <c r="C96">
        <v>4</v>
      </c>
      <c r="D96" s="8">
        <v>1</v>
      </c>
      <c r="E96">
        <v>12</v>
      </c>
      <c r="F96" t="s">
        <v>131</v>
      </c>
      <c r="G96" t="s">
        <v>220</v>
      </c>
      <c r="H96" s="8" t="s">
        <v>1071</v>
      </c>
      <c r="I96">
        <f t="shared" si="7"/>
        <v>48</v>
      </c>
      <c r="J96" s="8">
        <f t="shared" si="5"/>
        <v>21.772433760000002</v>
      </c>
      <c r="K96">
        <v>0.93400000000000005</v>
      </c>
      <c r="L96">
        <f t="shared" si="6"/>
        <v>20.335453131840001</v>
      </c>
    </row>
    <row r="97" spans="1:12" x14ac:dyDescent="0.2">
      <c r="A97" s="4">
        <v>43347</v>
      </c>
      <c r="B97" s="6" t="s">
        <v>1074</v>
      </c>
      <c r="C97">
        <v>2</v>
      </c>
      <c r="D97" s="8">
        <v>1</v>
      </c>
      <c r="E97">
        <v>12</v>
      </c>
      <c r="F97" t="s">
        <v>131</v>
      </c>
      <c r="G97" t="s">
        <v>220</v>
      </c>
      <c r="H97" s="8" t="s">
        <v>1071</v>
      </c>
      <c r="I97">
        <f t="shared" si="7"/>
        <v>24</v>
      </c>
      <c r="J97" s="8">
        <f t="shared" si="5"/>
        <v>10.886216880000001</v>
      </c>
      <c r="K97">
        <v>0.93400000000000005</v>
      </c>
      <c r="L97">
        <f t="shared" si="6"/>
        <v>10.167726565920001</v>
      </c>
    </row>
    <row r="98" spans="1:12" x14ac:dyDescent="0.2">
      <c r="A98" s="4">
        <v>43348</v>
      </c>
      <c r="B98" s="6" t="s">
        <v>1074</v>
      </c>
      <c r="C98">
        <v>1</v>
      </c>
      <c r="D98" s="8">
        <v>1</v>
      </c>
      <c r="E98">
        <v>36</v>
      </c>
      <c r="F98" t="s">
        <v>163</v>
      </c>
      <c r="G98" t="s">
        <v>163</v>
      </c>
      <c r="H98" s="8" t="s">
        <v>1071</v>
      </c>
      <c r="I98">
        <f t="shared" si="7"/>
        <v>36</v>
      </c>
      <c r="J98" s="8">
        <f t="shared" si="5"/>
        <v>16.329325319999999</v>
      </c>
      <c r="K98">
        <v>0.33100000000000002</v>
      </c>
      <c r="L98">
        <f t="shared" si="6"/>
        <v>5.4050066809199997</v>
      </c>
    </row>
    <row r="99" spans="1:12" x14ac:dyDescent="0.2">
      <c r="A99" s="4">
        <v>43434</v>
      </c>
      <c r="B99" t="s">
        <v>538</v>
      </c>
      <c r="C99">
        <v>2</v>
      </c>
      <c r="D99">
        <v>4</v>
      </c>
      <c r="E99">
        <v>30.3125</v>
      </c>
      <c r="F99" t="s">
        <v>470</v>
      </c>
      <c r="G99" s="6" t="s">
        <v>861</v>
      </c>
      <c r="H99" t="s">
        <v>1071</v>
      </c>
      <c r="I99">
        <f t="shared" si="7"/>
        <v>242.5</v>
      </c>
      <c r="J99">
        <f t="shared" si="5"/>
        <v>109.99614972500001</v>
      </c>
      <c r="K99">
        <v>1.61</v>
      </c>
      <c r="L99">
        <f t="shared" si="6"/>
        <v>177.09380105725003</v>
      </c>
    </row>
    <row r="100" spans="1:12" x14ac:dyDescent="0.2">
      <c r="A100" s="4">
        <v>43434</v>
      </c>
      <c r="B100" t="s">
        <v>538</v>
      </c>
      <c r="C100">
        <v>2</v>
      </c>
      <c r="D100">
        <v>4</v>
      </c>
      <c r="E100">
        <v>40.3125</v>
      </c>
      <c r="F100" t="s">
        <v>548</v>
      </c>
      <c r="G100" s="6" t="s">
        <v>861</v>
      </c>
      <c r="H100" t="s">
        <v>1071</v>
      </c>
      <c r="I100">
        <f t="shared" si="7"/>
        <v>322.5</v>
      </c>
      <c r="J100">
        <f t="shared" si="5"/>
        <v>146.28353932500002</v>
      </c>
      <c r="K100">
        <v>1.61</v>
      </c>
      <c r="L100">
        <f t="shared" si="6"/>
        <v>235.51649831325005</v>
      </c>
    </row>
    <row r="101" spans="1:12" x14ac:dyDescent="0.2">
      <c r="A101" s="4">
        <v>43437</v>
      </c>
      <c r="B101" t="s">
        <v>538</v>
      </c>
      <c r="C101">
        <v>1</v>
      </c>
      <c r="D101">
        <v>4</v>
      </c>
      <c r="E101">
        <v>1.8125</v>
      </c>
      <c r="F101" t="s">
        <v>575</v>
      </c>
      <c r="G101" s="6" t="s">
        <v>861</v>
      </c>
      <c r="H101" t="s">
        <v>1071</v>
      </c>
      <c r="I101">
        <f t="shared" si="7"/>
        <v>7.25</v>
      </c>
      <c r="J101">
        <f t="shared" si="5"/>
        <v>3.2885446825</v>
      </c>
      <c r="K101">
        <v>1.61</v>
      </c>
      <c r="L101">
        <f t="shared" si="6"/>
        <v>5.294556938825</v>
      </c>
    </row>
    <row r="102" spans="1:12" x14ac:dyDescent="0.2">
      <c r="A102" s="4">
        <v>43437</v>
      </c>
      <c r="B102" t="s">
        <v>538</v>
      </c>
      <c r="C102">
        <v>1</v>
      </c>
      <c r="D102">
        <v>4</v>
      </c>
      <c r="E102">
        <v>2.5</v>
      </c>
      <c r="F102" t="s">
        <v>436</v>
      </c>
      <c r="G102" s="6" t="s">
        <v>861</v>
      </c>
      <c r="H102" t="s">
        <v>1071</v>
      </c>
      <c r="I102">
        <f t="shared" si="7"/>
        <v>10</v>
      </c>
      <c r="J102">
        <f t="shared" si="5"/>
        <v>4.5359237000000006</v>
      </c>
      <c r="K102">
        <v>1.61</v>
      </c>
      <c r="L102">
        <f t="shared" si="6"/>
        <v>7.3028371570000017</v>
      </c>
    </row>
    <row r="103" spans="1:12" x14ac:dyDescent="0.2">
      <c r="A103" s="4">
        <v>43437</v>
      </c>
      <c r="B103" t="s">
        <v>538</v>
      </c>
      <c r="C103">
        <v>2</v>
      </c>
      <c r="D103">
        <v>4</v>
      </c>
      <c r="E103">
        <v>30.3125</v>
      </c>
      <c r="F103" t="s">
        <v>470</v>
      </c>
      <c r="G103" s="6" t="s">
        <v>861</v>
      </c>
      <c r="H103" t="s">
        <v>1071</v>
      </c>
      <c r="I103">
        <f t="shared" si="7"/>
        <v>242.5</v>
      </c>
      <c r="J103">
        <f t="shared" si="5"/>
        <v>109.99614972500001</v>
      </c>
      <c r="K103">
        <v>1.61</v>
      </c>
      <c r="L103">
        <f t="shared" si="6"/>
        <v>177.09380105725003</v>
      </c>
    </row>
    <row r="104" spans="1:12" x14ac:dyDescent="0.2">
      <c r="A104" s="4">
        <v>43437</v>
      </c>
      <c r="B104" t="s">
        <v>538</v>
      </c>
      <c r="C104">
        <v>2</v>
      </c>
      <c r="D104">
        <v>4</v>
      </c>
      <c r="E104">
        <v>30.3125</v>
      </c>
      <c r="F104" t="s">
        <v>580</v>
      </c>
      <c r="G104" s="6" t="s">
        <v>861</v>
      </c>
      <c r="H104" t="s">
        <v>1071</v>
      </c>
      <c r="I104">
        <f t="shared" si="7"/>
        <v>242.5</v>
      </c>
      <c r="J104">
        <f t="shared" si="5"/>
        <v>109.99614972500001</v>
      </c>
      <c r="K104">
        <v>1.61</v>
      </c>
      <c r="L104">
        <f t="shared" si="6"/>
        <v>177.09380105725003</v>
      </c>
    </row>
    <row r="105" spans="1:12" x14ac:dyDescent="0.2">
      <c r="A105" s="4">
        <v>43437</v>
      </c>
      <c r="B105" t="s">
        <v>538</v>
      </c>
      <c r="C105">
        <v>1</v>
      </c>
      <c r="D105">
        <v>4</v>
      </c>
      <c r="E105">
        <v>3.125</v>
      </c>
      <c r="F105" t="s">
        <v>453</v>
      </c>
      <c r="G105" s="6" t="s">
        <v>861</v>
      </c>
      <c r="H105" t="s">
        <v>1071</v>
      </c>
      <c r="I105">
        <f t="shared" si="7"/>
        <v>12.5</v>
      </c>
      <c r="J105">
        <f t="shared" si="5"/>
        <v>5.669904625</v>
      </c>
      <c r="K105">
        <v>1.61</v>
      </c>
      <c r="L105">
        <f t="shared" si="6"/>
        <v>9.1285464462500006</v>
      </c>
    </row>
    <row r="106" spans="1:12" x14ac:dyDescent="0.2">
      <c r="A106" s="4">
        <v>43439</v>
      </c>
      <c r="B106" t="s">
        <v>538</v>
      </c>
      <c r="C106">
        <v>1</v>
      </c>
      <c r="D106">
        <v>4</v>
      </c>
      <c r="E106">
        <v>1.8125</v>
      </c>
      <c r="F106" t="s">
        <v>575</v>
      </c>
      <c r="G106" s="6" t="s">
        <v>861</v>
      </c>
      <c r="H106" t="s">
        <v>1071</v>
      </c>
      <c r="I106">
        <f t="shared" si="7"/>
        <v>7.25</v>
      </c>
      <c r="J106">
        <f t="shared" si="5"/>
        <v>3.2885446825</v>
      </c>
      <c r="K106">
        <v>1.61</v>
      </c>
      <c r="L106">
        <f t="shared" si="6"/>
        <v>5.294556938825</v>
      </c>
    </row>
    <row r="107" spans="1:12" x14ac:dyDescent="0.2">
      <c r="A107" s="4">
        <v>43439</v>
      </c>
      <c r="B107" t="s">
        <v>538</v>
      </c>
      <c r="C107">
        <v>3</v>
      </c>
      <c r="D107">
        <v>4</v>
      </c>
      <c r="E107">
        <v>2.5</v>
      </c>
      <c r="F107" t="s">
        <v>436</v>
      </c>
      <c r="G107" s="6" t="s">
        <v>861</v>
      </c>
      <c r="H107" t="s">
        <v>1071</v>
      </c>
      <c r="I107">
        <f t="shared" si="7"/>
        <v>30</v>
      </c>
      <c r="J107">
        <f t="shared" si="5"/>
        <v>13.607771100000001</v>
      </c>
      <c r="K107">
        <v>1.61</v>
      </c>
      <c r="L107">
        <f t="shared" si="6"/>
        <v>21.908511471000004</v>
      </c>
    </row>
    <row r="108" spans="1:12" x14ac:dyDescent="0.2">
      <c r="A108" s="4">
        <v>43439</v>
      </c>
      <c r="B108" t="s">
        <v>538</v>
      </c>
      <c r="C108">
        <v>3</v>
      </c>
      <c r="D108">
        <v>4</v>
      </c>
      <c r="E108">
        <v>30.3125</v>
      </c>
      <c r="F108" t="s">
        <v>470</v>
      </c>
      <c r="G108" s="6" t="s">
        <v>861</v>
      </c>
      <c r="H108" t="s">
        <v>1071</v>
      </c>
      <c r="I108">
        <f t="shared" si="7"/>
        <v>363.75</v>
      </c>
      <c r="J108">
        <f t="shared" si="5"/>
        <v>164.99422458750001</v>
      </c>
      <c r="K108">
        <v>1.61</v>
      </c>
      <c r="L108">
        <f t="shared" si="6"/>
        <v>265.64070158587504</v>
      </c>
    </row>
    <row r="109" spans="1:12" x14ac:dyDescent="0.2">
      <c r="A109" s="4">
        <v>43439</v>
      </c>
      <c r="B109" t="s">
        <v>538</v>
      </c>
      <c r="C109">
        <v>1</v>
      </c>
      <c r="D109">
        <v>4</v>
      </c>
      <c r="E109">
        <v>30.3125</v>
      </c>
      <c r="F109" t="s">
        <v>580</v>
      </c>
      <c r="G109" s="6" t="s">
        <v>861</v>
      </c>
      <c r="H109" t="s">
        <v>1071</v>
      </c>
      <c r="I109">
        <f t="shared" si="7"/>
        <v>121.25</v>
      </c>
      <c r="J109">
        <f t="shared" si="5"/>
        <v>54.998074862500005</v>
      </c>
      <c r="K109">
        <v>1.61</v>
      </c>
      <c r="L109">
        <f t="shared" si="6"/>
        <v>88.546900528625017</v>
      </c>
    </row>
    <row r="110" spans="1:12" x14ac:dyDescent="0.2">
      <c r="A110" s="4">
        <v>43439</v>
      </c>
      <c r="B110" t="s">
        <v>538</v>
      </c>
      <c r="C110">
        <v>4</v>
      </c>
      <c r="D110">
        <v>4</v>
      </c>
      <c r="E110">
        <v>40.3125</v>
      </c>
      <c r="F110" t="s">
        <v>548</v>
      </c>
      <c r="G110" s="6" t="s">
        <v>861</v>
      </c>
      <c r="H110" t="s">
        <v>1071</v>
      </c>
      <c r="I110">
        <f t="shared" si="7"/>
        <v>645</v>
      </c>
      <c r="J110">
        <f t="shared" si="5"/>
        <v>292.56707865000004</v>
      </c>
      <c r="K110">
        <v>1.61</v>
      </c>
      <c r="L110">
        <f t="shared" si="6"/>
        <v>471.03299662650011</v>
      </c>
    </row>
    <row r="111" spans="1:12" x14ac:dyDescent="0.2">
      <c r="A111" s="4">
        <v>43439</v>
      </c>
      <c r="B111" t="s">
        <v>538</v>
      </c>
      <c r="C111">
        <v>1</v>
      </c>
      <c r="D111">
        <v>4</v>
      </c>
      <c r="E111">
        <v>3.125</v>
      </c>
      <c r="F111" t="s">
        <v>453</v>
      </c>
      <c r="G111" s="6" t="s">
        <v>861</v>
      </c>
      <c r="H111" t="s">
        <v>1071</v>
      </c>
      <c r="I111">
        <f t="shared" si="7"/>
        <v>12.5</v>
      </c>
      <c r="J111">
        <f t="shared" si="5"/>
        <v>5.669904625</v>
      </c>
      <c r="K111">
        <v>1.61</v>
      </c>
      <c r="L111">
        <f t="shared" si="6"/>
        <v>9.1285464462500006</v>
      </c>
    </row>
    <row r="112" spans="1:12" x14ac:dyDescent="0.2">
      <c r="A112" s="4">
        <v>43434</v>
      </c>
      <c r="B112" t="s">
        <v>538</v>
      </c>
      <c r="C112">
        <v>2</v>
      </c>
      <c r="D112">
        <v>4</v>
      </c>
      <c r="E112">
        <v>30.0625</v>
      </c>
      <c r="F112" t="s">
        <v>545</v>
      </c>
      <c r="G112" s="6" t="s">
        <v>901</v>
      </c>
      <c r="H112" t="s">
        <v>1071</v>
      </c>
      <c r="I112">
        <f t="shared" si="7"/>
        <v>240.5</v>
      </c>
      <c r="J112">
        <f t="shared" si="5"/>
        <v>109.088964985</v>
      </c>
      <c r="K112">
        <v>1.61</v>
      </c>
      <c r="L112">
        <f t="shared" si="6"/>
        <v>175.63323362585001</v>
      </c>
    </row>
    <row r="113" spans="1:12" x14ac:dyDescent="0.2">
      <c r="A113" s="4">
        <v>43434</v>
      </c>
      <c r="B113" t="s">
        <v>538</v>
      </c>
      <c r="C113">
        <v>2</v>
      </c>
      <c r="D113">
        <v>4</v>
      </c>
      <c r="E113">
        <v>2.5</v>
      </c>
      <c r="F113" t="s">
        <v>436</v>
      </c>
      <c r="G113" s="6" t="s">
        <v>903</v>
      </c>
      <c r="H113" t="s">
        <v>1071</v>
      </c>
      <c r="I113">
        <f t="shared" si="7"/>
        <v>20</v>
      </c>
      <c r="J113">
        <f t="shared" si="5"/>
        <v>9.0718474000000011</v>
      </c>
      <c r="K113">
        <v>1.61</v>
      </c>
      <c r="L113">
        <f t="shared" si="6"/>
        <v>14.605674314000003</v>
      </c>
    </row>
    <row r="114" spans="1:12" x14ac:dyDescent="0.2">
      <c r="A114" s="4">
        <v>43434</v>
      </c>
      <c r="B114" t="s">
        <v>538</v>
      </c>
      <c r="C114">
        <v>4</v>
      </c>
      <c r="D114">
        <v>4</v>
      </c>
      <c r="E114">
        <v>3.125</v>
      </c>
      <c r="F114" t="s">
        <v>453</v>
      </c>
      <c r="G114" s="6" t="s">
        <v>910</v>
      </c>
      <c r="H114" t="s">
        <v>1071</v>
      </c>
      <c r="I114">
        <f t="shared" si="7"/>
        <v>50</v>
      </c>
      <c r="J114">
        <f t="shared" si="5"/>
        <v>22.6796185</v>
      </c>
      <c r="K114">
        <v>1.61</v>
      </c>
      <c r="L114">
        <f t="shared" si="6"/>
        <v>36.514185785000002</v>
      </c>
    </row>
    <row r="115" spans="1:12" x14ac:dyDescent="0.2">
      <c r="A115" s="4">
        <v>43348</v>
      </c>
      <c r="B115" s="6" t="s">
        <v>1074</v>
      </c>
      <c r="C115">
        <v>3</v>
      </c>
      <c r="D115" s="8">
        <v>1</v>
      </c>
      <c r="E115">
        <v>30</v>
      </c>
      <c r="F115" t="s">
        <v>164</v>
      </c>
      <c r="G115" t="s">
        <v>773</v>
      </c>
      <c r="H115" s="8" t="s">
        <v>1073</v>
      </c>
      <c r="I115">
        <f t="shared" si="7"/>
        <v>90</v>
      </c>
      <c r="J115" s="8">
        <f t="shared" si="5"/>
        <v>40.823313300000002</v>
      </c>
      <c r="K115">
        <v>9.9740000000000002</v>
      </c>
      <c r="L115">
        <f t="shared" si="6"/>
        <v>407.17172685420002</v>
      </c>
    </row>
    <row r="116" spans="1:12" x14ac:dyDescent="0.2">
      <c r="A116" s="4">
        <v>43434</v>
      </c>
      <c r="B116" t="s">
        <v>517</v>
      </c>
      <c r="C116">
        <v>2</v>
      </c>
      <c r="D116">
        <v>6</v>
      </c>
      <c r="E116">
        <v>1</v>
      </c>
      <c r="F116" t="s">
        <v>519</v>
      </c>
      <c r="G116" t="s">
        <v>847</v>
      </c>
      <c r="H116" t="s">
        <v>1073</v>
      </c>
      <c r="I116">
        <f t="shared" si="7"/>
        <v>12</v>
      </c>
      <c r="J116">
        <f t="shared" si="5"/>
        <v>5.4431084400000005</v>
      </c>
      <c r="K116">
        <v>9.9740000000000002</v>
      </c>
      <c r="L116">
        <f t="shared" si="6"/>
        <v>54.289563580560007</v>
      </c>
    </row>
    <row r="117" spans="1:12" x14ac:dyDescent="0.2">
      <c r="A117" s="4">
        <v>43434</v>
      </c>
      <c r="B117" t="s">
        <v>517</v>
      </c>
      <c r="C117">
        <v>2</v>
      </c>
      <c r="D117">
        <v>6</v>
      </c>
      <c r="E117">
        <v>3</v>
      </c>
      <c r="F117" t="s">
        <v>387</v>
      </c>
      <c r="G117" t="s">
        <v>847</v>
      </c>
      <c r="H117" t="s">
        <v>1073</v>
      </c>
      <c r="I117">
        <f t="shared" si="7"/>
        <v>36</v>
      </c>
      <c r="J117">
        <f t="shared" si="5"/>
        <v>16.329325319999999</v>
      </c>
      <c r="K117">
        <v>9.9740000000000002</v>
      </c>
      <c r="L117">
        <f t="shared" si="6"/>
        <v>162.86869074167998</v>
      </c>
    </row>
    <row r="118" spans="1:12" x14ac:dyDescent="0.2">
      <c r="A118" s="4">
        <v>43434</v>
      </c>
      <c r="B118" t="s">
        <v>517</v>
      </c>
      <c r="C118">
        <v>2</v>
      </c>
      <c r="D118">
        <v>4</v>
      </c>
      <c r="E118">
        <v>5</v>
      </c>
      <c r="F118" t="s">
        <v>389</v>
      </c>
      <c r="G118" t="s">
        <v>847</v>
      </c>
      <c r="H118" t="s">
        <v>1073</v>
      </c>
      <c r="I118">
        <f t="shared" si="7"/>
        <v>40</v>
      </c>
      <c r="J118">
        <f t="shared" si="5"/>
        <v>18.143694800000002</v>
      </c>
      <c r="K118">
        <v>9.9740000000000002</v>
      </c>
      <c r="L118">
        <f t="shared" si="6"/>
        <v>180.96521193520002</v>
      </c>
    </row>
    <row r="119" spans="1:12" x14ac:dyDescent="0.2">
      <c r="A119" s="4">
        <v>43434</v>
      </c>
      <c r="B119" t="s">
        <v>517</v>
      </c>
      <c r="C119">
        <v>15</v>
      </c>
      <c r="D119">
        <v>4</v>
      </c>
      <c r="E119">
        <v>5</v>
      </c>
      <c r="F119" t="s">
        <v>521</v>
      </c>
      <c r="G119" t="s">
        <v>847</v>
      </c>
      <c r="H119" t="s">
        <v>1073</v>
      </c>
      <c r="I119">
        <f t="shared" si="7"/>
        <v>300</v>
      </c>
      <c r="J119">
        <f t="shared" si="5"/>
        <v>136.07771100000002</v>
      </c>
      <c r="K119">
        <v>9.9740000000000002</v>
      </c>
      <c r="L119">
        <f t="shared" si="6"/>
        <v>1357.2390895140002</v>
      </c>
    </row>
    <row r="120" spans="1:12" x14ac:dyDescent="0.2">
      <c r="A120" s="4">
        <v>43434</v>
      </c>
      <c r="B120" t="s">
        <v>517</v>
      </c>
      <c r="C120">
        <v>1</v>
      </c>
      <c r="D120">
        <v>4</v>
      </c>
      <c r="E120">
        <v>5</v>
      </c>
      <c r="F120" t="s">
        <v>390</v>
      </c>
      <c r="G120" t="s">
        <v>847</v>
      </c>
      <c r="H120" t="s">
        <v>1073</v>
      </c>
      <c r="I120">
        <f t="shared" ref="I120:I153" si="8">C120*D120*E120</f>
        <v>20</v>
      </c>
      <c r="J120">
        <f t="shared" si="5"/>
        <v>9.0718474000000011</v>
      </c>
      <c r="K120">
        <v>9.9740000000000002</v>
      </c>
      <c r="L120">
        <f t="shared" si="6"/>
        <v>90.482605967600009</v>
      </c>
    </row>
    <row r="121" spans="1:12" x14ac:dyDescent="0.2">
      <c r="A121" s="4">
        <v>43434</v>
      </c>
      <c r="B121" t="s">
        <v>517</v>
      </c>
      <c r="C121">
        <v>4</v>
      </c>
      <c r="D121">
        <v>4</v>
      </c>
      <c r="E121">
        <v>5</v>
      </c>
      <c r="F121" t="s">
        <v>391</v>
      </c>
      <c r="G121" t="s">
        <v>847</v>
      </c>
      <c r="H121" t="s">
        <v>1073</v>
      </c>
      <c r="I121">
        <f t="shared" si="8"/>
        <v>80</v>
      </c>
      <c r="J121">
        <f t="shared" si="5"/>
        <v>36.287389600000004</v>
      </c>
      <c r="K121">
        <v>9.9740000000000002</v>
      </c>
      <c r="L121">
        <f t="shared" si="6"/>
        <v>361.93042387040003</v>
      </c>
    </row>
    <row r="122" spans="1:12" x14ac:dyDescent="0.2">
      <c r="A122" s="4">
        <v>43434</v>
      </c>
      <c r="B122" t="s">
        <v>517</v>
      </c>
      <c r="C122">
        <v>3</v>
      </c>
      <c r="D122">
        <v>4</v>
      </c>
      <c r="E122">
        <v>5</v>
      </c>
      <c r="F122" t="s">
        <v>522</v>
      </c>
      <c r="G122" t="s">
        <v>847</v>
      </c>
      <c r="H122" t="s">
        <v>1073</v>
      </c>
      <c r="I122">
        <f t="shared" si="8"/>
        <v>60</v>
      </c>
      <c r="J122">
        <f t="shared" si="5"/>
        <v>27.215542200000002</v>
      </c>
      <c r="K122">
        <v>9.9740000000000002</v>
      </c>
      <c r="L122">
        <f t="shared" si="6"/>
        <v>271.44781790280001</v>
      </c>
    </row>
    <row r="123" spans="1:12" x14ac:dyDescent="0.2">
      <c r="A123" s="4">
        <v>43434</v>
      </c>
      <c r="B123" t="s">
        <v>517</v>
      </c>
      <c r="C123">
        <v>2</v>
      </c>
      <c r="D123">
        <v>4</v>
      </c>
      <c r="E123">
        <v>2.5</v>
      </c>
      <c r="F123" t="s">
        <v>1008</v>
      </c>
      <c r="G123" t="s">
        <v>847</v>
      </c>
      <c r="H123" t="s">
        <v>1073</v>
      </c>
      <c r="I123">
        <f t="shared" si="8"/>
        <v>20</v>
      </c>
      <c r="J123">
        <f t="shared" si="5"/>
        <v>9.0718474000000011</v>
      </c>
      <c r="K123">
        <v>9.9740000000000002</v>
      </c>
      <c r="L123">
        <f t="shared" si="6"/>
        <v>90.482605967600009</v>
      </c>
    </row>
    <row r="124" spans="1:12" x14ac:dyDescent="0.2">
      <c r="A124" s="4">
        <v>43434</v>
      </c>
      <c r="B124" t="s">
        <v>517</v>
      </c>
      <c r="C124">
        <v>2</v>
      </c>
      <c r="D124">
        <v>4</v>
      </c>
      <c r="E124">
        <v>2.5</v>
      </c>
      <c r="F124" t="s">
        <v>1009</v>
      </c>
      <c r="G124" t="s">
        <v>847</v>
      </c>
      <c r="H124" t="s">
        <v>1073</v>
      </c>
      <c r="I124">
        <f t="shared" si="8"/>
        <v>20</v>
      </c>
      <c r="J124">
        <f t="shared" si="5"/>
        <v>9.0718474000000011</v>
      </c>
      <c r="K124">
        <v>9.9740000000000002</v>
      </c>
      <c r="L124">
        <f t="shared" si="6"/>
        <v>90.482605967600009</v>
      </c>
    </row>
    <row r="125" spans="1:12" x14ac:dyDescent="0.2">
      <c r="A125" s="4">
        <v>43434</v>
      </c>
      <c r="B125" t="s">
        <v>517</v>
      </c>
      <c r="C125">
        <v>2</v>
      </c>
      <c r="D125">
        <v>8</v>
      </c>
      <c r="E125">
        <v>1.25</v>
      </c>
      <c r="F125" t="s">
        <v>1010</v>
      </c>
      <c r="G125" t="s">
        <v>847</v>
      </c>
      <c r="H125" t="s">
        <v>1073</v>
      </c>
      <c r="I125">
        <f t="shared" si="8"/>
        <v>20</v>
      </c>
      <c r="J125">
        <f t="shared" si="5"/>
        <v>9.0718474000000011</v>
      </c>
      <c r="K125">
        <v>9.9740000000000002</v>
      </c>
      <c r="L125">
        <f t="shared" si="6"/>
        <v>90.482605967600009</v>
      </c>
    </row>
    <row r="126" spans="1:12" x14ac:dyDescent="0.2">
      <c r="A126" s="4">
        <v>43434</v>
      </c>
      <c r="B126" t="s">
        <v>517</v>
      </c>
      <c r="C126">
        <v>2</v>
      </c>
      <c r="D126">
        <v>4</v>
      </c>
      <c r="E126">
        <v>2.5</v>
      </c>
      <c r="F126" t="s">
        <v>1011</v>
      </c>
      <c r="G126" t="s">
        <v>847</v>
      </c>
      <c r="H126" t="s">
        <v>1073</v>
      </c>
      <c r="I126">
        <f t="shared" si="8"/>
        <v>20</v>
      </c>
      <c r="J126">
        <f t="shared" si="5"/>
        <v>9.0718474000000011</v>
      </c>
      <c r="K126">
        <v>9.9740000000000002</v>
      </c>
      <c r="L126">
        <f t="shared" si="6"/>
        <v>90.482605967600009</v>
      </c>
    </row>
    <row r="127" spans="1:12" x14ac:dyDescent="0.2">
      <c r="A127" s="4">
        <v>43434</v>
      </c>
      <c r="B127" t="s">
        <v>517</v>
      </c>
      <c r="C127">
        <v>1</v>
      </c>
      <c r="D127">
        <v>2</v>
      </c>
      <c r="E127">
        <v>5</v>
      </c>
      <c r="F127" t="s">
        <v>393</v>
      </c>
      <c r="G127" t="s">
        <v>847</v>
      </c>
      <c r="H127" t="s">
        <v>1073</v>
      </c>
      <c r="I127">
        <f t="shared" si="8"/>
        <v>10</v>
      </c>
      <c r="J127">
        <f t="shared" si="5"/>
        <v>4.5359237000000006</v>
      </c>
      <c r="K127">
        <v>9.9740000000000002</v>
      </c>
      <c r="L127">
        <f t="shared" si="6"/>
        <v>45.241302983800004</v>
      </c>
    </row>
    <row r="128" spans="1:12" x14ac:dyDescent="0.2">
      <c r="A128" s="4">
        <v>43434</v>
      </c>
      <c r="B128" t="s">
        <v>517</v>
      </c>
      <c r="C128">
        <v>1</v>
      </c>
      <c r="D128">
        <v>6</v>
      </c>
      <c r="E128">
        <v>2</v>
      </c>
      <c r="F128" t="s">
        <v>523</v>
      </c>
      <c r="G128" t="s">
        <v>847</v>
      </c>
      <c r="H128" t="s">
        <v>1073</v>
      </c>
      <c r="I128">
        <f t="shared" si="8"/>
        <v>12</v>
      </c>
      <c r="J128">
        <f t="shared" si="5"/>
        <v>5.4431084400000005</v>
      </c>
      <c r="K128">
        <v>9.9740000000000002</v>
      </c>
      <c r="L128">
        <f t="shared" si="6"/>
        <v>54.289563580560007</v>
      </c>
    </row>
    <row r="129" spans="1:12" x14ac:dyDescent="0.2">
      <c r="A129" s="4">
        <v>43434</v>
      </c>
      <c r="B129" t="s">
        <v>517</v>
      </c>
      <c r="C129">
        <v>1</v>
      </c>
      <c r="D129">
        <v>6</v>
      </c>
      <c r="E129">
        <v>3</v>
      </c>
      <c r="F129" t="s">
        <v>394</v>
      </c>
      <c r="G129" t="s">
        <v>847</v>
      </c>
      <c r="H129" t="s">
        <v>1073</v>
      </c>
      <c r="I129">
        <f t="shared" si="8"/>
        <v>18</v>
      </c>
      <c r="J129">
        <f t="shared" si="5"/>
        <v>8.1646626599999994</v>
      </c>
      <c r="K129">
        <v>9.9740000000000002</v>
      </c>
      <c r="L129">
        <f t="shared" si="6"/>
        <v>81.434345370839992</v>
      </c>
    </row>
    <row r="130" spans="1:12" x14ac:dyDescent="0.2">
      <c r="A130" s="4">
        <v>43437</v>
      </c>
      <c r="B130" t="s">
        <v>517</v>
      </c>
      <c r="C130">
        <v>4</v>
      </c>
      <c r="D130">
        <v>4</v>
      </c>
      <c r="E130">
        <v>5</v>
      </c>
      <c r="F130" t="s">
        <v>391</v>
      </c>
      <c r="G130" t="s">
        <v>847</v>
      </c>
      <c r="H130" t="s">
        <v>1073</v>
      </c>
      <c r="I130">
        <f t="shared" si="8"/>
        <v>80</v>
      </c>
      <c r="J130">
        <f t="shared" si="5"/>
        <v>36.287389600000004</v>
      </c>
      <c r="K130">
        <v>9.9740000000000002</v>
      </c>
      <c r="L130">
        <f t="shared" si="6"/>
        <v>361.93042387040003</v>
      </c>
    </row>
    <row r="131" spans="1:12" x14ac:dyDescent="0.2">
      <c r="A131" s="4">
        <v>43437</v>
      </c>
      <c r="B131" t="s">
        <v>517</v>
      </c>
      <c r="C131">
        <v>6</v>
      </c>
      <c r="D131">
        <v>4</v>
      </c>
      <c r="E131">
        <v>5</v>
      </c>
      <c r="F131" t="s">
        <v>392</v>
      </c>
      <c r="G131" t="s">
        <v>847</v>
      </c>
      <c r="H131" t="s">
        <v>1073</v>
      </c>
      <c r="I131">
        <f t="shared" si="8"/>
        <v>120</v>
      </c>
      <c r="J131">
        <f t="shared" ref="J131:J194" si="9">CONVERT(I131,"lbm","kg")</f>
        <v>54.431084400000003</v>
      </c>
      <c r="K131">
        <v>9.9740000000000002</v>
      </c>
      <c r="L131">
        <f t="shared" ref="L131:L194" si="10">J131*K131</f>
        <v>542.89563580560002</v>
      </c>
    </row>
    <row r="132" spans="1:12" x14ac:dyDescent="0.2">
      <c r="A132" s="4">
        <v>43437</v>
      </c>
      <c r="B132" t="s">
        <v>517</v>
      </c>
      <c r="C132">
        <v>3</v>
      </c>
      <c r="D132">
        <v>2</v>
      </c>
      <c r="E132">
        <v>5</v>
      </c>
      <c r="F132" t="s">
        <v>393</v>
      </c>
      <c r="G132" t="s">
        <v>847</v>
      </c>
      <c r="H132" t="s">
        <v>1073</v>
      </c>
      <c r="I132">
        <f t="shared" si="8"/>
        <v>30</v>
      </c>
      <c r="J132">
        <f t="shared" si="9"/>
        <v>13.607771100000001</v>
      </c>
      <c r="K132">
        <v>9.9740000000000002</v>
      </c>
      <c r="L132">
        <f t="shared" si="10"/>
        <v>135.72390895140001</v>
      </c>
    </row>
    <row r="133" spans="1:12" x14ac:dyDescent="0.2">
      <c r="A133" s="4">
        <v>43439</v>
      </c>
      <c r="B133" t="s">
        <v>517</v>
      </c>
      <c r="C133">
        <v>1</v>
      </c>
      <c r="D133">
        <v>10</v>
      </c>
      <c r="E133">
        <v>3</v>
      </c>
      <c r="F133" t="s">
        <v>587</v>
      </c>
      <c r="G133" t="s">
        <v>847</v>
      </c>
      <c r="H133" t="s">
        <v>1073</v>
      </c>
      <c r="I133">
        <f t="shared" si="8"/>
        <v>30</v>
      </c>
      <c r="J133">
        <f t="shared" si="9"/>
        <v>13.607771100000001</v>
      </c>
      <c r="K133">
        <v>9.9740000000000002</v>
      </c>
      <c r="L133">
        <f t="shared" si="10"/>
        <v>135.72390895140001</v>
      </c>
    </row>
    <row r="134" spans="1:12" x14ac:dyDescent="0.2">
      <c r="A134" s="4">
        <v>43439</v>
      </c>
      <c r="B134" t="s">
        <v>517</v>
      </c>
      <c r="C134">
        <v>2</v>
      </c>
      <c r="D134">
        <v>4</v>
      </c>
      <c r="E134">
        <v>5</v>
      </c>
      <c r="F134" t="s">
        <v>390</v>
      </c>
      <c r="G134" t="s">
        <v>847</v>
      </c>
      <c r="H134" t="s">
        <v>1073</v>
      </c>
      <c r="I134">
        <f t="shared" si="8"/>
        <v>40</v>
      </c>
      <c r="J134">
        <f t="shared" si="9"/>
        <v>18.143694800000002</v>
      </c>
      <c r="K134">
        <v>9.9740000000000002</v>
      </c>
      <c r="L134">
        <f t="shared" si="10"/>
        <v>180.96521193520002</v>
      </c>
    </row>
    <row r="135" spans="1:12" x14ac:dyDescent="0.2">
      <c r="A135" s="4">
        <v>43439</v>
      </c>
      <c r="B135" t="s">
        <v>517</v>
      </c>
      <c r="C135">
        <v>2</v>
      </c>
      <c r="D135">
        <v>4</v>
      </c>
      <c r="E135">
        <v>5</v>
      </c>
      <c r="F135" t="s">
        <v>391</v>
      </c>
      <c r="G135" t="s">
        <v>847</v>
      </c>
      <c r="H135" t="s">
        <v>1073</v>
      </c>
      <c r="I135">
        <f t="shared" si="8"/>
        <v>40</v>
      </c>
      <c r="J135">
        <f t="shared" si="9"/>
        <v>18.143694800000002</v>
      </c>
      <c r="K135">
        <v>9.9740000000000002</v>
      </c>
      <c r="L135">
        <f t="shared" si="10"/>
        <v>180.96521193520002</v>
      </c>
    </row>
    <row r="136" spans="1:12" x14ac:dyDescent="0.2">
      <c r="A136" s="4">
        <v>43439</v>
      </c>
      <c r="B136" t="s">
        <v>517</v>
      </c>
      <c r="C136">
        <v>5</v>
      </c>
      <c r="D136">
        <v>4</v>
      </c>
      <c r="E136">
        <v>5</v>
      </c>
      <c r="F136" t="s">
        <v>392</v>
      </c>
      <c r="G136" t="s">
        <v>847</v>
      </c>
      <c r="H136" t="s">
        <v>1073</v>
      </c>
      <c r="I136">
        <f t="shared" si="8"/>
        <v>100</v>
      </c>
      <c r="J136">
        <f t="shared" si="9"/>
        <v>45.359237</v>
      </c>
      <c r="K136">
        <v>9.9740000000000002</v>
      </c>
      <c r="L136">
        <f t="shared" si="10"/>
        <v>452.413029838</v>
      </c>
    </row>
    <row r="137" spans="1:12" x14ac:dyDescent="0.2">
      <c r="A137" s="4">
        <v>43439</v>
      </c>
      <c r="B137" t="s">
        <v>517</v>
      </c>
      <c r="C137">
        <v>1</v>
      </c>
      <c r="D137">
        <v>4</v>
      </c>
      <c r="E137">
        <v>2.5</v>
      </c>
      <c r="F137" t="s">
        <v>1008</v>
      </c>
      <c r="G137" t="s">
        <v>847</v>
      </c>
      <c r="H137" t="s">
        <v>1073</v>
      </c>
      <c r="I137">
        <f t="shared" si="8"/>
        <v>10</v>
      </c>
      <c r="J137">
        <f t="shared" si="9"/>
        <v>4.5359237000000006</v>
      </c>
      <c r="K137">
        <v>9.9740000000000002</v>
      </c>
      <c r="L137">
        <f t="shared" si="10"/>
        <v>45.241302983800004</v>
      </c>
    </row>
    <row r="138" spans="1:12" x14ac:dyDescent="0.2">
      <c r="A138" s="4">
        <v>43439</v>
      </c>
      <c r="B138" t="s">
        <v>517</v>
      </c>
      <c r="C138">
        <v>1</v>
      </c>
      <c r="D138">
        <v>8</v>
      </c>
      <c r="E138">
        <v>1.25</v>
      </c>
      <c r="F138" t="s">
        <v>1010</v>
      </c>
      <c r="G138" t="s">
        <v>847</v>
      </c>
      <c r="H138" t="s">
        <v>1073</v>
      </c>
      <c r="I138">
        <f t="shared" si="8"/>
        <v>10</v>
      </c>
      <c r="J138">
        <f t="shared" si="9"/>
        <v>4.5359237000000006</v>
      </c>
      <c r="K138">
        <v>9.9740000000000002</v>
      </c>
      <c r="L138">
        <f t="shared" si="10"/>
        <v>45.241302983800004</v>
      </c>
    </row>
    <row r="139" spans="1:12" x14ac:dyDescent="0.2">
      <c r="A139" s="4">
        <v>43439</v>
      </c>
      <c r="B139" t="s">
        <v>517</v>
      </c>
      <c r="C139">
        <v>2</v>
      </c>
      <c r="D139">
        <v>4</v>
      </c>
      <c r="E139">
        <v>2.5</v>
      </c>
      <c r="F139" t="s">
        <v>1011</v>
      </c>
      <c r="G139" t="s">
        <v>847</v>
      </c>
      <c r="H139" t="s">
        <v>1073</v>
      </c>
      <c r="I139">
        <f t="shared" si="8"/>
        <v>20</v>
      </c>
      <c r="J139">
        <f t="shared" si="9"/>
        <v>9.0718474000000011</v>
      </c>
      <c r="K139">
        <v>9.9740000000000002</v>
      </c>
      <c r="L139">
        <f t="shared" si="10"/>
        <v>90.482605967600009</v>
      </c>
    </row>
    <row r="140" spans="1:12" x14ac:dyDescent="0.2">
      <c r="A140" s="10">
        <v>43343</v>
      </c>
      <c r="B140" s="8" t="s">
        <v>30</v>
      </c>
      <c r="C140">
        <v>1</v>
      </c>
      <c r="D140">
        <v>1</v>
      </c>
      <c r="E140" s="9">
        <v>80</v>
      </c>
      <c r="F140" s="9" t="s">
        <v>31</v>
      </c>
      <c r="G140" s="9" t="s">
        <v>755</v>
      </c>
      <c r="H140" s="8" t="s">
        <v>1072</v>
      </c>
      <c r="I140">
        <f t="shared" si="8"/>
        <v>80</v>
      </c>
      <c r="J140" s="8">
        <f t="shared" si="9"/>
        <v>36.287389600000004</v>
      </c>
      <c r="K140">
        <v>4.1879999999999997</v>
      </c>
      <c r="L140">
        <f t="shared" si="10"/>
        <v>151.9715876448</v>
      </c>
    </row>
    <row r="141" spans="1:12" x14ac:dyDescent="0.2">
      <c r="A141" s="10">
        <v>43347</v>
      </c>
      <c r="B141" s="8" t="s">
        <v>30</v>
      </c>
      <c r="C141">
        <v>1</v>
      </c>
      <c r="D141">
        <v>1</v>
      </c>
      <c r="E141" s="9">
        <v>40</v>
      </c>
      <c r="F141" s="9" t="s">
        <v>36</v>
      </c>
      <c r="G141" s="9" t="s">
        <v>755</v>
      </c>
      <c r="H141" s="8" t="s">
        <v>1072</v>
      </c>
      <c r="I141">
        <f t="shared" si="8"/>
        <v>40</v>
      </c>
      <c r="J141" s="8">
        <f t="shared" si="9"/>
        <v>18.143694800000002</v>
      </c>
      <c r="K141">
        <v>4.1879999999999997</v>
      </c>
      <c r="L141">
        <f t="shared" si="10"/>
        <v>75.985793822399998</v>
      </c>
    </row>
    <row r="142" spans="1:12" x14ac:dyDescent="0.2">
      <c r="A142" s="4">
        <v>43343</v>
      </c>
      <c r="B142" s="9" t="s">
        <v>50</v>
      </c>
      <c r="C142">
        <v>1</v>
      </c>
      <c r="D142" s="8">
        <v>1</v>
      </c>
      <c r="E142">
        <v>340</v>
      </c>
      <c r="F142" t="s">
        <v>51</v>
      </c>
      <c r="G142" t="s">
        <v>755</v>
      </c>
      <c r="H142" s="8" t="s">
        <v>1072</v>
      </c>
      <c r="I142">
        <f t="shared" si="8"/>
        <v>340</v>
      </c>
      <c r="J142" s="8">
        <f t="shared" si="9"/>
        <v>154.22140580000001</v>
      </c>
      <c r="K142">
        <v>4.1879999999999997</v>
      </c>
      <c r="L142">
        <f t="shared" si="10"/>
        <v>645.87924749039996</v>
      </c>
    </row>
    <row r="143" spans="1:12" x14ac:dyDescent="0.2">
      <c r="A143" s="4">
        <v>43343</v>
      </c>
      <c r="B143" s="9" t="s">
        <v>50</v>
      </c>
      <c r="C143">
        <v>1</v>
      </c>
      <c r="D143" s="8">
        <v>1</v>
      </c>
      <c r="E143">
        <v>120</v>
      </c>
      <c r="F143" t="s">
        <v>52</v>
      </c>
      <c r="G143" t="s">
        <v>755</v>
      </c>
      <c r="H143" s="8" t="s">
        <v>1072</v>
      </c>
      <c r="I143">
        <f t="shared" si="8"/>
        <v>120</v>
      </c>
      <c r="J143" s="8">
        <f t="shared" si="9"/>
        <v>54.431084400000003</v>
      </c>
      <c r="K143">
        <v>4.1879999999999997</v>
      </c>
      <c r="L143">
        <f t="shared" si="10"/>
        <v>227.95738146720001</v>
      </c>
    </row>
    <row r="144" spans="1:12" x14ac:dyDescent="0.2">
      <c r="A144" s="4">
        <v>43343</v>
      </c>
      <c r="B144" s="9" t="s">
        <v>50</v>
      </c>
      <c r="C144">
        <v>1</v>
      </c>
      <c r="D144" s="8">
        <v>1</v>
      </c>
      <c r="E144">
        <v>680</v>
      </c>
      <c r="F144" t="s">
        <v>51</v>
      </c>
      <c r="G144" t="s">
        <v>755</v>
      </c>
      <c r="H144" s="8" t="s">
        <v>1072</v>
      </c>
      <c r="I144">
        <f t="shared" si="8"/>
        <v>680</v>
      </c>
      <c r="J144" s="8">
        <f t="shared" si="9"/>
        <v>308.44281160000003</v>
      </c>
      <c r="K144">
        <v>4.1879999999999997</v>
      </c>
      <c r="L144">
        <f t="shared" si="10"/>
        <v>1291.7584949807999</v>
      </c>
    </row>
    <row r="145" spans="1:14" x14ac:dyDescent="0.2">
      <c r="A145" s="4">
        <v>43343</v>
      </c>
      <c r="B145" s="9" t="s">
        <v>50</v>
      </c>
      <c r="C145">
        <v>1</v>
      </c>
      <c r="D145" s="8">
        <v>1</v>
      </c>
      <c r="E145">
        <v>300</v>
      </c>
      <c r="F145" t="s">
        <v>53</v>
      </c>
      <c r="G145" t="s">
        <v>755</v>
      </c>
      <c r="H145" s="8" t="s">
        <v>1072</v>
      </c>
      <c r="I145">
        <f t="shared" si="8"/>
        <v>300</v>
      </c>
      <c r="J145" s="8">
        <f t="shared" si="9"/>
        <v>136.07771100000002</v>
      </c>
      <c r="K145">
        <v>4.1879999999999997</v>
      </c>
      <c r="L145">
        <f t="shared" si="10"/>
        <v>569.89345366800001</v>
      </c>
    </row>
    <row r="146" spans="1:14" x14ac:dyDescent="0.2">
      <c r="A146" s="4">
        <v>43343</v>
      </c>
      <c r="B146" s="9" t="s">
        <v>50</v>
      </c>
      <c r="C146">
        <v>1</v>
      </c>
      <c r="D146" s="8">
        <v>1</v>
      </c>
      <c r="E146">
        <v>20</v>
      </c>
      <c r="F146" t="s">
        <v>54</v>
      </c>
      <c r="G146" t="s">
        <v>755</v>
      </c>
      <c r="H146" s="8" t="s">
        <v>1072</v>
      </c>
      <c r="I146">
        <f t="shared" si="8"/>
        <v>20</v>
      </c>
      <c r="J146" s="8">
        <f t="shared" si="9"/>
        <v>9.0718474000000011</v>
      </c>
      <c r="K146">
        <v>4.1879999999999997</v>
      </c>
      <c r="L146">
        <f t="shared" si="10"/>
        <v>37.992896911199999</v>
      </c>
    </row>
    <row r="147" spans="1:14" x14ac:dyDescent="0.2">
      <c r="A147" s="4">
        <v>43343</v>
      </c>
      <c r="B147" s="9" t="s">
        <v>50</v>
      </c>
      <c r="C147">
        <v>1</v>
      </c>
      <c r="D147" s="8">
        <v>1</v>
      </c>
      <c r="E147">
        <v>160</v>
      </c>
      <c r="F147" t="s">
        <v>52</v>
      </c>
      <c r="G147" t="s">
        <v>755</v>
      </c>
      <c r="H147" s="8" t="s">
        <v>1072</v>
      </c>
      <c r="I147">
        <f t="shared" si="8"/>
        <v>160</v>
      </c>
      <c r="J147" s="8">
        <f t="shared" si="9"/>
        <v>72.574779200000009</v>
      </c>
      <c r="K147">
        <v>4.1879999999999997</v>
      </c>
      <c r="L147">
        <f t="shared" si="10"/>
        <v>303.94317528959999</v>
      </c>
    </row>
    <row r="148" spans="1:14" x14ac:dyDescent="0.2">
      <c r="A148" s="4">
        <v>43434</v>
      </c>
      <c r="B148" t="s">
        <v>538</v>
      </c>
      <c r="C148">
        <v>8</v>
      </c>
      <c r="D148">
        <v>6</v>
      </c>
      <c r="E148">
        <v>10</v>
      </c>
      <c r="F148" t="s">
        <v>539</v>
      </c>
      <c r="G148" t="s">
        <v>896</v>
      </c>
      <c r="H148" s="6" t="s">
        <v>1071</v>
      </c>
      <c r="I148">
        <f t="shared" si="8"/>
        <v>480</v>
      </c>
      <c r="J148">
        <f t="shared" si="9"/>
        <v>217.72433760000001</v>
      </c>
      <c r="K148">
        <v>0.49099999999999999</v>
      </c>
      <c r="L148">
        <f t="shared" si="10"/>
        <v>106.9026497616</v>
      </c>
    </row>
    <row r="149" spans="1:14" x14ac:dyDescent="0.2">
      <c r="A149" s="4">
        <v>43439</v>
      </c>
      <c r="B149" t="s">
        <v>538</v>
      </c>
      <c r="C149">
        <v>3</v>
      </c>
      <c r="D149">
        <v>6</v>
      </c>
      <c r="E149">
        <v>10</v>
      </c>
      <c r="F149" t="s">
        <v>539</v>
      </c>
      <c r="G149" t="s">
        <v>896</v>
      </c>
      <c r="H149" s="6" t="s">
        <v>1071</v>
      </c>
      <c r="I149">
        <f t="shared" si="8"/>
        <v>180</v>
      </c>
      <c r="J149">
        <f t="shared" si="9"/>
        <v>81.646626600000005</v>
      </c>
      <c r="K149">
        <v>0.49099999999999999</v>
      </c>
      <c r="L149">
        <f t="shared" si="10"/>
        <v>40.088493660600001</v>
      </c>
    </row>
    <row r="150" spans="1:14" x14ac:dyDescent="0.2">
      <c r="A150" s="4">
        <v>43343</v>
      </c>
      <c r="B150" s="6" t="s">
        <v>1074</v>
      </c>
      <c r="C150">
        <v>1</v>
      </c>
      <c r="D150" s="8">
        <v>1</v>
      </c>
      <c r="E150">
        <f>1</f>
        <v>1</v>
      </c>
      <c r="F150" t="s">
        <v>94</v>
      </c>
      <c r="G150" t="s">
        <v>94</v>
      </c>
      <c r="H150" s="8" t="s">
        <v>1071</v>
      </c>
      <c r="I150">
        <f t="shared" si="8"/>
        <v>1</v>
      </c>
      <c r="J150" s="8">
        <f t="shared" si="9"/>
        <v>0.45359237000000002</v>
      </c>
      <c r="K150">
        <v>0.221</v>
      </c>
      <c r="L150">
        <f t="shared" si="10"/>
        <v>0.10024391377000001</v>
      </c>
    </row>
    <row r="151" spans="1:14" x14ac:dyDescent="0.2">
      <c r="A151" s="4">
        <v>43434</v>
      </c>
      <c r="B151" t="s">
        <v>531</v>
      </c>
      <c r="C151">
        <v>11</v>
      </c>
      <c r="D151">
        <v>100</v>
      </c>
      <c r="E151">
        <f>2.6/16</f>
        <v>0.16250000000000001</v>
      </c>
      <c r="F151" t="s">
        <v>532</v>
      </c>
      <c r="G151" s="6" t="s">
        <v>853</v>
      </c>
      <c r="H151" s="6" t="s">
        <v>1071</v>
      </c>
      <c r="I151">
        <f t="shared" si="8"/>
        <v>178.75</v>
      </c>
      <c r="J151">
        <f t="shared" si="9"/>
        <v>81.079636137500003</v>
      </c>
      <c r="K151">
        <v>1.2</v>
      </c>
      <c r="L151">
        <f t="shared" si="10"/>
        <v>97.295563365000007</v>
      </c>
    </row>
    <row r="152" spans="1:14" x14ac:dyDescent="0.2">
      <c r="A152" s="4">
        <v>43343</v>
      </c>
      <c r="B152" s="6" t="s">
        <v>1074</v>
      </c>
      <c r="C152">
        <v>1</v>
      </c>
      <c r="D152" s="8">
        <v>1</v>
      </c>
      <c r="E152">
        <f>30*(2.8/16)*1</f>
        <v>5.25</v>
      </c>
      <c r="F152" t="s">
        <v>88</v>
      </c>
      <c r="G152" t="s">
        <v>88</v>
      </c>
      <c r="H152" s="8" t="s">
        <v>1071</v>
      </c>
      <c r="I152">
        <f t="shared" si="8"/>
        <v>5.25</v>
      </c>
      <c r="J152" s="8">
        <f t="shared" si="9"/>
        <v>2.3813599425</v>
      </c>
      <c r="K152">
        <v>0.26100000000000001</v>
      </c>
      <c r="L152">
        <f t="shared" si="10"/>
        <v>0.62153494499250006</v>
      </c>
    </row>
    <row r="153" spans="1:14" x14ac:dyDescent="0.2">
      <c r="A153" s="4">
        <v>43344</v>
      </c>
      <c r="B153" s="6" t="s">
        <v>1074</v>
      </c>
      <c r="C153">
        <v>1</v>
      </c>
      <c r="D153" s="8">
        <v>1</v>
      </c>
      <c r="E153">
        <f>30*(2.8/16)</f>
        <v>5.25</v>
      </c>
      <c r="F153" t="s">
        <v>120</v>
      </c>
      <c r="G153" t="s">
        <v>88</v>
      </c>
      <c r="H153" s="8" t="s">
        <v>1071</v>
      </c>
      <c r="I153">
        <f t="shared" si="8"/>
        <v>5.25</v>
      </c>
      <c r="J153" s="8">
        <f t="shared" si="9"/>
        <v>2.3813599425</v>
      </c>
      <c r="K153">
        <v>0.26100000000000001</v>
      </c>
      <c r="L153">
        <f t="shared" si="10"/>
        <v>0.62153494499250006</v>
      </c>
    </row>
    <row r="154" spans="1:14" x14ac:dyDescent="0.2">
      <c r="A154" s="4">
        <v>43439</v>
      </c>
      <c r="B154" t="s">
        <v>538</v>
      </c>
      <c r="C154">
        <v>1</v>
      </c>
      <c r="D154">
        <v>6</v>
      </c>
      <c r="E154" t="s">
        <v>422</v>
      </c>
      <c r="F154" t="s">
        <v>423</v>
      </c>
      <c r="G154" s="14" t="s">
        <v>919</v>
      </c>
      <c r="H154" s="6" t="s">
        <v>1071</v>
      </c>
      <c r="I154">
        <v>0</v>
      </c>
      <c r="J154">
        <f t="shared" si="9"/>
        <v>0</v>
      </c>
      <c r="K154">
        <v>33.646999999999998</v>
      </c>
      <c r="L154">
        <f t="shared" si="10"/>
        <v>0</v>
      </c>
    </row>
    <row r="155" spans="1:14" x14ac:dyDescent="0.2">
      <c r="A155" s="4">
        <v>43347</v>
      </c>
      <c r="B155" s="6" t="s">
        <v>1074</v>
      </c>
      <c r="C155">
        <v>2</v>
      </c>
      <c r="D155" s="8">
        <v>1</v>
      </c>
      <c r="E155">
        <v>10</v>
      </c>
      <c r="F155" t="s">
        <v>1035</v>
      </c>
      <c r="G155" t="s">
        <v>778</v>
      </c>
      <c r="H155" s="8" t="s">
        <v>1071</v>
      </c>
      <c r="I155">
        <f t="shared" ref="I155:I174" si="11">C155*D155*E155</f>
        <v>20</v>
      </c>
      <c r="J155" s="8">
        <f t="shared" si="9"/>
        <v>9.0718474000000011</v>
      </c>
      <c r="K155">
        <v>0.20599999999999999</v>
      </c>
      <c r="L155">
        <f t="shared" si="10"/>
        <v>1.8688005644000001</v>
      </c>
    </row>
    <row r="156" spans="1:14" x14ac:dyDescent="0.2">
      <c r="A156" s="4">
        <v>43434</v>
      </c>
      <c r="B156" t="s">
        <v>538</v>
      </c>
      <c r="C156">
        <v>4</v>
      </c>
      <c r="D156">
        <v>2</v>
      </c>
      <c r="E156">
        <f>1.5*9.59</f>
        <v>14.385</v>
      </c>
      <c r="F156" t="s">
        <v>563</v>
      </c>
      <c r="G156" s="6" t="s">
        <v>980</v>
      </c>
      <c r="H156" s="9" t="s">
        <v>1071</v>
      </c>
      <c r="I156">
        <f t="shared" si="11"/>
        <v>115.08</v>
      </c>
      <c r="J156">
        <f t="shared" si="9"/>
        <v>52.199409939600002</v>
      </c>
      <c r="K156">
        <v>3.33</v>
      </c>
      <c r="L156">
        <f t="shared" si="10"/>
        <v>173.82403509886802</v>
      </c>
    </row>
    <row r="157" spans="1:14" x14ac:dyDescent="0.2">
      <c r="A157" s="4">
        <v>43437</v>
      </c>
      <c r="B157" t="s">
        <v>538</v>
      </c>
      <c r="C157">
        <v>1</v>
      </c>
      <c r="D157">
        <v>6</v>
      </c>
      <c r="E157">
        <v>7.125</v>
      </c>
      <c r="F157" t="s">
        <v>1007</v>
      </c>
      <c r="G157" s="6" t="s">
        <v>980</v>
      </c>
      <c r="H157" s="9" t="s">
        <v>1071</v>
      </c>
      <c r="I157">
        <f t="shared" si="11"/>
        <v>42.75</v>
      </c>
      <c r="J157">
        <f t="shared" si="9"/>
        <v>19.391073817500001</v>
      </c>
      <c r="K157">
        <v>3.33</v>
      </c>
      <c r="L157">
        <f t="shared" si="10"/>
        <v>64.572275812275009</v>
      </c>
    </row>
    <row r="158" spans="1:14" x14ac:dyDescent="0.2">
      <c r="A158" s="4">
        <v>43439</v>
      </c>
      <c r="B158" t="s">
        <v>538</v>
      </c>
      <c r="C158">
        <v>2</v>
      </c>
      <c r="D158">
        <v>6</v>
      </c>
      <c r="E158">
        <v>7.125</v>
      </c>
      <c r="F158" t="s">
        <v>1007</v>
      </c>
      <c r="G158" s="6" t="s">
        <v>980</v>
      </c>
      <c r="H158" s="9" t="s">
        <v>1071</v>
      </c>
      <c r="I158">
        <f t="shared" si="11"/>
        <v>85.5</v>
      </c>
      <c r="J158">
        <f t="shared" si="9"/>
        <v>38.782147635000001</v>
      </c>
      <c r="K158">
        <v>3.33</v>
      </c>
      <c r="L158">
        <f t="shared" si="10"/>
        <v>129.14455162455002</v>
      </c>
    </row>
    <row r="159" spans="1:14" x14ac:dyDescent="0.2">
      <c r="A159" s="4">
        <v>43434</v>
      </c>
      <c r="B159" t="s">
        <v>538</v>
      </c>
      <c r="C159">
        <v>2</v>
      </c>
      <c r="D159">
        <v>2</v>
      </c>
      <c r="E159">
        <f>105/16</f>
        <v>6.5625</v>
      </c>
      <c r="F159" t="s">
        <v>561</v>
      </c>
      <c r="G159" s="6" t="s">
        <v>980</v>
      </c>
      <c r="H159" s="9" t="s">
        <v>1071</v>
      </c>
      <c r="I159">
        <f t="shared" si="11"/>
        <v>26.25</v>
      </c>
      <c r="J159">
        <f t="shared" si="9"/>
        <v>11.9067997125</v>
      </c>
      <c r="K159">
        <v>3.33</v>
      </c>
      <c r="L159">
        <f t="shared" si="10"/>
        <v>39.649643042625001</v>
      </c>
    </row>
    <row r="160" spans="1:14" x14ac:dyDescent="0.2">
      <c r="A160" s="4">
        <v>43439</v>
      </c>
      <c r="B160" t="s">
        <v>538</v>
      </c>
      <c r="C160">
        <v>1</v>
      </c>
      <c r="D160">
        <v>4</v>
      </c>
      <c r="E160">
        <f>105/16</f>
        <v>6.5625</v>
      </c>
      <c r="F160" t="s">
        <v>456</v>
      </c>
      <c r="G160" s="6" t="s">
        <v>980</v>
      </c>
      <c r="H160" s="9" t="s">
        <v>1071</v>
      </c>
      <c r="I160">
        <f t="shared" si="11"/>
        <v>26.25</v>
      </c>
      <c r="J160">
        <f t="shared" si="9"/>
        <v>11.9067997125</v>
      </c>
      <c r="K160">
        <v>3.33</v>
      </c>
      <c r="L160">
        <f t="shared" si="10"/>
        <v>39.649643042625001</v>
      </c>
      <c r="N160">
        <v>4.172698091</v>
      </c>
    </row>
    <row r="161" spans="1:19" x14ac:dyDescent="0.2">
      <c r="A161" s="4">
        <v>43434</v>
      </c>
      <c r="B161" t="s">
        <v>538</v>
      </c>
      <c r="C161">
        <v>1</v>
      </c>
      <c r="D161">
        <v>6</v>
      </c>
      <c r="E161">
        <v>5</v>
      </c>
      <c r="F161" t="s">
        <v>549</v>
      </c>
      <c r="G161" s="6" t="s">
        <v>980</v>
      </c>
      <c r="H161" s="9" t="s">
        <v>1071</v>
      </c>
      <c r="I161">
        <f t="shared" si="11"/>
        <v>30</v>
      </c>
      <c r="J161">
        <f t="shared" si="9"/>
        <v>13.607771100000001</v>
      </c>
      <c r="K161">
        <v>3.33</v>
      </c>
      <c r="L161">
        <f t="shared" si="10"/>
        <v>45.313877763000001</v>
      </c>
    </row>
    <row r="162" spans="1:19" x14ac:dyDescent="0.2">
      <c r="A162" s="4">
        <v>43437</v>
      </c>
      <c r="B162" t="s">
        <v>538</v>
      </c>
      <c r="C162">
        <v>1</v>
      </c>
      <c r="D162">
        <v>4</v>
      </c>
      <c r="E162">
        <f>1.13*10.16</f>
        <v>11.480799999999999</v>
      </c>
      <c r="F162" t="s">
        <v>572</v>
      </c>
      <c r="G162" s="6" t="s">
        <v>980</v>
      </c>
      <c r="H162" s="9" t="s">
        <v>1071</v>
      </c>
      <c r="I162">
        <f t="shared" si="11"/>
        <v>45.923199999999994</v>
      </c>
      <c r="J162">
        <f t="shared" si="9"/>
        <v>20.830413125983998</v>
      </c>
      <c r="K162">
        <v>3.33</v>
      </c>
      <c r="L162">
        <f t="shared" si="10"/>
        <v>69.365275709526713</v>
      </c>
    </row>
    <row r="163" spans="1:19" x14ac:dyDescent="0.2">
      <c r="A163" s="4">
        <v>43437</v>
      </c>
      <c r="B163" t="s">
        <v>538</v>
      </c>
      <c r="C163">
        <v>1</v>
      </c>
      <c r="D163">
        <v>12</v>
      </c>
      <c r="E163">
        <v>1.5625</v>
      </c>
      <c r="F163" t="s">
        <v>449</v>
      </c>
      <c r="G163" s="6" t="s">
        <v>980</v>
      </c>
      <c r="H163" s="9" t="s">
        <v>1071</v>
      </c>
      <c r="I163">
        <f t="shared" si="11"/>
        <v>18.75</v>
      </c>
      <c r="J163">
        <f t="shared" si="9"/>
        <v>8.5048569375000014</v>
      </c>
      <c r="K163">
        <v>3.33</v>
      </c>
      <c r="L163">
        <f t="shared" si="10"/>
        <v>28.321173601875007</v>
      </c>
    </row>
    <row r="164" spans="1:19" x14ac:dyDescent="0.2">
      <c r="A164" s="4">
        <v>43437</v>
      </c>
      <c r="B164" t="s">
        <v>538</v>
      </c>
      <c r="C164">
        <v>1</v>
      </c>
      <c r="D164">
        <v>4</v>
      </c>
      <c r="E164">
        <f>1.13*10.16</f>
        <v>11.480799999999999</v>
      </c>
      <c r="F164" t="s">
        <v>584</v>
      </c>
      <c r="G164" s="6" t="s">
        <v>980</v>
      </c>
      <c r="H164" s="9" t="s">
        <v>1071</v>
      </c>
      <c r="I164">
        <f t="shared" si="11"/>
        <v>45.923199999999994</v>
      </c>
      <c r="J164">
        <f t="shared" si="9"/>
        <v>20.830413125983998</v>
      </c>
      <c r="K164">
        <v>3.33</v>
      </c>
      <c r="L164">
        <f t="shared" si="10"/>
        <v>69.365275709526713</v>
      </c>
    </row>
    <row r="165" spans="1:19" ht="17" thickBot="1" x14ac:dyDescent="0.25">
      <c r="A165" s="4">
        <v>43437</v>
      </c>
      <c r="B165" t="s">
        <v>538</v>
      </c>
      <c r="C165">
        <v>2</v>
      </c>
      <c r="D165">
        <v>4</v>
      </c>
      <c r="E165">
        <f>1.13*11.68</f>
        <v>13.198399999999998</v>
      </c>
      <c r="F165" t="s">
        <v>585</v>
      </c>
      <c r="G165" s="6" t="s">
        <v>980</v>
      </c>
      <c r="H165" s="9" t="s">
        <v>1071</v>
      </c>
      <c r="I165">
        <f t="shared" si="11"/>
        <v>105.58719999999998</v>
      </c>
      <c r="J165">
        <f t="shared" si="9"/>
        <v>47.893548289663997</v>
      </c>
      <c r="K165">
        <v>3.33</v>
      </c>
      <c r="L165">
        <f t="shared" si="10"/>
        <v>159.48551580458113</v>
      </c>
      <c r="N165" s="16" t="s">
        <v>137</v>
      </c>
      <c r="O165" s="16" t="s">
        <v>138</v>
      </c>
      <c r="P165" s="16" t="s">
        <v>139</v>
      </c>
      <c r="Q165" s="16" t="s">
        <v>140</v>
      </c>
      <c r="R165" s="16" t="s">
        <v>141</v>
      </c>
      <c r="S165" s="16" t="s">
        <v>142</v>
      </c>
    </row>
    <row r="166" spans="1:19" x14ac:dyDescent="0.2">
      <c r="A166" s="4">
        <v>43439</v>
      </c>
      <c r="B166" t="s">
        <v>538</v>
      </c>
      <c r="C166">
        <v>1</v>
      </c>
      <c r="D166">
        <v>24</v>
      </c>
      <c r="E166">
        <v>0.3125</v>
      </c>
      <c r="F166" t="s">
        <v>585</v>
      </c>
      <c r="G166" s="6" t="s">
        <v>980</v>
      </c>
      <c r="H166" s="9" t="s">
        <v>1071</v>
      </c>
      <c r="I166">
        <f t="shared" si="11"/>
        <v>7.5</v>
      </c>
      <c r="J166">
        <f t="shared" si="9"/>
        <v>3.4019427750000002</v>
      </c>
      <c r="K166">
        <v>3.33</v>
      </c>
      <c r="L166">
        <f t="shared" si="10"/>
        <v>11.32846944075</v>
      </c>
      <c r="N166" s="17">
        <f>O166*Q166</f>
        <v>4.1726980906379181</v>
      </c>
      <c r="O166" s="18">
        <f>((R166)*P166)/S166</f>
        <v>0.83453961812758359</v>
      </c>
      <c r="P166">
        <v>2.20462E-3</v>
      </c>
      <c r="Q166" s="19">
        <v>5</v>
      </c>
      <c r="R166" s="19">
        <v>0.1</v>
      </c>
      <c r="S166">
        <v>2.6417200000000002E-4</v>
      </c>
    </row>
    <row r="167" spans="1:19" x14ac:dyDescent="0.2">
      <c r="A167" s="4">
        <v>43439</v>
      </c>
      <c r="B167" t="s">
        <v>538</v>
      </c>
      <c r="C167">
        <v>1</v>
      </c>
      <c r="D167">
        <v>24</v>
      </c>
      <c r="E167">
        <f>6/16</f>
        <v>0.375</v>
      </c>
      <c r="F167" t="s">
        <v>594</v>
      </c>
      <c r="G167" s="6" t="s">
        <v>980</v>
      </c>
      <c r="H167" s="9" t="s">
        <v>1071</v>
      </c>
      <c r="I167">
        <f t="shared" si="11"/>
        <v>9</v>
      </c>
      <c r="J167">
        <f t="shared" si="9"/>
        <v>4.0823313299999997</v>
      </c>
      <c r="K167">
        <v>3.33</v>
      </c>
      <c r="L167">
        <f t="shared" si="10"/>
        <v>13.594163328899999</v>
      </c>
      <c r="N167" s="20"/>
      <c r="O167" s="21"/>
      <c r="P167" s="9"/>
      <c r="Q167" s="22"/>
      <c r="R167" s="22"/>
      <c r="S167" s="9"/>
    </row>
    <row r="168" spans="1:19" ht="17" thickBot="1" x14ac:dyDescent="0.25">
      <c r="A168" s="4">
        <v>43439</v>
      </c>
      <c r="B168" t="s">
        <v>538</v>
      </c>
      <c r="C168">
        <v>1</v>
      </c>
      <c r="D168">
        <v>12</v>
      </c>
      <c r="E168">
        <v>1.5625</v>
      </c>
      <c r="F168" t="s">
        <v>449</v>
      </c>
      <c r="G168" s="6" t="s">
        <v>980</v>
      </c>
      <c r="H168" s="9" t="s">
        <v>1071</v>
      </c>
      <c r="I168">
        <f t="shared" si="11"/>
        <v>18.75</v>
      </c>
      <c r="J168">
        <f t="shared" si="9"/>
        <v>8.5048569375000014</v>
      </c>
      <c r="K168">
        <v>3.33</v>
      </c>
      <c r="L168">
        <f t="shared" si="10"/>
        <v>28.321173601875007</v>
      </c>
      <c r="N168" s="16" t="s">
        <v>137</v>
      </c>
      <c r="O168" s="16" t="s">
        <v>144</v>
      </c>
      <c r="P168" s="16" t="s">
        <v>139</v>
      </c>
      <c r="Q168" s="16" t="s">
        <v>145</v>
      </c>
      <c r="R168" s="16" t="s">
        <v>141</v>
      </c>
      <c r="S168" s="16" t="s">
        <v>146</v>
      </c>
    </row>
    <row r="169" spans="1:19" x14ac:dyDescent="0.2">
      <c r="A169" s="4">
        <v>43439</v>
      </c>
      <c r="B169" t="s">
        <v>538</v>
      </c>
      <c r="C169">
        <v>1</v>
      </c>
      <c r="D169">
        <v>12</v>
      </c>
      <c r="E169">
        <v>10.4375</v>
      </c>
      <c r="F169" t="s">
        <v>460</v>
      </c>
      <c r="G169" s="6" t="s">
        <v>980</v>
      </c>
      <c r="H169" s="9" t="s">
        <v>1071</v>
      </c>
      <c r="I169">
        <f t="shared" si="11"/>
        <v>125.25</v>
      </c>
      <c r="J169">
        <f t="shared" si="9"/>
        <v>56.812444342500001</v>
      </c>
      <c r="K169">
        <v>3.33</v>
      </c>
      <c r="L169">
        <f t="shared" si="10"/>
        <v>189.18543966052502</v>
      </c>
      <c r="N169" s="23">
        <f>O169*Q169</f>
        <v>2.1280719984101295</v>
      </c>
      <c r="O169" s="24">
        <f>((R169)*P169)/S169</f>
        <v>2.1280719984101295</v>
      </c>
      <c r="P169">
        <v>2.20462E-3</v>
      </c>
      <c r="Q169" s="25">
        <v>1</v>
      </c>
      <c r="R169" s="25">
        <v>1.02</v>
      </c>
      <c r="S169">
        <v>1.0566900000000001E-3</v>
      </c>
    </row>
    <row r="170" spans="1:19" x14ac:dyDescent="0.2">
      <c r="A170" s="4">
        <v>43434</v>
      </c>
      <c r="B170" t="s">
        <v>538</v>
      </c>
      <c r="C170">
        <v>4</v>
      </c>
      <c r="D170">
        <v>4</v>
      </c>
      <c r="E170">
        <v>7.79</v>
      </c>
      <c r="F170" t="s">
        <v>543</v>
      </c>
      <c r="G170" s="6" t="s">
        <v>1089</v>
      </c>
      <c r="H170" s="9" t="s">
        <v>1073</v>
      </c>
      <c r="I170">
        <f t="shared" si="11"/>
        <v>124.64</v>
      </c>
      <c r="J170">
        <f t="shared" si="9"/>
        <v>56.535752996799999</v>
      </c>
      <c r="K170">
        <v>3.33</v>
      </c>
      <c r="L170">
        <f t="shared" si="10"/>
        <v>188.26405747934399</v>
      </c>
    </row>
    <row r="171" spans="1:19" x14ac:dyDescent="0.2">
      <c r="A171" s="4">
        <v>43439</v>
      </c>
      <c r="B171" t="s">
        <v>538</v>
      </c>
      <c r="C171">
        <v>3</v>
      </c>
      <c r="D171">
        <v>4</v>
      </c>
      <c r="E171">
        <v>7.79</v>
      </c>
      <c r="F171" t="s">
        <v>543</v>
      </c>
      <c r="G171" s="6" t="s">
        <v>1089</v>
      </c>
      <c r="H171" s="9" t="s">
        <v>1073</v>
      </c>
      <c r="I171">
        <f t="shared" si="11"/>
        <v>93.48</v>
      </c>
      <c r="J171">
        <f t="shared" si="9"/>
        <v>42.4018147476</v>
      </c>
      <c r="K171">
        <v>3.33</v>
      </c>
      <c r="L171">
        <f t="shared" si="10"/>
        <v>141.19804310950801</v>
      </c>
    </row>
    <row r="172" spans="1:19" x14ac:dyDescent="0.2">
      <c r="A172" s="4">
        <v>43437</v>
      </c>
      <c r="B172" t="s">
        <v>531</v>
      </c>
      <c r="C172">
        <v>3</v>
      </c>
      <c r="D172">
        <v>1</v>
      </c>
      <c r="E172">
        <v>30</v>
      </c>
      <c r="F172" t="s">
        <v>411</v>
      </c>
      <c r="G172" t="s">
        <v>849</v>
      </c>
      <c r="H172" s="6" t="s">
        <v>1071</v>
      </c>
      <c r="I172">
        <f t="shared" si="11"/>
        <v>90</v>
      </c>
      <c r="J172">
        <f t="shared" si="9"/>
        <v>40.823313300000002</v>
      </c>
      <c r="K172">
        <v>0.75700000000000001</v>
      </c>
      <c r="L172">
        <f t="shared" si="10"/>
        <v>30.903248168100003</v>
      </c>
    </row>
    <row r="173" spans="1:19" x14ac:dyDescent="0.2">
      <c r="A173" s="4">
        <v>43439</v>
      </c>
      <c r="B173" t="s">
        <v>531</v>
      </c>
      <c r="C173">
        <v>1</v>
      </c>
      <c r="D173">
        <v>1</v>
      </c>
      <c r="E173">
        <v>30</v>
      </c>
      <c r="F173" t="s">
        <v>411</v>
      </c>
      <c r="G173" t="s">
        <v>849</v>
      </c>
      <c r="H173" s="6" t="s">
        <v>1071</v>
      </c>
      <c r="I173">
        <f t="shared" si="11"/>
        <v>30</v>
      </c>
      <c r="J173">
        <f t="shared" si="9"/>
        <v>13.607771100000001</v>
      </c>
      <c r="K173">
        <v>0.75700000000000001</v>
      </c>
      <c r="L173">
        <f t="shared" si="10"/>
        <v>10.3010827227</v>
      </c>
    </row>
    <row r="174" spans="1:19" x14ac:dyDescent="0.2">
      <c r="A174" s="4">
        <v>43434</v>
      </c>
      <c r="B174" t="s">
        <v>525</v>
      </c>
      <c r="C174">
        <v>12</v>
      </c>
      <c r="D174">
        <v>1</v>
      </c>
      <c r="E174">
        <v>10</v>
      </c>
      <c r="F174" t="s">
        <v>526</v>
      </c>
      <c r="G174" s="9" t="s">
        <v>889</v>
      </c>
      <c r="H174" s="9" t="s">
        <v>1072</v>
      </c>
      <c r="I174">
        <f t="shared" si="11"/>
        <v>120</v>
      </c>
      <c r="J174">
        <f t="shared" si="9"/>
        <v>54.431084400000003</v>
      </c>
      <c r="K174">
        <v>32.845999999999997</v>
      </c>
      <c r="L174">
        <f t="shared" si="10"/>
        <v>1787.8433982023998</v>
      </c>
    </row>
    <row r="175" spans="1:19" x14ac:dyDescent="0.2">
      <c r="A175" s="4">
        <v>43439</v>
      </c>
      <c r="B175" t="s">
        <v>538</v>
      </c>
      <c r="C175">
        <v>1</v>
      </c>
      <c r="D175">
        <v>12</v>
      </c>
      <c r="E175" t="s">
        <v>407</v>
      </c>
      <c r="F175" t="s">
        <v>542</v>
      </c>
      <c r="G175" s="14" t="s">
        <v>916</v>
      </c>
      <c r="H175" t="s">
        <v>1071</v>
      </c>
      <c r="I175">
        <v>0</v>
      </c>
      <c r="J175">
        <f t="shared" si="9"/>
        <v>0</v>
      </c>
      <c r="K175">
        <v>0.55000000000000004</v>
      </c>
      <c r="L175">
        <f t="shared" si="10"/>
        <v>0</v>
      </c>
    </row>
    <row r="176" spans="1:19" x14ac:dyDescent="0.2">
      <c r="A176" s="4">
        <v>43437</v>
      </c>
      <c r="B176" t="s">
        <v>538</v>
      </c>
      <c r="C176">
        <v>1</v>
      </c>
      <c r="D176">
        <v>1</v>
      </c>
      <c r="E176">
        <v>25</v>
      </c>
      <c r="F176" t="s">
        <v>573</v>
      </c>
      <c r="G176" t="s">
        <v>916</v>
      </c>
      <c r="H176" s="9" t="s">
        <v>1071</v>
      </c>
      <c r="I176">
        <f>C176*D176*E176</f>
        <v>25</v>
      </c>
      <c r="J176">
        <f t="shared" si="9"/>
        <v>11.33980925</v>
      </c>
      <c r="K176">
        <v>0.55000000000000004</v>
      </c>
      <c r="L176">
        <f t="shared" si="10"/>
        <v>6.2368950875000007</v>
      </c>
    </row>
    <row r="177" spans="1:12" x14ac:dyDescent="0.2">
      <c r="A177" s="4">
        <v>43437</v>
      </c>
      <c r="B177" t="s">
        <v>538</v>
      </c>
      <c r="C177">
        <v>1</v>
      </c>
      <c r="D177">
        <v>6</v>
      </c>
      <c r="E177">
        <v>5</v>
      </c>
      <c r="F177" t="s">
        <v>579</v>
      </c>
      <c r="G177" s="14" t="s">
        <v>916</v>
      </c>
      <c r="H177" s="9" t="s">
        <v>1071</v>
      </c>
      <c r="I177">
        <f>C177*D177*E177</f>
        <v>30</v>
      </c>
      <c r="J177">
        <f t="shared" si="9"/>
        <v>13.607771100000001</v>
      </c>
      <c r="K177">
        <v>0.55000000000000004</v>
      </c>
      <c r="L177">
        <f t="shared" si="10"/>
        <v>7.4842741050000008</v>
      </c>
    </row>
    <row r="178" spans="1:12" x14ac:dyDescent="0.2">
      <c r="A178" s="4">
        <v>43439</v>
      </c>
      <c r="B178" t="s">
        <v>538</v>
      </c>
      <c r="C178">
        <v>1</v>
      </c>
      <c r="D178">
        <v>24</v>
      </c>
      <c r="E178">
        <v>1</v>
      </c>
      <c r="F178" t="s">
        <v>433</v>
      </c>
      <c r="G178" t="s">
        <v>900</v>
      </c>
      <c r="H178" s="9" t="s">
        <v>1071</v>
      </c>
      <c r="I178">
        <f>C178*D178*E178</f>
        <v>24</v>
      </c>
      <c r="J178">
        <f t="shared" si="9"/>
        <v>10.886216880000001</v>
      </c>
      <c r="K178">
        <v>0.76</v>
      </c>
      <c r="L178">
        <f t="shared" si="10"/>
        <v>8.2735248288000012</v>
      </c>
    </row>
    <row r="179" spans="1:12" x14ac:dyDescent="0.2">
      <c r="A179" s="4">
        <v>43434</v>
      </c>
      <c r="B179" t="s">
        <v>538</v>
      </c>
      <c r="C179">
        <v>2</v>
      </c>
      <c r="D179">
        <v>24</v>
      </c>
      <c r="E179">
        <v>1</v>
      </c>
      <c r="F179" t="s">
        <v>433</v>
      </c>
      <c r="G179" t="s">
        <v>900</v>
      </c>
      <c r="H179" s="9" t="s">
        <v>1071</v>
      </c>
      <c r="I179">
        <f>C179*D179*E179</f>
        <v>48</v>
      </c>
      <c r="J179">
        <f t="shared" si="9"/>
        <v>21.772433760000002</v>
      </c>
      <c r="K179">
        <v>0.76</v>
      </c>
      <c r="L179">
        <f t="shared" si="10"/>
        <v>16.547049657600002</v>
      </c>
    </row>
    <row r="180" spans="1:12" x14ac:dyDescent="0.2">
      <c r="A180" s="10">
        <v>43348</v>
      </c>
      <c r="B180" s="8" t="s">
        <v>27</v>
      </c>
      <c r="C180">
        <v>1</v>
      </c>
      <c r="D180">
        <v>1</v>
      </c>
      <c r="E180" s="9">
        <v>50</v>
      </c>
      <c r="F180" s="9" t="s">
        <v>29</v>
      </c>
      <c r="G180" s="9" t="s">
        <v>29</v>
      </c>
      <c r="H180" s="8" t="s">
        <v>1071</v>
      </c>
      <c r="I180">
        <f>C180*D180*E180</f>
        <v>50</v>
      </c>
      <c r="J180" s="8">
        <f t="shared" si="9"/>
        <v>22.6796185</v>
      </c>
      <c r="K180">
        <v>0.55000000000000004</v>
      </c>
      <c r="L180">
        <f t="shared" si="10"/>
        <v>12.473790175000001</v>
      </c>
    </row>
    <row r="181" spans="1:12" x14ac:dyDescent="0.2">
      <c r="A181" s="4">
        <v>43439</v>
      </c>
      <c r="B181" t="s">
        <v>538</v>
      </c>
      <c r="C181">
        <v>1</v>
      </c>
      <c r="D181">
        <v>500</v>
      </c>
      <c r="E181" t="s">
        <v>1088</v>
      </c>
      <c r="F181" t="s">
        <v>430</v>
      </c>
      <c r="G181" s="14" t="s">
        <v>881</v>
      </c>
      <c r="H181" s="9" t="s">
        <v>1071</v>
      </c>
      <c r="I181">
        <v>0</v>
      </c>
      <c r="J181">
        <f t="shared" si="9"/>
        <v>0</v>
      </c>
      <c r="K181">
        <v>2.5299999999999998</v>
      </c>
      <c r="L181">
        <f t="shared" si="10"/>
        <v>0</v>
      </c>
    </row>
    <row r="182" spans="1:12" x14ac:dyDescent="0.2">
      <c r="A182" s="4">
        <v>43439</v>
      </c>
      <c r="B182" t="s">
        <v>538</v>
      </c>
      <c r="C182">
        <v>1</v>
      </c>
      <c r="D182">
        <v>150</v>
      </c>
      <c r="E182">
        <v>3.125E-2</v>
      </c>
      <c r="F182" t="s">
        <v>442</v>
      </c>
      <c r="G182" s="6" t="s">
        <v>881</v>
      </c>
      <c r="H182" s="9" t="s">
        <v>1071</v>
      </c>
      <c r="I182">
        <f t="shared" ref="I182:I245" si="12">C182*D182*E182</f>
        <v>4.6875</v>
      </c>
      <c r="J182">
        <f t="shared" si="9"/>
        <v>2.1262142343750003</v>
      </c>
      <c r="K182">
        <v>2.5299999999999998</v>
      </c>
      <c r="L182">
        <f t="shared" si="10"/>
        <v>5.3793220129687507</v>
      </c>
    </row>
    <row r="183" spans="1:12" x14ac:dyDescent="0.2">
      <c r="A183" s="4">
        <v>43437</v>
      </c>
      <c r="B183" t="s">
        <v>538</v>
      </c>
      <c r="C183">
        <v>1</v>
      </c>
      <c r="D183">
        <v>1</v>
      </c>
      <c r="E183">
        <v>10</v>
      </c>
      <c r="F183" t="s">
        <v>454</v>
      </c>
      <c r="G183" t="s">
        <v>879</v>
      </c>
      <c r="H183" s="9" t="s">
        <v>1071</v>
      </c>
      <c r="I183">
        <f t="shared" si="12"/>
        <v>10</v>
      </c>
      <c r="J183">
        <f t="shared" si="9"/>
        <v>4.5359237000000006</v>
      </c>
      <c r="K183">
        <v>1.4179999999999999</v>
      </c>
      <c r="L183">
        <f t="shared" si="10"/>
        <v>6.4319398066000009</v>
      </c>
    </row>
    <row r="184" spans="1:12" x14ac:dyDescent="0.2">
      <c r="A184" s="4">
        <v>43434</v>
      </c>
      <c r="B184" t="s">
        <v>517</v>
      </c>
      <c r="C184">
        <v>1</v>
      </c>
      <c r="D184">
        <v>1</v>
      </c>
      <c r="E184">
        <v>2</v>
      </c>
      <c r="F184" t="s">
        <v>380</v>
      </c>
      <c r="G184" t="s">
        <v>841</v>
      </c>
      <c r="H184" s="9" t="s">
        <v>1073</v>
      </c>
      <c r="I184">
        <f t="shared" si="12"/>
        <v>2</v>
      </c>
      <c r="J184">
        <f t="shared" si="9"/>
        <v>0.90718474000000004</v>
      </c>
      <c r="K184">
        <v>5.32</v>
      </c>
      <c r="L184">
        <f t="shared" si="10"/>
        <v>4.8262228168000005</v>
      </c>
    </row>
    <row r="185" spans="1:12" x14ac:dyDescent="0.2">
      <c r="A185" s="4">
        <v>43439</v>
      </c>
      <c r="B185" t="s">
        <v>517</v>
      </c>
      <c r="C185">
        <v>1</v>
      </c>
      <c r="D185">
        <v>1</v>
      </c>
      <c r="E185">
        <v>2</v>
      </c>
      <c r="F185" t="s">
        <v>380</v>
      </c>
      <c r="G185" t="s">
        <v>841</v>
      </c>
      <c r="H185" s="9" t="s">
        <v>1073</v>
      </c>
      <c r="I185">
        <f t="shared" si="12"/>
        <v>2</v>
      </c>
      <c r="J185">
        <f t="shared" si="9"/>
        <v>0.90718474000000004</v>
      </c>
      <c r="K185">
        <v>5.32</v>
      </c>
      <c r="L185">
        <f t="shared" si="10"/>
        <v>4.8262228168000005</v>
      </c>
    </row>
    <row r="186" spans="1:12" x14ac:dyDescent="0.2">
      <c r="A186" s="4">
        <v>43343</v>
      </c>
      <c r="B186" s="6" t="s">
        <v>1074</v>
      </c>
      <c r="C186">
        <v>1</v>
      </c>
      <c r="D186" s="8">
        <v>1</v>
      </c>
      <c r="E186">
        <f>(10/9)*50*2</f>
        <v>111.11111111111111</v>
      </c>
      <c r="F186" t="s">
        <v>89</v>
      </c>
      <c r="G186" t="s">
        <v>89</v>
      </c>
      <c r="H186" s="8" t="s">
        <v>1071</v>
      </c>
      <c r="I186">
        <f t="shared" si="12"/>
        <v>111.11111111111111</v>
      </c>
      <c r="J186" s="8">
        <f t="shared" si="9"/>
        <v>50.399152222222227</v>
      </c>
      <c r="K186">
        <v>0.40899999999999997</v>
      </c>
      <c r="L186">
        <f t="shared" si="10"/>
        <v>20.613253258888889</v>
      </c>
    </row>
    <row r="187" spans="1:12" x14ac:dyDescent="0.2">
      <c r="A187" s="4">
        <v>43346</v>
      </c>
      <c r="B187" s="6" t="s">
        <v>1074</v>
      </c>
      <c r="C187">
        <v>1</v>
      </c>
      <c r="D187" s="8">
        <v>1</v>
      </c>
      <c r="E187">
        <f>10/9*(50)</f>
        <v>55.555555555555557</v>
      </c>
      <c r="F187" t="s">
        <v>134</v>
      </c>
      <c r="G187" s="15" t="s">
        <v>89</v>
      </c>
      <c r="H187" s="8" t="s">
        <v>1071</v>
      </c>
      <c r="I187">
        <f t="shared" si="12"/>
        <v>55.555555555555557</v>
      </c>
      <c r="J187" s="8">
        <f t="shared" si="9"/>
        <v>25.199576111111114</v>
      </c>
      <c r="K187">
        <v>0.40899999999999997</v>
      </c>
      <c r="L187">
        <f t="shared" si="10"/>
        <v>10.306626629444445</v>
      </c>
    </row>
    <row r="188" spans="1:12" x14ac:dyDescent="0.2">
      <c r="A188" s="4">
        <v>43347</v>
      </c>
      <c r="B188" s="6" t="s">
        <v>1074</v>
      </c>
      <c r="C188">
        <v>1</v>
      </c>
      <c r="D188" s="8">
        <v>1</v>
      </c>
      <c r="E188">
        <f>(10/9)*50</f>
        <v>55.555555555555557</v>
      </c>
      <c r="F188" t="s">
        <v>134</v>
      </c>
      <c r="G188" s="15" t="s">
        <v>89</v>
      </c>
      <c r="H188" s="8" t="s">
        <v>1071</v>
      </c>
      <c r="I188">
        <f t="shared" si="12"/>
        <v>55.555555555555557</v>
      </c>
      <c r="J188" s="8">
        <f t="shared" si="9"/>
        <v>25.199576111111114</v>
      </c>
      <c r="K188">
        <v>0.40899999999999997</v>
      </c>
      <c r="L188">
        <f t="shared" si="10"/>
        <v>10.306626629444445</v>
      </c>
    </row>
    <row r="189" spans="1:12" x14ac:dyDescent="0.2">
      <c r="A189" s="4">
        <v>43348</v>
      </c>
      <c r="B189" s="6" t="s">
        <v>1074</v>
      </c>
      <c r="C189">
        <v>1</v>
      </c>
      <c r="D189" s="8">
        <v>1</v>
      </c>
      <c r="E189">
        <f>10/9*50</f>
        <v>55.555555555555557</v>
      </c>
      <c r="F189" t="s">
        <v>89</v>
      </c>
      <c r="G189" t="s">
        <v>89</v>
      </c>
      <c r="H189" s="8" t="s">
        <v>1071</v>
      </c>
      <c r="I189">
        <f t="shared" si="12"/>
        <v>55.555555555555557</v>
      </c>
      <c r="J189" s="8">
        <f t="shared" si="9"/>
        <v>25.199576111111114</v>
      </c>
      <c r="K189">
        <v>0.40899999999999997</v>
      </c>
      <c r="L189">
        <f t="shared" si="10"/>
        <v>10.306626629444445</v>
      </c>
    </row>
    <row r="190" spans="1:12" x14ac:dyDescent="0.2">
      <c r="A190" s="4">
        <v>43349</v>
      </c>
      <c r="B190" s="6" t="s">
        <v>1074</v>
      </c>
      <c r="C190">
        <v>1</v>
      </c>
      <c r="D190" s="8">
        <v>1</v>
      </c>
      <c r="E190">
        <f>10/9*50</f>
        <v>55.555555555555557</v>
      </c>
      <c r="F190" t="s">
        <v>89</v>
      </c>
      <c r="G190" t="s">
        <v>89</v>
      </c>
      <c r="H190" s="8" t="s">
        <v>1071</v>
      </c>
      <c r="I190">
        <f t="shared" si="12"/>
        <v>55.555555555555557</v>
      </c>
      <c r="J190" s="8">
        <f t="shared" si="9"/>
        <v>25.199576111111114</v>
      </c>
      <c r="K190">
        <v>0.40899999999999997</v>
      </c>
      <c r="L190">
        <f t="shared" si="10"/>
        <v>10.306626629444445</v>
      </c>
    </row>
    <row r="191" spans="1:12" x14ac:dyDescent="0.2">
      <c r="A191" s="4">
        <v>43439</v>
      </c>
      <c r="B191" t="s">
        <v>538</v>
      </c>
      <c r="C191">
        <v>2</v>
      </c>
      <c r="D191">
        <v>4</v>
      </c>
      <c r="E191">
        <v>8.35</v>
      </c>
      <c r="F191" t="s">
        <v>595</v>
      </c>
      <c r="G191" t="s">
        <v>89</v>
      </c>
      <c r="H191" s="9" t="s">
        <v>1071</v>
      </c>
      <c r="I191">
        <f t="shared" si="12"/>
        <v>66.8</v>
      </c>
      <c r="J191">
        <f t="shared" si="9"/>
        <v>30.299970316</v>
      </c>
      <c r="K191">
        <v>0.40899999999999997</v>
      </c>
      <c r="L191">
        <f t="shared" si="10"/>
        <v>12.392687859243999</v>
      </c>
    </row>
    <row r="192" spans="1:12" x14ac:dyDescent="0.2">
      <c r="A192" s="4">
        <v>43343</v>
      </c>
      <c r="B192" s="6" t="s">
        <v>1074</v>
      </c>
      <c r="C192">
        <v>1</v>
      </c>
      <c r="D192" s="8">
        <v>1</v>
      </c>
      <c r="E192">
        <f>1</f>
        <v>1</v>
      </c>
      <c r="F192" t="s">
        <v>95</v>
      </c>
      <c r="G192" t="s">
        <v>95</v>
      </c>
      <c r="H192" s="8" t="s">
        <v>1071</v>
      </c>
      <c r="I192">
        <f t="shared" si="12"/>
        <v>1</v>
      </c>
      <c r="J192" s="8">
        <f t="shared" si="9"/>
        <v>0.45359237000000002</v>
      </c>
      <c r="K192">
        <v>0.87</v>
      </c>
      <c r="L192">
        <f t="shared" si="10"/>
        <v>0.39462536190000003</v>
      </c>
    </row>
    <row r="193" spans="1:12" x14ac:dyDescent="0.2">
      <c r="A193" s="4">
        <v>43434</v>
      </c>
      <c r="B193" t="s">
        <v>517</v>
      </c>
      <c r="C193">
        <v>12</v>
      </c>
      <c r="D193">
        <v>2</v>
      </c>
      <c r="E193">
        <v>20</v>
      </c>
      <c r="F193" t="s">
        <v>381</v>
      </c>
      <c r="G193" t="s">
        <v>843</v>
      </c>
      <c r="H193" s="9" t="s">
        <v>1073</v>
      </c>
      <c r="I193">
        <f t="shared" si="12"/>
        <v>480</v>
      </c>
      <c r="J193">
        <f t="shared" si="9"/>
        <v>217.72433760000001</v>
      </c>
      <c r="K193">
        <v>3.754</v>
      </c>
      <c r="L193">
        <f t="shared" si="10"/>
        <v>817.33716335040003</v>
      </c>
    </row>
    <row r="194" spans="1:12" x14ac:dyDescent="0.2">
      <c r="A194" s="4">
        <v>43434</v>
      </c>
      <c r="B194" t="s">
        <v>517</v>
      </c>
      <c r="C194">
        <v>1</v>
      </c>
      <c r="D194">
        <v>15</v>
      </c>
      <c r="E194">
        <v>2</v>
      </c>
      <c r="F194" t="s">
        <v>385</v>
      </c>
      <c r="G194" t="s">
        <v>843</v>
      </c>
      <c r="H194" s="9" t="s">
        <v>1073</v>
      </c>
      <c r="I194">
        <f t="shared" si="12"/>
        <v>30</v>
      </c>
      <c r="J194">
        <f t="shared" si="9"/>
        <v>13.607771100000001</v>
      </c>
      <c r="K194">
        <v>3.754</v>
      </c>
      <c r="L194">
        <f t="shared" si="10"/>
        <v>51.083572709400002</v>
      </c>
    </row>
    <row r="195" spans="1:12" x14ac:dyDescent="0.2">
      <c r="A195" s="4">
        <v>43434</v>
      </c>
      <c r="B195" t="s">
        <v>517</v>
      </c>
      <c r="C195">
        <v>2</v>
      </c>
      <c r="D195">
        <v>15</v>
      </c>
      <c r="E195">
        <f>24/16</f>
        <v>1.5</v>
      </c>
      <c r="F195" t="s">
        <v>386</v>
      </c>
      <c r="G195" t="s">
        <v>843</v>
      </c>
      <c r="H195" s="9" t="s">
        <v>1073</v>
      </c>
      <c r="I195">
        <f t="shared" si="12"/>
        <v>45</v>
      </c>
      <c r="J195">
        <f t="shared" ref="J195:J258" si="13">CONVERT(I195,"lbm","kg")</f>
        <v>20.411656650000001</v>
      </c>
      <c r="K195">
        <v>3.754</v>
      </c>
      <c r="L195">
        <f t="shared" ref="L195:L258" si="14">J195*K195</f>
        <v>76.62535906410001</v>
      </c>
    </row>
    <row r="196" spans="1:12" x14ac:dyDescent="0.2">
      <c r="A196" s="4">
        <v>43437</v>
      </c>
      <c r="B196" t="s">
        <v>517</v>
      </c>
      <c r="C196">
        <v>13</v>
      </c>
      <c r="D196">
        <v>2</v>
      </c>
      <c r="E196">
        <v>20</v>
      </c>
      <c r="F196" t="s">
        <v>381</v>
      </c>
      <c r="G196" t="s">
        <v>843</v>
      </c>
      <c r="H196" s="9" t="s">
        <v>1073</v>
      </c>
      <c r="I196">
        <f t="shared" si="12"/>
        <v>520</v>
      </c>
      <c r="J196">
        <f t="shared" si="13"/>
        <v>235.8680324</v>
      </c>
      <c r="K196">
        <v>3.754</v>
      </c>
      <c r="L196">
        <f t="shared" si="14"/>
        <v>885.44859362960005</v>
      </c>
    </row>
    <row r="197" spans="1:12" x14ac:dyDescent="0.2">
      <c r="A197" s="4">
        <v>43437</v>
      </c>
      <c r="B197" t="s">
        <v>517</v>
      </c>
      <c r="C197">
        <v>2</v>
      </c>
      <c r="D197">
        <v>15</v>
      </c>
      <c r="E197">
        <v>2</v>
      </c>
      <c r="F197" t="s">
        <v>385</v>
      </c>
      <c r="G197" t="s">
        <v>843</v>
      </c>
      <c r="H197" s="9" t="s">
        <v>1073</v>
      </c>
      <c r="I197">
        <f t="shared" si="12"/>
        <v>60</v>
      </c>
      <c r="J197">
        <f t="shared" si="13"/>
        <v>27.215542200000002</v>
      </c>
      <c r="K197">
        <v>3.754</v>
      </c>
      <c r="L197">
        <f t="shared" si="14"/>
        <v>102.1671454188</v>
      </c>
    </row>
    <row r="198" spans="1:12" x14ac:dyDescent="0.2">
      <c r="A198" s="4">
        <v>43439</v>
      </c>
      <c r="B198" t="s">
        <v>517</v>
      </c>
      <c r="C198">
        <v>8</v>
      </c>
      <c r="D198">
        <v>2</v>
      </c>
      <c r="E198">
        <v>20</v>
      </c>
      <c r="F198" t="s">
        <v>381</v>
      </c>
      <c r="G198" t="s">
        <v>843</v>
      </c>
      <c r="H198" s="9" t="s">
        <v>1073</v>
      </c>
      <c r="I198">
        <f t="shared" si="12"/>
        <v>320</v>
      </c>
      <c r="J198">
        <f t="shared" si="13"/>
        <v>145.14955840000002</v>
      </c>
      <c r="K198">
        <v>3.754</v>
      </c>
      <c r="L198">
        <f t="shared" si="14"/>
        <v>544.89144223360006</v>
      </c>
    </row>
    <row r="199" spans="1:12" x14ac:dyDescent="0.2">
      <c r="A199" s="4">
        <v>43439</v>
      </c>
      <c r="B199" t="s">
        <v>517</v>
      </c>
      <c r="C199">
        <v>2</v>
      </c>
      <c r="D199">
        <v>15</v>
      </c>
      <c r="E199">
        <v>2</v>
      </c>
      <c r="F199" t="s">
        <v>385</v>
      </c>
      <c r="G199" t="s">
        <v>843</v>
      </c>
      <c r="H199" s="9" t="s">
        <v>1073</v>
      </c>
      <c r="I199">
        <f t="shared" si="12"/>
        <v>60</v>
      </c>
      <c r="J199">
        <f t="shared" si="13"/>
        <v>27.215542200000002</v>
      </c>
      <c r="K199">
        <v>3.754</v>
      </c>
      <c r="L199">
        <f t="shared" si="14"/>
        <v>102.1671454188</v>
      </c>
    </row>
    <row r="200" spans="1:12" x14ac:dyDescent="0.2">
      <c r="A200" s="4">
        <v>43439</v>
      </c>
      <c r="B200" t="s">
        <v>517</v>
      </c>
      <c r="C200">
        <v>4</v>
      </c>
      <c r="D200">
        <v>15</v>
      </c>
      <c r="E200">
        <f>24/16</f>
        <v>1.5</v>
      </c>
      <c r="F200" t="s">
        <v>386</v>
      </c>
      <c r="G200" t="s">
        <v>843</v>
      </c>
      <c r="H200" s="9" t="s">
        <v>1073</v>
      </c>
      <c r="I200">
        <f t="shared" si="12"/>
        <v>90</v>
      </c>
      <c r="J200">
        <f t="shared" si="13"/>
        <v>40.823313300000002</v>
      </c>
      <c r="K200">
        <v>3.754</v>
      </c>
      <c r="L200">
        <f t="shared" si="14"/>
        <v>153.25071812820002</v>
      </c>
    </row>
    <row r="201" spans="1:12" x14ac:dyDescent="0.2">
      <c r="A201" s="4">
        <v>43343</v>
      </c>
      <c r="B201" s="6" t="s">
        <v>1074</v>
      </c>
      <c r="C201">
        <v>1</v>
      </c>
      <c r="D201" s="8">
        <v>1</v>
      </c>
      <c r="E201">
        <f>(10/9)*35*2</f>
        <v>77.777777777777786</v>
      </c>
      <c r="F201" t="s">
        <v>90</v>
      </c>
      <c r="G201" t="s">
        <v>90</v>
      </c>
      <c r="H201" s="8" t="s">
        <v>1071</v>
      </c>
      <c r="I201">
        <f t="shared" si="12"/>
        <v>77.777777777777786</v>
      </c>
      <c r="J201" s="8">
        <f t="shared" si="13"/>
        <v>35.27940655555556</v>
      </c>
      <c r="K201">
        <v>0.52600000000000002</v>
      </c>
      <c r="L201">
        <f t="shared" si="14"/>
        <v>18.556967848222225</v>
      </c>
    </row>
    <row r="202" spans="1:12" x14ac:dyDescent="0.2">
      <c r="A202" s="4">
        <v>43346</v>
      </c>
      <c r="B202" s="6" t="s">
        <v>1074</v>
      </c>
      <c r="C202">
        <v>2</v>
      </c>
      <c r="D202" s="8">
        <v>1</v>
      </c>
      <c r="E202">
        <f>10/9*(35)</f>
        <v>38.888888888888893</v>
      </c>
      <c r="F202" t="s">
        <v>135</v>
      </c>
      <c r="G202" s="15" t="s">
        <v>90</v>
      </c>
      <c r="H202" s="8" t="s">
        <v>1071</v>
      </c>
      <c r="I202">
        <f t="shared" si="12"/>
        <v>77.777777777777786</v>
      </c>
      <c r="J202" s="8">
        <f t="shared" si="13"/>
        <v>35.27940655555556</v>
      </c>
      <c r="K202">
        <v>0.52600000000000002</v>
      </c>
      <c r="L202">
        <f t="shared" si="14"/>
        <v>18.556967848222225</v>
      </c>
    </row>
    <row r="203" spans="1:12" x14ac:dyDescent="0.2">
      <c r="A203" s="4">
        <v>43348</v>
      </c>
      <c r="B203" s="6" t="s">
        <v>1074</v>
      </c>
      <c r="C203">
        <v>2</v>
      </c>
      <c r="D203" s="8">
        <v>1</v>
      </c>
      <c r="E203">
        <f>10/9*35</f>
        <v>38.888888888888893</v>
      </c>
      <c r="F203" t="s">
        <v>90</v>
      </c>
      <c r="G203" t="s">
        <v>90</v>
      </c>
      <c r="H203" s="8" t="s">
        <v>1071</v>
      </c>
      <c r="I203">
        <f t="shared" si="12"/>
        <v>77.777777777777786</v>
      </c>
      <c r="J203" s="8">
        <f t="shared" si="13"/>
        <v>35.27940655555556</v>
      </c>
      <c r="K203">
        <v>0.52600000000000002</v>
      </c>
      <c r="L203">
        <f t="shared" si="14"/>
        <v>18.556967848222225</v>
      </c>
    </row>
    <row r="204" spans="1:12" x14ac:dyDescent="0.2">
      <c r="A204" s="4">
        <v>43349</v>
      </c>
      <c r="B204" s="6" t="s">
        <v>1074</v>
      </c>
      <c r="C204">
        <v>2</v>
      </c>
      <c r="D204" s="8">
        <v>1</v>
      </c>
      <c r="E204">
        <f>10/9*35</f>
        <v>38.888888888888893</v>
      </c>
      <c r="F204" t="s">
        <v>90</v>
      </c>
      <c r="G204" t="s">
        <v>90</v>
      </c>
      <c r="H204" s="8" t="s">
        <v>1071</v>
      </c>
      <c r="I204">
        <f t="shared" si="12"/>
        <v>77.777777777777786</v>
      </c>
      <c r="J204" s="8">
        <f t="shared" si="13"/>
        <v>35.27940655555556</v>
      </c>
      <c r="K204">
        <v>0.52600000000000002</v>
      </c>
      <c r="L204">
        <f t="shared" si="14"/>
        <v>18.556967848222225</v>
      </c>
    </row>
    <row r="205" spans="1:12" x14ac:dyDescent="0.2">
      <c r="A205" s="4">
        <v>43434</v>
      </c>
      <c r="B205" t="s">
        <v>527</v>
      </c>
      <c r="C205">
        <v>6</v>
      </c>
      <c r="D205">
        <v>1</v>
      </c>
      <c r="E205">
        <v>10</v>
      </c>
      <c r="F205" t="s">
        <v>528</v>
      </c>
      <c r="G205" t="s">
        <v>884</v>
      </c>
      <c r="H205" s="9" t="s">
        <v>1072</v>
      </c>
      <c r="I205">
        <f t="shared" si="12"/>
        <v>60</v>
      </c>
      <c r="J205">
        <f t="shared" si="13"/>
        <v>27.215542200000002</v>
      </c>
      <c r="K205">
        <v>3.0209999999999999</v>
      </c>
      <c r="L205">
        <f t="shared" si="14"/>
        <v>82.218152986199996</v>
      </c>
    </row>
    <row r="206" spans="1:12" x14ac:dyDescent="0.2">
      <c r="A206" s="4">
        <v>43434</v>
      </c>
      <c r="B206" t="s">
        <v>527</v>
      </c>
      <c r="C206">
        <v>8</v>
      </c>
      <c r="D206">
        <v>1</v>
      </c>
      <c r="E206">
        <v>10</v>
      </c>
      <c r="F206" t="s">
        <v>529</v>
      </c>
      <c r="G206" t="s">
        <v>884</v>
      </c>
      <c r="H206" s="9" t="s">
        <v>1072</v>
      </c>
      <c r="I206">
        <f t="shared" si="12"/>
        <v>80</v>
      </c>
      <c r="J206">
        <f t="shared" si="13"/>
        <v>36.287389600000004</v>
      </c>
      <c r="K206">
        <v>3.0209999999999999</v>
      </c>
      <c r="L206">
        <f t="shared" si="14"/>
        <v>109.6242039816</v>
      </c>
    </row>
    <row r="207" spans="1:12" x14ac:dyDescent="0.2">
      <c r="A207" s="4">
        <v>43437</v>
      </c>
      <c r="B207" t="s">
        <v>527</v>
      </c>
      <c r="C207">
        <v>10</v>
      </c>
      <c r="D207">
        <v>1</v>
      </c>
      <c r="E207">
        <v>10</v>
      </c>
      <c r="F207" t="s">
        <v>528</v>
      </c>
      <c r="G207" t="s">
        <v>884</v>
      </c>
      <c r="H207" s="9" t="s">
        <v>1072</v>
      </c>
      <c r="I207">
        <f t="shared" si="12"/>
        <v>100</v>
      </c>
      <c r="J207">
        <f t="shared" si="13"/>
        <v>45.359237</v>
      </c>
      <c r="K207">
        <v>3.0209999999999999</v>
      </c>
      <c r="L207">
        <f t="shared" si="14"/>
        <v>137.030254977</v>
      </c>
    </row>
    <row r="208" spans="1:12" x14ac:dyDescent="0.2">
      <c r="A208" s="4">
        <v>43437</v>
      </c>
      <c r="B208" t="s">
        <v>527</v>
      </c>
      <c r="C208">
        <v>5</v>
      </c>
      <c r="D208">
        <v>1</v>
      </c>
      <c r="E208">
        <v>10</v>
      </c>
      <c r="F208" t="s">
        <v>529</v>
      </c>
      <c r="G208" t="s">
        <v>884</v>
      </c>
      <c r="H208" s="9" t="s">
        <v>1072</v>
      </c>
      <c r="I208">
        <f t="shared" si="12"/>
        <v>50</v>
      </c>
      <c r="J208">
        <f t="shared" si="13"/>
        <v>22.6796185</v>
      </c>
      <c r="K208">
        <v>3.0209999999999999</v>
      </c>
      <c r="L208">
        <f t="shared" si="14"/>
        <v>68.515127488499999</v>
      </c>
    </row>
    <row r="209" spans="1:12" x14ac:dyDescent="0.2">
      <c r="A209" s="4">
        <v>43437</v>
      </c>
      <c r="B209" t="s">
        <v>527</v>
      </c>
      <c r="C209">
        <v>4</v>
      </c>
      <c r="D209">
        <v>1</v>
      </c>
      <c r="E209">
        <v>15</v>
      </c>
      <c r="F209" t="s">
        <v>1013</v>
      </c>
      <c r="G209" t="s">
        <v>884</v>
      </c>
      <c r="H209" s="9" t="s">
        <v>1072</v>
      </c>
      <c r="I209">
        <f t="shared" si="12"/>
        <v>60</v>
      </c>
      <c r="J209">
        <f t="shared" si="13"/>
        <v>27.215542200000002</v>
      </c>
      <c r="K209">
        <v>3.0209999999999999</v>
      </c>
      <c r="L209">
        <f t="shared" si="14"/>
        <v>82.218152986199996</v>
      </c>
    </row>
    <row r="210" spans="1:12" x14ac:dyDescent="0.2">
      <c r="A210" s="4">
        <v>43439</v>
      </c>
      <c r="B210" t="s">
        <v>527</v>
      </c>
      <c r="C210">
        <v>1</v>
      </c>
      <c r="D210">
        <v>1</v>
      </c>
      <c r="E210">
        <v>10</v>
      </c>
      <c r="F210" t="s">
        <v>528</v>
      </c>
      <c r="G210" t="s">
        <v>884</v>
      </c>
      <c r="H210" s="9" t="s">
        <v>1072</v>
      </c>
      <c r="I210">
        <f t="shared" si="12"/>
        <v>10</v>
      </c>
      <c r="J210">
        <f t="shared" si="13"/>
        <v>4.5359237000000006</v>
      </c>
      <c r="K210">
        <v>3.0209999999999999</v>
      </c>
      <c r="L210">
        <f t="shared" si="14"/>
        <v>13.703025497700001</v>
      </c>
    </row>
    <row r="211" spans="1:12" x14ac:dyDescent="0.2">
      <c r="A211" s="4">
        <v>43439</v>
      </c>
      <c r="B211" t="s">
        <v>527</v>
      </c>
      <c r="C211">
        <v>8</v>
      </c>
      <c r="D211">
        <v>1</v>
      </c>
      <c r="E211">
        <v>15</v>
      </c>
      <c r="F211" t="s">
        <v>1013</v>
      </c>
      <c r="G211" t="s">
        <v>884</v>
      </c>
      <c r="H211" s="9" t="s">
        <v>1072</v>
      </c>
      <c r="I211">
        <f t="shared" si="12"/>
        <v>120</v>
      </c>
      <c r="J211">
        <f t="shared" si="13"/>
        <v>54.431084400000003</v>
      </c>
      <c r="K211">
        <v>3.0209999999999999</v>
      </c>
      <c r="L211">
        <f t="shared" si="14"/>
        <v>164.43630597239999</v>
      </c>
    </row>
    <row r="212" spans="1:12" x14ac:dyDescent="0.2">
      <c r="A212" s="4">
        <v>43434</v>
      </c>
      <c r="B212" t="s">
        <v>538</v>
      </c>
      <c r="C212">
        <v>6</v>
      </c>
      <c r="D212">
        <v>1</v>
      </c>
      <c r="E212">
        <v>50</v>
      </c>
      <c r="F212" t="s">
        <v>431</v>
      </c>
      <c r="G212" t="s">
        <v>863</v>
      </c>
      <c r="H212" s="9" t="s">
        <v>1071</v>
      </c>
      <c r="I212">
        <f t="shared" si="12"/>
        <v>300</v>
      </c>
      <c r="J212">
        <f t="shared" si="13"/>
        <v>136.07771100000002</v>
      </c>
      <c r="K212">
        <v>0.35799999999999998</v>
      </c>
      <c r="L212">
        <f t="shared" si="14"/>
        <v>48.715820538000003</v>
      </c>
    </row>
    <row r="213" spans="1:12" x14ac:dyDescent="0.2">
      <c r="A213" s="4">
        <v>43434</v>
      </c>
      <c r="B213" t="s">
        <v>538</v>
      </c>
      <c r="C213">
        <v>4</v>
      </c>
      <c r="D213">
        <v>1</v>
      </c>
      <c r="E213">
        <v>25</v>
      </c>
      <c r="F213" t="s">
        <v>446</v>
      </c>
      <c r="G213" t="s">
        <v>863</v>
      </c>
      <c r="H213" s="9" t="s">
        <v>1071</v>
      </c>
      <c r="I213">
        <f t="shared" si="12"/>
        <v>100</v>
      </c>
      <c r="J213">
        <f t="shared" si="13"/>
        <v>45.359237</v>
      </c>
      <c r="K213">
        <v>0.35799999999999998</v>
      </c>
      <c r="L213">
        <f t="shared" si="14"/>
        <v>16.238606846</v>
      </c>
    </row>
    <row r="214" spans="1:12" x14ac:dyDescent="0.2">
      <c r="A214" s="4">
        <v>43437</v>
      </c>
      <c r="B214" t="s">
        <v>538</v>
      </c>
      <c r="C214">
        <v>1</v>
      </c>
      <c r="D214">
        <v>1</v>
      </c>
      <c r="E214">
        <v>50</v>
      </c>
      <c r="F214" t="s">
        <v>431</v>
      </c>
      <c r="G214" t="s">
        <v>863</v>
      </c>
      <c r="H214" s="9" t="s">
        <v>1071</v>
      </c>
      <c r="I214">
        <f t="shared" si="12"/>
        <v>50</v>
      </c>
      <c r="J214">
        <f t="shared" si="13"/>
        <v>22.6796185</v>
      </c>
      <c r="K214">
        <v>0.35799999999999998</v>
      </c>
      <c r="L214">
        <f t="shared" si="14"/>
        <v>8.1193034229999999</v>
      </c>
    </row>
    <row r="215" spans="1:12" x14ac:dyDescent="0.2">
      <c r="A215" s="4">
        <v>43439</v>
      </c>
      <c r="B215" t="s">
        <v>538</v>
      </c>
      <c r="C215">
        <v>5</v>
      </c>
      <c r="D215">
        <v>1</v>
      </c>
      <c r="E215">
        <v>50</v>
      </c>
      <c r="F215" t="s">
        <v>431</v>
      </c>
      <c r="G215" t="s">
        <v>863</v>
      </c>
      <c r="H215" s="9" t="s">
        <v>1071</v>
      </c>
      <c r="I215">
        <f t="shared" si="12"/>
        <v>250</v>
      </c>
      <c r="J215">
        <f t="shared" si="13"/>
        <v>113.3980925</v>
      </c>
      <c r="K215">
        <v>0.35799999999999998</v>
      </c>
      <c r="L215">
        <f t="shared" si="14"/>
        <v>40.596517114999997</v>
      </c>
    </row>
    <row r="216" spans="1:12" x14ac:dyDescent="0.2">
      <c r="A216" s="4">
        <v>43343</v>
      </c>
      <c r="B216" s="6" t="s">
        <v>1074</v>
      </c>
      <c r="C216">
        <v>1</v>
      </c>
      <c r="D216" s="8">
        <v>1</v>
      </c>
      <c r="E216">
        <f>4*8.35*1</f>
        <v>33.4</v>
      </c>
      <c r="F216" t="s">
        <v>91</v>
      </c>
      <c r="G216" t="s">
        <v>205</v>
      </c>
      <c r="H216" s="8" t="s">
        <v>1071</v>
      </c>
      <c r="I216">
        <f t="shared" si="12"/>
        <v>33.4</v>
      </c>
      <c r="J216" s="8">
        <f t="shared" si="13"/>
        <v>15.149985158</v>
      </c>
      <c r="K216">
        <v>0.74299999999999999</v>
      </c>
      <c r="L216">
        <f t="shared" si="14"/>
        <v>11.256438972393999</v>
      </c>
    </row>
    <row r="217" spans="1:12" x14ac:dyDescent="0.2">
      <c r="A217" s="4">
        <v>43344</v>
      </c>
      <c r="B217" s="6" t="s">
        <v>1074</v>
      </c>
      <c r="C217">
        <v>1</v>
      </c>
      <c r="D217" s="8">
        <v>1</v>
      </c>
      <c r="E217">
        <f>4*4.54</f>
        <v>18.16</v>
      </c>
      <c r="F217" t="s">
        <v>121</v>
      </c>
      <c r="G217" t="s">
        <v>205</v>
      </c>
      <c r="H217" s="8" t="s">
        <v>1071</v>
      </c>
      <c r="I217">
        <f t="shared" si="12"/>
        <v>18.16</v>
      </c>
      <c r="J217" s="8">
        <f t="shared" si="13"/>
        <v>8.2372374392000012</v>
      </c>
      <c r="K217">
        <v>0.74299999999999999</v>
      </c>
      <c r="L217">
        <f t="shared" si="14"/>
        <v>6.1202674173256009</v>
      </c>
    </row>
    <row r="218" spans="1:12" x14ac:dyDescent="0.2">
      <c r="A218" s="4">
        <v>43347</v>
      </c>
      <c r="B218" s="6" t="s">
        <v>1074</v>
      </c>
      <c r="C218">
        <v>1</v>
      </c>
      <c r="D218" s="8">
        <v>1</v>
      </c>
      <c r="E218">
        <f>4*4.54</f>
        <v>18.16</v>
      </c>
      <c r="F218" t="s">
        <v>121</v>
      </c>
      <c r="G218" t="s">
        <v>205</v>
      </c>
      <c r="H218" s="8" t="s">
        <v>1071</v>
      </c>
      <c r="I218">
        <f t="shared" si="12"/>
        <v>18.16</v>
      </c>
      <c r="J218" s="8">
        <f t="shared" si="13"/>
        <v>8.2372374392000012</v>
      </c>
      <c r="K218">
        <v>0.74299999999999999</v>
      </c>
      <c r="L218">
        <f t="shared" si="14"/>
        <v>6.1202674173256009</v>
      </c>
    </row>
    <row r="219" spans="1:12" x14ac:dyDescent="0.2">
      <c r="A219" s="4">
        <v>43347</v>
      </c>
      <c r="B219" s="6" t="s">
        <v>1074</v>
      </c>
      <c r="C219">
        <v>1</v>
      </c>
      <c r="D219" s="8">
        <v>1</v>
      </c>
      <c r="E219">
        <f>4*4.54</f>
        <v>18.16</v>
      </c>
      <c r="F219" t="s">
        <v>121</v>
      </c>
      <c r="G219" t="s">
        <v>205</v>
      </c>
      <c r="H219" s="8" t="s">
        <v>1071</v>
      </c>
      <c r="I219">
        <f t="shared" si="12"/>
        <v>18.16</v>
      </c>
      <c r="J219" s="8">
        <f t="shared" si="13"/>
        <v>8.2372374392000012</v>
      </c>
      <c r="K219">
        <v>0.74299999999999999</v>
      </c>
      <c r="L219">
        <f t="shared" si="14"/>
        <v>6.1202674173256009</v>
      </c>
    </row>
    <row r="220" spans="1:12" x14ac:dyDescent="0.2">
      <c r="A220" s="4">
        <v>43343</v>
      </c>
      <c r="B220" s="6" t="s">
        <v>1074</v>
      </c>
      <c r="C220">
        <v>1</v>
      </c>
      <c r="D220" s="8">
        <v>1</v>
      </c>
      <c r="E220">
        <f>25*3</f>
        <v>75</v>
      </c>
      <c r="F220" t="s">
        <v>79</v>
      </c>
      <c r="G220" t="s">
        <v>215</v>
      </c>
      <c r="H220" s="8" t="s">
        <v>1071</v>
      </c>
      <c r="I220">
        <f t="shared" si="12"/>
        <v>75</v>
      </c>
      <c r="J220" s="8">
        <f t="shared" si="13"/>
        <v>34.019427750000006</v>
      </c>
      <c r="K220">
        <v>0.95</v>
      </c>
      <c r="L220">
        <f t="shared" si="14"/>
        <v>32.318456362500001</v>
      </c>
    </row>
    <row r="221" spans="1:12" x14ac:dyDescent="0.2">
      <c r="A221" s="4">
        <v>43343</v>
      </c>
      <c r="B221" s="6" t="s">
        <v>1074</v>
      </c>
      <c r="C221">
        <v>1</v>
      </c>
      <c r="D221" s="8">
        <v>1</v>
      </c>
      <c r="E221">
        <f>18*8</f>
        <v>144</v>
      </c>
      <c r="F221" t="s">
        <v>92</v>
      </c>
      <c r="G221" t="s">
        <v>764</v>
      </c>
      <c r="H221" s="8" t="s">
        <v>1071</v>
      </c>
      <c r="I221">
        <f t="shared" si="12"/>
        <v>144</v>
      </c>
      <c r="J221" s="8">
        <f t="shared" si="13"/>
        <v>65.317301279999995</v>
      </c>
      <c r="K221">
        <v>0.47799999999999998</v>
      </c>
      <c r="L221">
        <f t="shared" si="14"/>
        <v>31.221670011839997</v>
      </c>
    </row>
    <row r="222" spans="1:12" x14ac:dyDescent="0.2">
      <c r="A222" s="4">
        <v>43347</v>
      </c>
      <c r="B222" s="6" t="s">
        <v>1074</v>
      </c>
      <c r="C222">
        <v>4</v>
      </c>
      <c r="D222" s="8">
        <v>1</v>
      </c>
      <c r="E222">
        <v>18</v>
      </c>
      <c r="F222" t="s">
        <v>156</v>
      </c>
      <c r="G222" t="s">
        <v>764</v>
      </c>
      <c r="H222" s="8" t="s">
        <v>1071</v>
      </c>
      <c r="I222">
        <f t="shared" si="12"/>
        <v>72</v>
      </c>
      <c r="J222" s="8">
        <f t="shared" si="13"/>
        <v>32.658650639999998</v>
      </c>
      <c r="K222">
        <v>0.47799999999999998</v>
      </c>
      <c r="L222">
        <f t="shared" si="14"/>
        <v>15.610835005919999</v>
      </c>
    </row>
    <row r="223" spans="1:12" x14ac:dyDescent="0.2">
      <c r="A223" s="4">
        <v>43348</v>
      </c>
      <c r="B223" s="6" t="s">
        <v>1074</v>
      </c>
      <c r="C223">
        <v>2</v>
      </c>
      <c r="D223" s="8">
        <v>1</v>
      </c>
      <c r="E223">
        <v>18</v>
      </c>
      <c r="F223" t="s">
        <v>92</v>
      </c>
      <c r="G223" t="s">
        <v>764</v>
      </c>
      <c r="H223" s="8" t="s">
        <v>1071</v>
      </c>
      <c r="I223">
        <f t="shared" si="12"/>
        <v>36</v>
      </c>
      <c r="J223" s="8">
        <f t="shared" si="13"/>
        <v>16.329325319999999</v>
      </c>
      <c r="K223">
        <v>0.47799999999999998</v>
      </c>
      <c r="L223">
        <f t="shared" si="14"/>
        <v>7.8054175029599993</v>
      </c>
    </row>
    <row r="224" spans="1:12" x14ac:dyDescent="0.2">
      <c r="A224" s="4">
        <v>43349</v>
      </c>
      <c r="B224" s="6" t="s">
        <v>1074</v>
      </c>
      <c r="C224">
        <v>4</v>
      </c>
      <c r="D224" s="8">
        <v>1</v>
      </c>
      <c r="E224">
        <v>18</v>
      </c>
      <c r="F224" t="s">
        <v>92</v>
      </c>
      <c r="G224" t="s">
        <v>764</v>
      </c>
      <c r="H224" s="8" t="s">
        <v>1071</v>
      </c>
      <c r="I224">
        <f t="shared" si="12"/>
        <v>72</v>
      </c>
      <c r="J224" s="8">
        <f t="shared" si="13"/>
        <v>32.658650639999998</v>
      </c>
      <c r="K224">
        <v>0.47799999999999998</v>
      </c>
      <c r="L224">
        <f t="shared" si="14"/>
        <v>15.610835005919999</v>
      </c>
    </row>
    <row r="225" spans="1:12" x14ac:dyDescent="0.2">
      <c r="A225" s="10">
        <v>43348</v>
      </c>
      <c r="B225" s="8" t="s">
        <v>27</v>
      </c>
      <c r="C225">
        <v>1</v>
      </c>
      <c r="D225">
        <v>1</v>
      </c>
      <c r="E225" s="9">
        <v>100</v>
      </c>
      <c r="F225" s="9" t="s">
        <v>28</v>
      </c>
      <c r="G225" s="9" t="s">
        <v>28</v>
      </c>
      <c r="H225" s="8" t="s">
        <v>1071</v>
      </c>
      <c r="I225">
        <f t="shared" si="12"/>
        <v>100</v>
      </c>
      <c r="J225" s="8">
        <f t="shared" si="13"/>
        <v>45.359237</v>
      </c>
      <c r="K225">
        <v>0.55000000000000004</v>
      </c>
      <c r="L225">
        <f t="shared" si="14"/>
        <v>24.947580350000003</v>
      </c>
    </row>
    <row r="226" spans="1:12" x14ac:dyDescent="0.2">
      <c r="A226" s="4">
        <v>43434</v>
      </c>
      <c r="B226" t="s">
        <v>538</v>
      </c>
      <c r="C226">
        <v>2</v>
      </c>
      <c r="D226">
        <v>8</v>
      </c>
      <c r="E226">
        <v>5</v>
      </c>
      <c r="F226" t="s">
        <v>542</v>
      </c>
      <c r="G226" s="6" t="s">
        <v>899</v>
      </c>
      <c r="H226" s="9" t="s">
        <v>1071</v>
      </c>
      <c r="I226">
        <f t="shared" si="12"/>
        <v>80</v>
      </c>
      <c r="J226">
        <f t="shared" si="13"/>
        <v>36.287389600000004</v>
      </c>
      <c r="K226">
        <v>0.55000000000000004</v>
      </c>
      <c r="L226">
        <f t="shared" si="14"/>
        <v>19.958064280000006</v>
      </c>
    </row>
    <row r="227" spans="1:12" x14ac:dyDescent="0.2">
      <c r="A227" s="4">
        <v>43346</v>
      </c>
      <c r="B227" s="9" t="s">
        <v>38</v>
      </c>
      <c r="C227">
        <v>36</v>
      </c>
      <c r="D227" s="8">
        <v>1</v>
      </c>
      <c r="E227">
        <v>2.0499999999999998</v>
      </c>
      <c r="F227" s="9" t="s">
        <v>43</v>
      </c>
      <c r="G227" s="9" t="s">
        <v>610</v>
      </c>
      <c r="H227" s="8" t="s">
        <v>1073</v>
      </c>
      <c r="I227">
        <f t="shared" si="12"/>
        <v>73.8</v>
      </c>
      <c r="J227" s="8">
        <f t="shared" si="13"/>
        <v>33.475116906000004</v>
      </c>
      <c r="K227">
        <f>(0.5*1.323)+(0.5*5.2)</f>
        <v>3.2614999999999998</v>
      </c>
      <c r="L227">
        <f t="shared" si="14"/>
        <v>109.179093788919</v>
      </c>
    </row>
    <row r="228" spans="1:12" x14ac:dyDescent="0.2">
      <c r="A228" s="4">
        <v>43343</v>
      </c>
      <c r="B228" s="9" t="s">
        <v>38</v>
      </c>
      <c r="C228">
        <v>24</v>
      </c>
      <c r="D228" s="8">
        <v>1</v>
      </c>
      <c r="E228">
        <v>2.0499999999999998</v>
      </c>
      <c r="F228" s="9" t="s">
        <v>43</v>
      </c>
      <c r="G228" s="9" t="s">
        <v>957</v>
      </c>
      <c r="H228" s="8" t="s">
        <v>1073</v>
      </c>
      <c r="I228">
        <f t="shared" si="12"/>
        <v>49.199999999999996</v>
      </c>
      <c r="J228" s="8">
        <f t="shared" si="13"/>
        <v>22.316744604</v>
      </c>
      <c r="K228">
        <f>(0.5*1.323)+(0.5*5.2)</f>
        <v>3.2614999999999998</v>
      </c>
      <c r="L228">
        <f t="shared" si="14"/>
        <v>72.786062525945994</v>
      </c>
    </row>
    <row r="229" spans="1:12" x14ac:dyDescent="0.2">
      <c r="A229" s="4">
        <v>43343</v>
      </c>
      <c r="B229" s="6" t="s">
        <v>1074</v>
      </c>
      <c r="C229">
        <v>1</v>
      </c>
      <c r="D229" s="8">
        <v>1</v>
      </c>
      <c r="E229">
        <f>1*2</f>
        <v>2</v>
      </c>
      <c r="F229" t="s">
        <v>96</v>
      </c>
      <c r="G229" t="s">
        <v>775</v>
      </c>
      <c r="H229" s="8" t="s">
        <v>1071</v>
      </c>
      <c r="I229">
        <f t="shared" si="12"/>
        <v>2</v>
      </c>
      <c r="J229" s="8">
        <f t="shared" si="13"/>
        <v>0.90718474000000004</v>
      </c>
      <c r="K229">
        <v>0.221</v>
      </c>
      <c r="L229">
        <f t="shared" si="14"/>
        <v>0.20048782754000002</v>
      </c>
    </row>
    <row r="230" spans="1:12" x14ac:dyDescent="0.2">
      <c r="A230" s="4">
        <v>43343</v>
      </c>
      <c r="B230" s="6" t="s">
        <v>1074</v>
      </c>
      <c r="C230">
        <v>1</v>
      </c>
      <c r="D230" s="8">
        <v>1</v>
      </c>
      <c r="E230">
        <f>1</f>
        <v>1</v>
      </c>
      <c r="F230" t="s">
        <v>97</v>
      </c>
      <c r="G230" t="s">
        <v>775</v>
      </c>
      <c r="H230" s="8" t="s">
        <v>1071</v>
      </c>
      <c r="I230">
        <f t="shared" si="12"/>
        <v>1</v>
      </c>
      <c r="J230" s="8">
        <f t="shared" si="13"/>
        <v>0.45359237000000002</v>
      </c>
      <c r="K230">
        <v>0.221</v>
      </c>
      <c r="L230">
        <f t="shared" si="14"/>
        <v>0.10024391377000001</v>
      </c>
    </row>
    <row r="231" spans="1:12" x14ac:dyDescent="0.2">
      <c r="A231" s="4">
        <v>43343</v>
      </c>
      <c r="B231" s="6" t="s">
        <v>1074</v>
      </c>
      <c r="C231">
        <v>1</v>
      </c>
      <c r="D231" s="8">
        <v>1</v>
      </c>
      <c r="E231">
        <f>1</f>
        <v>1</v>
      </c>
      <c r="F231" t="s">
        <v>98</v>
      </c>
      <c r="G231" t="s">
        <v>775</v>
      </c>
      <c r="H231" s="8" t="s">
        <v>1071</v>
      </c>
      <c r="I231">
        <f t="shared" si="12"/>
        <v>1</v>
      </c>
      <c r="J231" s="8">
        <f t="shared" si="13"/>
        <v>0.45359237000000002</v>
      </c>
      <c r="K231">
        <v>0.221</v>
      </c>
      <c r="L231">
        <f t="shared" si="14"/>
        <v>0.10024391377000001</v>
      </c>
    </row>
    <row r="232" spans="1:12" x14ac:dyDescent="0.2">
      <c r="A232" s="4">
        <v>43346</v>
      </c>
      <c r="B232" s="6" t="s">
        <v>1074</v>
      </c>
      <c r="C232">
        <v>1</v>
      </c>
      <c r="D232" s="8">
        <v>1</v>
      </c>
      <c r="E232">
        <v>1</v>
      </c>
      <c r="F232" t="s">
        <v>1004</v>
      </c>
      <c r="G232" t="s">
        <v>775</v>
      </c>
      <c r="H232" s="8" t="s">
        <v>1071</v>
      </c>
      <c r="I232">
        <f t="shared" si="12"/>
        <v>1</v>
      </c>
      <c r="J232" s="8">
        <f t="shared" si="13"/>
        <v>0.45359237000000002</v>
      </c>
      <c r="K232">
        <v>0.221</v>
      </c>
      <c r="L232">
        <f t="shared" si="14"/>
        <v>0.10024391377000001</v>
      </c>
    </row>
    <row r="233" spans="1:12" x14ac:dyDescent="0.2">
      <c r="A233" s="4">
        <v>43343</v>
      </c>
      <c r="B233" s="6" t="s">
        <v>1074</v>
      </c>
      <c r="C233">
        <v>1</v>
      </c>
      <c r="D233" s="8">
        <v>1</v>
      </c>
      <c r="E233">
        <f>30*2</f>
        <v>60</v>
      </c>
      <c r="F233" t="s">
        <v>78</v>
      </c>
      <c r="G233" s="6" t="s">
        <v>1085</v>
      </c>
      <c r="H233" s="8" t="s">
        <v>1071</v>
      </c>
      <c r="I233">
        <f t="shared" si="12"/>
        <v>60</v>
      </c>
      <c r="J233" s="8">
        <f t="shared" si="13"/>
        <v>27.215542200000002</v>
      </c>
      <c r="K233">
        <v>0.221</v>
      </c>
      <c r="L233">
        <f t="shared" si="14"/>
        <v>6.0146348262</v>
      </c>
    </row>
    <row r="234" spans="1:12" x14ac:dyDescent="0.2">
      <c r="A234" s="4">
        <v>43437</v>
      </c>
      <c r="B234" t="s">
        <v>538</v>
      </c>
      <c r="C234">
        <v>1</v>
      </c>
      <c r="D234">
        <v>6</v>
      </c>
      <c r="E234">
        <v>5</v>
      </c>
      <c r="F234" t="s">
        <v>571</v>
      </c>
      <c r="G234" t="s">
        <v>878</v>
      </c>
      <c r="H234" s="9" t="s">
        <v>1071</v>
      </c>
      <c r="I234">
        <f t="shared" si="12"/>
        <v>30</v>
      </c>
      <c r="J234">
        <f t="shared" si="13"/>
        <v>13.607771100000001</v>
      </c>
      <c r="K234">
        <v>2.44</v>
      </c>
      <c r="L234">
        <f t="shared" si="14"/>
        <v>33.202961483999999</v>
      </c>
    </row>
    <row r="235" spans="1:12" x14ac:dyDescent="0.2">
      <c r="A235" s="4">
        <v>43439</v>
      </c>
      <c r="B235" t="s">
        <v>538</v>
      </c>
      <c r="C235">
        <v>1</v>
      </c>
      <c r="D235">
        <v>6</v>
      </c>
      <c r="E235">
        <v>5</v>
      </c>
      <c r="F235" t="s">
        <v>571</v>
      </c>
      <c r="G235" t="s">
        <v>878</v>
      </c>
      <c r="H235" s="9" t="s">
        <v>1071</v>
      </c>
      <c r="I235">
        <f t="shared" si="12"/>
        <v>30</v>
      </c>
      <c r="J235">
        <f t="shared" si="13"/>
        <v>13.607771100000001</v>
      </c>
      <c r="K235">
        <v>2.44</v>
      </c>
      <c r="L235">
        <f t="shared" si="14"/>
        <v>33.202961483999999</v>
      </c>
    </row>
    <row r="236" spans="1:12" x14ac:dyDescent="0.2">
      <c r="A236" s="4">
        <v>43343</v>
      </c>
      <c r="B236" s="6" t="s">
        <v>1074</v>
      </c>
      <c r="C236">
        <v>1</v>
      </c>
      <c r="D236" s="8">
        <v>1</v>
      </c>
      <c r="E236">
        <f>9*4*10</f>
        <v>360</v>
      </c>
      <c r="F236" t="s">
        <v>103</v>
      </c>
      <c r="G236" t="s">
        <v>103</v>
      </c>
      <c r="H236" s="8" t="s">
        <v>1071</v>
      </c>
      <c r="I236">
        <f t="shared" si="12"/>
        <v>360</v>
      </c>
      <c r="J236" s="8">
        <f t="shared" si="13"/>
        <v>163.29325320000001</v>
      </c>
      <c r="K236">
        <v>0.28399999999999997</v>
      </c>
      <c r="L236">
        <f t="shared" si="14"/>
        <v>46.3752839088</v>
      </c>
    </row>
    <row r="237" spans="1:12" x14ac:dyDescent="0.2">
      <c r="A237" s="4">
        <v>43347</v>
      </c>
      <c r="B237" s="6" t="s">
        <v>1074</v>
      </c>
      <c r="C237">
        <v>6</v>
      </c>
      <c r="D237" s="8">
        <v>1</v>
      </c>
      <c r="E237">
        <f>8*4</f>
        <v>32</v>
      </c>
      <c r="F237" t="s">
        <v>1084</v>
      </c>
      <c r="G237" t="s">
        <v>103</v>
      </c>
      <c r="H237" s="8" t="s">
        <v>1071</v>
      </c>
      <c r="I237">
        <f t="shared" si="12"/>
        <v>192</v>
      </c>
      <c r="J237" s="8">
        <f t="shared" si="13"/>
        <v>87.089735040000008</v>
      </c>
      <c r="K237">
        <v>0.28399999999999997</v>
      </c>
      <c r="L237">
        <f t="shared" si="14"/>
        <v>24.733484751359999</v>
      </c>
    </row>
    <row r="238" spans="1:12" x14ac:dyDescent="0.2">
      <c r="A238" s="4">
        <v>43348</v>
      </c>
      <c r="B238" s="6" t="s">
        <v>1074</v>
      </c>
      <c r="C238">
        <v>6</v>
      </c>
      <c r="D238" s="8">
        <v>1</v>
      </c>
      <c r="E238">
        <v>32</v>
      </c>
      <c r="F238" t="s">
        <v>103</v>
      </c>
      <c r="G238" t="s">
        <v>103</v>
      </c>
      <c r="H238" s="8" t="s">
        <v>1071</v>
      </c>
      <c r="I238">
        <f t="shared" si="12"/>
        <v>192</v>
      </c>
      <c r="J238" s="8">
        <f t="shared" si="13"/>
        <v>87.089735040000008</v>
      </c>
      <c r="K238">
        <v>0.28399999999999997</v>
      </c>
      <c r="L238">
        <f t="shared" si="14"/>
        <v>24.733484751359999</v>
      </c>
    </row>
    <row r="239" spans="1:12" x14ac:dyDescent="0.2">
      <c r="A239" s="4">
        <v>43349</v>
      </c>
      <c r="B239" s="6" t="s">
        <v>1074</v>
      </c>
      <c r="C239">
        <v>6</v>
      </c>
      <c r="D239" s="8">
        <v>1</v>
      </c>
      <c r="E239">
        <v>32</v>
      </c>
      <c r="F239" t="s">
        <v>103</v>
      </c>
      <c r="G239" t="s">
        <v>103</v>
      </c>
      <c r="H239" s="8" t="s">
        <v>1071</v>
      </c>
      <c r="I239">
        <f t="shared" si="12"/>
        <v>192</v>
      </c>
      <c r="J239" s="8">
        <f t="shared" si="13"/>
        <v>87.089735040000008</v>
      </c>
      <c r="K239">
        <v>0.28399999999999997</v>
      </c>
      <c r="L239">
        <f t="shared" si="14"/>
        <v>24.733484751359999</v>
      </c>
    </row>
    <row r="240" spans="1:12" x14ac:dyDescent="0.2">
      <c r="A240" s="10">
        <v>43348</v>
      </c>
      <c r="B240" s="9" t="s">
        <v>946</v>
      </c>
      <c r="C240">
        <v>1</v>
      </c>
      <c r="D240">
        <v>1</v>
      </c>
      <c r="E240" s="9">
        <f>5*10</f>
        <v>50</v>
      </c>
      <c r="F240" s="9" t="s">
        <v>947</v>
      </c>
      <c r="G240" s="9" t="s">
        <v>950</v>
      </c>
      <c r="H240" s="8" t="s">
        <v>1073</v>
      </c>
      <c r="I240">
        <f t="shared" si="12"/>
        <v>50</v>
      </c>
      <c r="J240" s="8">
        <f t="shared" si="13"/>
        <v>22.6796185</v>
      </c>
      <c r="K240" s="11">
        <v>3.84</v>
      </c>
      <c r="L240">
        <f t="shared" si="14"/>
        <v>87.089735039999994</v>
      </c>
    </row>
    <row r="241" spans="1:12" x14ac:dyDescent="0.2">
      <c r="A241" s="10">
        <v>43349</v>
      </c>
      <c r="B241" s="9" t="s">
        <v>946</v>
      </c>
      <c r="C241">
        <v>1</v>
      </c>
      <c r="D241">
        <v>1</v>
      </c>
      <c r="E241" s="9">
        <f>5*10</f>
        <v>50</v>
      </c>
      <c r="F241" s="9" t="s">
        <v>948</v>
      </c>
      <c r="G241" s="9" t="s">
        <v>950</v>
      </c>
      <c r="H241" s="8" t="s">
        <v>1073</v>
      </c>
      <c r="I241">
        <f t="shared" si="12"/>
        <v>50</v>
      </c>
      <c r="J241" s="8">
        <f t="shared" si="13"/>
        <v>22.6796185</v>
      </c>
      <c r="K241" s="11">
        <v>3.84</v>
      </c>
      <c r="L241">
        <f t="shared" si="14"/>
        <v>87.089735039999994</v>
      </c>
    </row>
    <row r="242" spans="1:12" x14ac:dyDescent="0.2">
      <c r="A242" s="10">
        <v>43350</v>
      </c>
      <c r="B242" s="9" t="s">
        <v>946</v>
      </c>
      <c r="C242">
        <v>1</v>
      </c>
      <c r="D242">
        <v>1</v>
      </c>
      <c r="E242" s="9">
        <f>5*10</f>
        <v>50</v>
      </c>
      <c r="F242" s="9" t="s">
        <v>949</v>
      </c>
      <c r="G242" s="9" t="s">
        <v>950</v>
      </c>
      <c r="H242" s="8" t="s">
        <v>1073</v>
      </c>
      <c r="I242">
        <f t="shared" si="12"/>
        <v>50</v>
      </c>
      <c r="J242" s="8">
        <f t="shared" si="13"/>
        <v>22.6796185</v>
      </c>
      <c r="K242" s="11">
        <v>3.84</v>
      </c>
      <c r="L242">
        <f t="shared" si="14"/>
        <v>87.089735039999994</v>
      </c>
    </row>
    <row r="243" spans="1:12" x14ac:dyDescent="0.2">
      <c r="A243" s="4">
        <v>43434</v>
      </c>
      <c r="B243" t="s">
        <v>517</v>
      </c>
      <c r="C243">
        <v>4</v>
      </c>
      <c r="D243">
        <v>1</v>
      </c>
      <c r="E243">
        <f t="shared" ref="E243:E250" si="15">3*8.6</f>
        <v>25.799999999999997</v>
      </c>
      <c r="F243" t="s">
        <v>518</v>
      </c>
      <c r="G243" s="6" t="s">
        <v>888</v>
      </c>
      <c r="H243" s="9" t="s">
        <v>1073</v>
      </c>
      <c r="I243">
        <f t="shared" si="12"/>
        <v>103.19999999999999</v>
      </c>
      <c r="J243">
        <f t="shared" si="13"/>
        <v>46.810732584</v>
      </c>
      <c r="K243" s="6">
        <v>3.84</v>
      </c>
      <c r="L243">
        <f t="shared" si="14"/>
        <v>179.75321312256</v>
      </c>
    </row>
    <row r="244" spans="1:12" x14ac:dyDescent="0.2">
      <c r="A244" s="4">
        <v>43434</v>
      </c>
      <c r="B244" t="s">
        <v>517</v>
      </c>
      <c r="C244">
        <v>4</v>
      </c>
      <c r="D244">
        <v>1</v>
      </c>
      <c r="E244">
        <f t="shared" si="15"/>
        <v>25.799999999999997</v>
      </c>
      <c r="F244" t="s">
        <v>468</v>
      </c>
      <c r="G244" s="6" t="s">
        <v>888</v>
      </c>
      <c r="H244" s="9" t="s">
        <v>1073</v>
      </c>
      <c r="I244">
        <f t="shared" si="12"/>
        <v>103.19999999999999</v>
      </c>
      <c r="J244">
        <f t="shared" si="13"/>
        <v>46.810732584</v>
      </c>
      <c r="K244" s="6">
        <v>3.84</v>
      </c>
      <c r="L244">
        <f t="shared" si="14"/>
        <v>179.75321312256</v>
      </c>
    </row>
    <row r="245" spans="1:12" x14ac:dyDescent="0.2">
      <c r="A245" s="4">
        <v>43434</v>
      </c>
      <c r="B245" t="s">
        <v>517</v>
      </c>
      <c r="C245">
        <v>4</v>
      </c>
      <c r="D245">
        <v>1</v>
      </c>
      <c r="E245">
        <f t="shared" si="15"/>
        <v>25.799999999999997</v>
      </c>
      <c r="F245" t="s">
        <v>524</v>
      </c>
      <c r="G245" s="6" t="s">
        <v>888</v>
      </c>
      <c r="H245" s="9" t="s">
        <v>1073</v>
      </c>
      <c r="I245">
        <f t="shared" si="12"/>
        <v>103.19999999999999</v>
      </c>
      <c r="J245">
        <f t="shared" si="13"/>
        <v>46.810732584</v>
      </c>
      <c r="K245" s="6">
        <v>3.84</v>
      </c>
      <c r="L245">
        <f t="shared" si="14"/>
        <v>179.75321312256</v>
      </c>
    </row>
    <row r="246" spans="1:12" x14ac:dyDescent="0.2">
      <c r="A246" s="4">
        <v>43439</v>
      </c>
      <c r="B246" t="s">
        <v>517</v>
      </c>
      <c r="C246">
        <v>2</v>
      </c>
      <c r="D246">
        <v>1</v>
      </c>
      <c r="E246">
        <f t="shared" si="15"/>
        <v>25.799999999999997</v>
      </c>
      <c r="F246" t="s">
        <v>600</v>
      </c>
      <c r="G246" s="6" t="s">
        <v>888</v>
      </c>
      <c r="H246" s="9" t="s">
        <v>1073</v>
      </c>
      <c r="I246">
        <f t="shared" ref="I246:I309" si="16">C246*D246*E246</f>
        <v>51.599999999999994</v>
      </c>
      <c r="J246">
        <f t="shared" si="13"/>
        <v>23.405366292</v>
      </c>
      <c r="K246" s="6">
        <v>3.84</v>
      </c>
      <c r="L246">
        <f t="shared" si="14"/>
        <v>89.876606561279999</v>
      </c>
    </row>
    <row r="247" spans="1:12" x14ac:dyDescent="0.2">
      <c r="A247" s="4">
        <v>43439</v>
      </c>
      <c r="B247" t="s">
        <v>517</v>
      </c>
      <c r="C247">
        <v>2</v>
      </c>
      <c r="D247">
        <v>1</v>
      </c>
      <c r="E247">
        <f t="shared" si="15"/>
        <v>25.799999999999997</v>
      </c>
      <c r="F247" t="s">
        <v>466</v>
      </c>
      <c r="G247" s="6" t="s">
        <v>888</v>
      </c>
      <c r="H247" s="9" t="s">
        <v>1073</v>
      </c>
      <c r="I247">
        <f t="shared" si="16"/>
        <v>51.599999999999994</v>
      </c>
      <c r="J247">
        <f t="shared" si="13"/>
        <v>23.405366292</v>
      </c>
      <c r="K247" s="6">
        <v>3.84</v>
      </c>
      <c r="L247">
        <f t="shared" si="14"/>
        <v>89.876606561279999</v>
      </c>
    </row>
    <row r="248" spans="1:12" x14ac:dyDescent="0.2">
      <c r="A248" s="4">
        <v>43439</v>
      </c>
      <c r="B248" t="s">
        <v>517</v>
      </c>
      <c r="C248">
        <v>3</v>
      </c>
      <c r="D248">
        <v>1</v>
      </c>
      <c r="E248">
        <f t="shared" si="15"/>
        <v>25.799999999999997</v>
      </c>
      <c r="F248" t="s">
        <v>467</v>
      </c>
      <c r="G248" s="6" t="s">
        <v>888</v>
      </c>
      <c r="H248" s="9" t="s">
        <v>1073</v>
      </c>
      <c r="I248">
        <f t="shared" si="16"/>
        <v>77.399999999999991</v>
      </c>
      <c r="J248">
        <f t="shared" si="13"/>
        <v>35.108049437999995</v>
      </c>
      <c r="K248" s="6">
        <v>3.84</v>
      </c>
      <c r="L248">
        <f t="shared" si="14"/>
        <v>134.81490984191998</v>
      </c>
    </row>
    <row r="249" spans="1:12" x14ac:dyDescent="0.2">
      <c r="A249" s="4">
        <v>43439</v>
      </c>
      <c r="B249" t="s">
        <v>517</v>
      </c>
      <c r="C249">
        <v>3</v>
      </c>
      <c r="D249">
        <v>1</v>
      </c>
      <c r="E249">
        <f t="shared" si="15"/>
        <v>25.799999999999997</v>
      </c>
      <c r="F249" t="s">
        <v>468</v>
      </c>
      <c r="G249" s="6" t="s">
        <v>888</v>
      </c>
      <c r="H249" s="9" t="s">
        <v>1073</v>
      </c>
      <c r="I249">
        <f t="shared" si="16"/>
        <v>77.399999999999991</v>
      </c>
      <c r="J249">
        <f t="shared" si="13"/>
        <v>35.108049437999995</v>
      </c>
      <c r="K249" s="6">
        <v>3.84</v>
      </c>
      <c r="L249">
        <f t="shared" si="14"/>
        <v>134.81490984191998</v>
      </c>
    </row>
    <row r="250" spans="1:12" x14ac:dyDescent="0.2">
      <c r="A250" s="4">
        <v>43439</v>
      </c>
      <c r="B250" t="s">
        <v>517</v>
      </c>
      <c r="C250">
        <v>3</v>
      </c>
      <c r="D250">
        <v>1</v>
      </c>
      <c r="E250">
        <f t="shared" si="15"/>
        <v>25.799999999999997</v>
      </c>
      <c r="F250" t="s">
        <v>469</v>
      </c>
      <c r="G250" s="6" t="s">
        <v>888</v>
      </c>
      <c r="H250" s="9" t="s">
        <v>1073</v>
      </c>
      <c r="I250">
        <f t="shared" si="16"/>
        <v>77.399999999999991</v>
      </c>
      <c r="J250">
        <f t="shared" si="13"/>
        <v>35.108049437999995</v>
      </c>
      <c r="K250" s="6">
        <v>3.84</v>
      </c>
      <c r="L250">
        <f t="shared" si="14"/>
        <v>134.81490984191998</v>
      </c>
    </row>
    <row r="251" spans="1:12" x14ac:dyDescent="0.2">
      <c r="A251" s="4">
        <v>43434</v>
      </c>
      <c r="B251" t="s">
        <v>538</v>
      </c>
      <c r="C251">
        <v>1</v>
      </c>
      <c r="D251">
        <v>6</v>
      </c>
      <c r="E251">
        <v>4</v>
      </c>
      <c r="F251" t="s">
        <v>438</v>
      </c>
      <c r="G251" s="6" t="s">
        <v>866</v>
      </c>
      <c r="H251" s="9" t="s">
        <v>1071</v>
      </c>
      <c r="I251">
        <f t="shared" si="16"/>
        <v>24</v>
      </c>
      <c r="J251">
        <f t="shared" si="13"/>
        <v>10.886216880000001</v>
      </c>
      <c r="K251" s="6">
        <v>3.25</v>
      </c>
      <c r="L251">
        <f t="shared" si="14"/>
        <v>35.380204860000006</v>
      </c>
    </row>
    <row r="252" spans="1:12" x14ac:dyDescent="0.2">
      <c r="A252" s="4">
        <v>43439</v>
      </c>
      <c r="B252" t="s">
        <v>538</v>
      </c>
      <c r="C252">
        <v>1</v>
      </c>
      <c r="D252">
        <v>6</v>
      </c>
      <c r="E252">
        <v>4</v>
      </c>
      <c r="F252" t="s">
        <v>438</v>
      </c>
      <c r="G252" s="6" t="s">
        <v>866</v>
      </c>
      <c r="H252" s="9" t="s">
        <v>1071</v>
      </c>
      <c r="I252">
        <f t="shared" si="16"/>
        <v>24</v>
      </c>
      <c r="J252">
        <f t="shared" si="13"/>
        <v>10.886216880000001</v>
      </c>
      <c r="K252" s="6">
        <v>3.25</v>
      </c>
      <c r="L252">
        <f t="shared" si="14"/>
        <v>35.380204860000006</v>
      </c>
    </row>
    <row r="253" spans="1:12" x14ac:dyDescent="0.2">
      <c r="A253" s="4">
        <v>43343</v>
      </c>
      <c r="B253" s="6" t="s">
        <v>1074</v>
      </c>
      <c r="C253">
        <v>1</v>
      </c>
      <c r="D253" s="8">
        <v>1</v>
      </c>
      <c r="E253">
        <f>5*3</f>
        <v>15</v>
      </c>
      <c r="F253" t="s">
        <v>67</v>
      </c>
      <c r="G253" t="s">
        <v>507</v>
      </c>
      <c r="H253" s="8" t="s">
        <v>1071</v>
      </c>
      <c r="I253">
        <f t="shared" si="16"/>
        <v>15</v>
      </c>
      <c r="J253" s="8">
        <f t="shared" si="13"/>
        <v>6.8038855500000004</v>
      </c>
      <c r="K253">
        <v>0.193</v>
      </c>
      <c r="L253">
        <f t="shared" si="14"/>
        <v>1.31314991115</v>
      </c>
    </row>
    <row r="254" spans="1:12" x14ac:dyDescent="0.2">
      <c r="A254" s="4">
        <v>43344</v>
      </c>
      <c r="B254" s="6" t="s">
        <v>1074</v>
      </c>
      <c r="C254">
        <v>2</v>
      </c>
      <c r="D254" s="8">
        <v>1</v>
      </c>
      <c r="E254">
        <v>10</v>
      </c>
      <c r="F254" t="s">
        <v>1025</v>
      </c>
      <c r="G254" t="s">
        <v>507</v>
      </c>
      <c r="H254" s="8" t="s">
        <v>1071</v>
      </c>
      <c r="I254">
        <f t="shared" si="16"/>
        <v>20</v>
      </c>
      <c r="J254" s="8">
        <f t="shared" si="13"/>
        <v>9.0718474000000011</v>
      </c>
      <c r="K254">
        <v>0.193</v>
      </c>
      <c r="L254">
        <f t="shared" si="14"/>
        <v>1.7508665482000003</v>
      </c>
    </row>
    <row r="255" spans="1:12" x14ac:dyDescent="0.2">
      <c r="A255" s="10">
        <v>43343</v>
      </c>
      <c r="B255" s="8" t="s">
        <v>30</v>
      </c>
      <c r="C255">
        <v>1</v>
      </c>
      <c r="D255">
        <v>1</v>
      </c>
      <c r="E255" s="9">
        <v>40</v>
      </c>
      <c r="F255" s="9" t="s">
        <v>32</v>
      </c>
      <c r="G255" s="9" t="s">
        <v>756</v>
      </c>
      <c r="H255" s="8" t="s">
        <v>1072</v>
      </c>
      <c r="I255">
        <f t="shared" si="16"/>
        <v>40</v>
      </c>
      <c r="J255" s="8">
        <f t="shared" si="13"/>
        <v>18.143694800000002</v>
      </c>
      <c r="K255">
        <v>34.744999999999997</v>
      </c>
      <c r="L255">
        <f t="shared" si="14"/>
        <v>630.40267582600006</v>
      </c>
    </row>
    <row r="256" spans="1:12" x14ac:dyDescent="0.2">
      <c r="A256" s="10">
        <v>43347</v>
      </c>
      <c r="B256" s="8" t="s">
        <v>30</v>
      </c>
      <c r="C256">
        <v>1</v>
      </c>
      <c r="D256">
        <v>1</v>
      </c>
      <c r="E256" s="9">
        <v>100</v>
      </c>
      <c r="F256" s="9" t="s">
        <v>35</v>
      </c>
      <c r="G256" s="9" t="s">
        <v>756</v>
      </c>
      <c r="H256" s="8" t="s">
        <v>1072</v>
      </c>
      <c r="I256">
        <f t="shared" si="16"/>
        <v>100</v>
      </c>
      <c r="J256" s="8">
        <f t="shared" si="13"/>
        <v>45.359237</v>
      </c>
      <c r="K256">
        <v>34.744999999999997</v>
      </c>
      <c r="L256">
        <f t="shared" si="14"/>
        <v>1576.006689565</v>
      </c>
    </row>
    <row r="257" spans="1:12" x14ac:dyDescent="0.2">
      <c r="A257" s="4">
        <v>43347</v>
      </c>
      <c r="B257" s="6" t="s">
        <v>1074</v>
      </c>
      <c r="C257">
        <v>1</v>
      </c>
      <c r="D257" s="8">
        <v>1</v>
      </c>
      <c r="E257">
        <f>12*(9/16)</f>
        <v>6.75</v>
      </c>
      <c r="F257" t="s">
        <v>157</v>
      </c>
      <c r="G257" t="s">
        <v>770</v>
      </c>
      <c r="H257" s="8" t="s">
        <v>1071</v>
      </c>
      <c r="I257">
        <f t="shared" si="16"/>
        <v>6.75</v>
      </c>
      <c r="J257" s="8">
        <f t="shared" si="13"/>
        <v>3.0617484975000004</v>
      </c>
      <c r="K257">
        <v>6.9000000000000006E-2</v>
      </c>
      <c r="L257">
        <f t="shared" si="14"/>
        <v>0.21126064632750005</v>
      </c>
    </row>
    <row r="258" spans="1:12" x14ac:dyDescent="0.2">
      <c r="A258" s="4">
        <v>43344</v>
      </c>
      <c r="B258" s="6" t="s">
        <v>1074</v>
      </c>
      <c r="C258">
        <v>1</v>
      </c>
      <c r="D258" s="8">
        <v>1</v>
      </c>
      <c r="E258">
        <f>12*2.12</f>
        <v>25.44</v>
      </c>
      <c r="F258" t="s">
        <v>122</v>
      </c>
      <c r="G258" t="s">
        <v>185</v>
      </c>
      <c r="H258" s="8" t="s">
        <v>1071</v>
      </c>
      <c r="I258">
        <f t="shared" si="16"/>
        <v>25.44</v>
      </c>
      <c r="J258" s="8">
        <f t="shared" si="13"/>
        <v>11.539389892800003</v>
      </c>
      <c r="K258">
        <v>0.33200000000000002</v>
      </c>
      <c r="L258">
        <f t="shared" si="14"/>
        <v>3.8310774444096012</v>
      </c>
    </row>
    <row r="259" spans="1:12" x14ac:dyDescent="0.2">
      <c r="A259" s="4">
        <v>43346</v>
      </c>
      <c r="B259" s="6" t="s">
        <v>1074</v>
      </c>
      <c r="C259">
        <v>1</v>
      </c>
      <c r="D259" s="8">
        <v>1</v>
      </c>
      <c r="E259">
        <v>10</v>
      </c>
      <c r="F259" t="s">
        <v>1031</v>
      </c>
      <c r="G259" t="s">
        <v>768</v>
      </c>
      <c r="H259" s="8" t="s">
        <v>1071</v>
      </c>
      <c r="I259">
        <f t="shared" si="16"/>
        <v>10</v>
      </c>
      <c r="J259" s="8">
        <f t="shared" ref="J259:J322" si="17">CONVERT(I259,"lbm","kg")</f>
        <v>4.5359237000000006</v>
      </c>
      <c r="K259">
        <v>0.22</v>
      </c>
      <c r="L259">
        <f t="shared" ref="L259:L322" si="18">J259*K259</f>
        <v>0.99790321400000015</v>
      </c>
    </row>
    <row r="260" spans="1:12" x14ac:dyDescent="0.2">
      <c r="A260" s="4">
        <v>43347</v>
      </c>
      <c r="B260" s="6" t="s">
        <v>1074</v>
      </c>
      <c r="C260">
        <v>2</v>
      </c>
      <c r="D260" s="8">
        <v>1</v>
      </c>
      <c r="E260">
        <v>10</v>
      </c>
      <c r="F260" t="s">
        <v>1031</v>
      </c>
      <c r="G260" t="s">
        <v>768</v>
      </c>
      <c r="H260" s="8" t="s">
        <v>1071</v>
      </c>
      <c r="I260">
        <f t="shared" si="16"/>
        <v>20</v>
      </c>
      <c r="J260" s="8">
        <f t="shared" si="17"/>
        <v>9.0718474000000011</v>
      </c>
      <c r="K260">
        <v>0.22</v>
      </c>
      <c r="L260">
        <f t="shared" si="18"/>
        <v>1.9958064280000003</v>
      </c>
    </row>
    <row r="261" spans="1:12" x14ac:dyDescent="0.2">
      <c r="A261" s="4">
        <v>43343</v>
      </c>
      <c r="B261" s="6" t="s">
        <v>1074</v>
      </c>
      <c r="C261">
        <v>1</v>
      </c>
      <c r="D261" s="8">
        <v>1</v>
      </c>
      <c r="E261">
        <f>48*5</f>
        <v>240</v>
      </c>
      <c r="F261" t="s">
        <v>71</v>
      </c>
      <c r="G261" t="s">
        <v>768</v>
      </c>
      <c r="H261" s="8" t="s">
        <v>1071</v>
      </c>
      <c r="I261">
        <f t="shared" si="16"/>
        <v>240</v>
      </c>
      <c r="J261" s="8">
        <f t="shared" si="17"/>
        <v>108.86216880000001</v>
      </c>
      <c r="K261">
        <v>0.158</v>
      </c>
      <c r="L261">
        <f t="shared" si="18"/>
        <v>17.200222670400002</v>
      </c>
    </row>
    <row r="262" spans="1:12" x14ac:dyDescent="0.2">
      <c r="A262" s="4">
        <v>43344</v>
      </c>
      <c r="B262" s="6" t="s">
        <v>1074</v>
      </c>
      <c r="C262">
        <v>2</v>
      </c>
      <c r="D262" s="8">
        <v>1</v>
      </c>
      <c r="E262" s="9">
        <v>48</v>
      </c>
      <c r="F262" t="s">
        <v>110</v>
      </c>
      <c r="G262" t="s">
        <v>768</v>
      </c>
      <c r="H262" s="8" t="s">
        <v>1071</v>
      </c>
      <c r="I262">
        <f t="shared" si="16"/>
        <v>96</v>
      </c>
      <c r="J262" s="8">
        <f t="shared" si="17"/>
        <v>43.544867520000004</v>
      </c>
      <c r="K262">
        <v>0.158</v>
      </c>
      <c r="L262">
        <f t="shared" si="18"/>
        <v>6.8800890681600011</v>
      </c>
    </row>
    <row r="263" spans="1:12" x14ac:dyDescent="0.2">
      <c r="A263" s="4">
        <v>43347</v>
      </c>
      <c r="B263" s="6" t="s">
        <v>1074</v>
      </c>
      <c r="C263">
        <v>2</v>
      </c>
      <c r="D263" s="8">
        <v>1</v>
      </c>
      <c r="E263">
        <v>48</v>
      </c>
      <c r="F263" t="s">
        <v>110</v>
      </c>
      <c r="G263" t="s">
        <v>768</v>
      </c>
      <c r="H263" s="8" t="s">
        <v>1071</v>
      </c>
      <c r="I263">
        <f t="shared" si="16"/>
        <v>96</v>
      </c>
      <c r="J263" s="8">
        <f t="shared" si="17"/>
        <v>43.544867520000004</v>
      </c>
      <c r="K263">
        <v>0.158</v>
      </c>
      <c r="L263">
        <f t="shared" si="18"/>
        <v>6.8800890681600011</v>
      </c>
    </row>
    <row r="264" spans="1:12" x14ac:dyDescent="0.2">
      <c r="A264" s="4">
        <v>43347</v>
      </c>
      <c r="B264" s="6" t="s">
        <v>1074</v>
      </c>
      <c r="C264">
        <v>4</v>
      </c>
      <c r="D264" s="8">
        <v>1</v>
      </c>
      <c r="E264">
        <v>48</v>
      </c>
      <c r="F264" t="s">
        <v>110</v>
      </c>
      <c r="G264" t="s">
        <v>768</v>
      </c>
      <c r="H264" s="8" t="s">
        <v>1071</v>
      </c>
      <c r="I264">
        <f t="shared" si="16"/>
        <v>192</v>
      </c>
      <c r="J264" s="8">
        <f t="shared" si="17"/>
        <v>87.089735040000008</v>
      </c>
      <c r="K264">
        <v>0.158</v>
      </c>
      <c r="L264">
        <f t="shared" si="18"/>
        <v>13.760178136320002</v>
      </c>
    </row>
    <row r="265" spans="1:12" x14ac:dyDescent="0.2">
      <c r="A265" s="4">
        <v>43348</v>
      </c>
      <c r="B265" s="6" t="s">
        <v>1074</v>
      </c>
      <c r="C265">
        <v>2</v>
      </c>
      <c r="D265" s="8">
        <v>1</v>
      </c>
      <c r="E265">
        <v>48</v>
      </c>
      <c r="F265" t="s">
        <v>71</v>
      </c>
      <c r="G265" t="s">
        <v>768</v>
      </c>
      <c r="H265" s="8" t="s">
        <v>1071</v>
      </c>
      <c r="I265">
        <f t="shared" si="16"/>
        <v>96</v>
      </c>
      <c r="J265" s="8">
        <f t="shared" si="17"/>
        <v>43.544867520000004</v>
      </c>
      <c r="K265">
        <v>0.158</v>
      </c>
      <c r="L265">
        <f t="shared" si="18"/>
        <v>6.8800890681600011</v>
      </c>
    </row>
    <row r="266" spans="1:12" x14ac:dyDescent="0.2">
      <c r="A266" s="4">
        <v>43349</v>
      </c>
      <c r="B266" s="6" t="s">
        <v>1074</v>
      </c>
      <c r="C266">
        <v>2</v>
      </c>
      <c r="D266" s="8">
        <v>1</v>
      </c>
      <c r="E266">
        <v>48</v>
      </c>
      <c r="F266" t="s">
        <v>71</v>
      </c>
      <c r="G266" t="s">
        <v>768</v>
      </c>
      <c r="H266" s="8" t="s">
        <v>1071</v>
      </c>
      <c r="I266">
        <f t="shared" si="16"/>
        <v>96</v>
      </c>
      <c r="J266" s="8">
        <f t="shared" si="17"/>
        <v>43.544867520000004</v>
      </c>
      <c r="K266">
        <v>0.158</v>
      </c>
      <c r="L266">
        <f t="shared" si="18"/>
        <v>6.8800890681600011</v>
      </c>
    </row>
    <row r="267" spans="1:12" x14ac:dyDescent="0.2">
      <c r="A267" s="4">
        <v>43343</v>
      </c>
      <c r="B267" s="6" t="s">
        <v>1074</v>
      </c>
      <c r="C267">
        <v>1</v>
      </c>
      <c r="D267" s="8">
        <v>1</v>
      </c>
      <c r="E267">
        <f>25.05</f>
        <v>25.05</v>
      </c>
      <c r="F267" t="s">
        <v>101</v>
      </c>
      <c r="G267" t="s">
        <v>101</v>
      </c>
      <c r="H267" s="8" t="s">
        <v>1071</v>
      </c>
      <c r="I267">
        <f t="shared" si="16"/>
        <v>25.05</v>
      </c>
      <c r="J267" s="8">
        <f t="shared" si="17"/>
        <v>11.362488868500002</v>
      </c>
      <c r="K267">
        <v>1.9430000000000001</v>
      </c>
      <c r="L267">
        <f t="shared" si="18"/>
        <v>22.077315871495504</v>
      </c>
    </row>
    <row r="268" spans="1:12" x14ac:dyDescent="0.2">
      <c r="A268" s="4">
        <v>43347</v>
      </c>
      <c r="B268" s="6" t="s">
        <v>1074</v>
      </c>
      <c r="C268">
        <v>1</v>
      </c>
      <c r="D268" s="8">
        <v>1</v>
      </c>
      <c r="E268">
        <v>38</v>
      </c>
      <c r="F268" t="s">
        <v>158</v>
      </c>
      <c r="G268" t="s">
        <v>771</v>
      </c>
      <c r="H268" s="8" t="s">
        <v>1071</v>
      </c>
      <c r="I268">
        <f t="shared" si="16"/>
        <v>38</v>
      </c>
      <c r="J268" s="8">
        <f t="shared" si="17"/>
        <v>17.236510060000001</v>
      </c>
      <c r="K268">
        <v>0.61199999999999999</v>
      </c>
      <c r="L268">
        <f t="shared" si="18"/>
        <v>10.54874415672</v>
      </c>
    </row>
    <row r="269" spans="1:12" x14ac:dyDescent="0.2">
      <c r="A269" s="4">
        <v>43343</v>
      </c>
      <c r="B269" s="9" t="s">
        <v>38</v>
      </c>
      <c r="C269">
        <v>12</v>
      </c>
      <c r="D269" s="8">
        <v>1</v>
      </c>
      <c r="E269">
        <f>8.6*5</f>
        <v>43</v>
      </c>
      <c r="F269" s="9" t="s">
        <v>39</v>
      </c>
      <c r="G269" s="9" t="s">
        <v>774</v>
      </c>
      <c r="H269" s="8" t="s">
        <v>1073</v>
      </c>
      <c r="I269">
        <f t="shared" si="16"/>
        <v>516</v>
      </c>
      <c r="J269" s="8">
        <f t="shared" si="17"/>
        <v>234.05366291999999</v>
      </c>
      <c r="K269">
        <v>1.23</v>
      </c>
      <c r="L269">
        <f t="shared" si="18"/>
        <v>287.88600539160001</v>
      </c>
    </row>
    <row r="270" spans="1:12" x14ac:dyDescent="0.2">
      <c r="A270" s="4">
        <v>43343</v>
      </c>
      <c r="B270" s="9" t="s">
        <v>38</v>
      </c>
      <c r="C270">
        <v>12</v>
      </c>
      <c r="D270" s="8">
        <v>1</v>
      </c>
      <c r="E270">
        <f>8.6*5</f>
        <v>43</v>
      </c>
      <c r="F270" s="9" t="s">
        <v>40</v>
      </c>
      <c r="G270" s="9" t="s">
        <v>774</v>
      </c>
      <c r="H270" s="8" t="s">
        <v>1073</v>
      </c>
      <c r="I270">
        <f t="shared" si="16"/>
        <v>516</v>
      </c>
      <c r="J270" s="8">
        <f t="shared" si="17"/>
        <v>234.05366291999999</v>
      </c>
      <c r="K270">
        <v>1.23</v>
      </c>
      <c r="L270">
        <f t="shared" si="18"/>
        <v>287.88600539160001</v>
      </c>
    </row>
    <row r="271" spans="1:12" x14ac:dyDescent="0.2">
      <c r="A271" s="4">
        <v>43343</v>
      </c>
      <c r="B271" s="9" t="s">
        <v>38</v>
      </c>
      <c r="C271">
        <v>3</v>
      </c>
      <c r="D271" s="8">
        <v>1</v>
      </c>
      <c r="E271">
        <f>8.6*5</f>
        <v>43</v>
      </c>
      <c r="F271" s="9" t="s">
        <v>41</v>
      </c>
      <c r="G271" s="9" t="s">
        <v>774</v>
      </c>
      <c r="H271" s="8" t="s">
        <v>1073</v>
      </c>
      <c r="I271">
        <f t="shared" si="16"/>
        <v>129</v>
      </c>
      <c r="J271" s="8">
        <f t="shared" si="17"/>
        <v>58.513415729999998</v>
      </c>
      <c r="K271">
        <v>1.23</v>
      </c>
      <c r="L271">
        <f t="shared" si="18"/>
        <v>71.971501347900002</v>
      </c>
    </row>
    <row r="272" spans="1:12" x14ac:dyDescent="0.2">
      <c r="A272" s="4">
        <v>43343</v>
      </c>
      <c r="B272" s="9" t="s">
        <v>38</v>
      </c>
      <c r="C272">
        <v>6</v>
      </c>
      <c r="D272" s="8">
        <v>1</v>
      </c>
      <c r="E272">
        <f>8.6*5</f>
        <v>43</v>
      </c>
      <c r="F272" s="9" t="s">
        <v>42</v>
      </c>
      <c r="G272" s="9" t="s">
        <v>774</v>
      </c>
      <c r="H272" s="8" t="s">
        <v>1073</v>
      </c>
      <c r="I272">
        <f t="shared" si="16"/>
        <v>258</v>
      </c>
      <c r="J272" s="8">
        <f t="shared" si="17"/>
        <v>117.02683146</v>
      </c>
      <c r="K272">
        <v>1.23</v>
      </c>
      <c r="L272">
        <f t="shared" si="18"/>
        <v>143.9430026958</v>
      </c>
    </row>
    <row r="273" spans="1:12" x14ac:dyDescent="0.2">
      <c r="A273" s="4">
        <v>43343</v>
      </c>
      <c r="B273" s="9" t="s">
        <v>38</v>
      </c>
      <c r="C273">
        <v>24</v>
      </c>
      <c r="D273" s="8">
        <v>1</v>
      </c>
      <c r="E273">
        <v>2.0499999999999998</v>
      </c>
      <c r="F273" s="9" t="s">
        <v>44</v>
      </c>
      <c r="G273" s="9" t="s">
        <v>774</v>
      </c>
      <c r="H273" s="8" t="s">
        <v>1073</v>
      </c>
      <c r="I273">
        <f t="shared" si="16"/>
        <v>49.199999999999996</v>
      </c>
      <c r="J273" s="8">
        <f t="shared" si="17"/>
        <v>22.316744604</v>
      </c>
      <c r="K273">
        <v>1.23</v>
      </c>
      <c r="L273">
        <f t="shared" si="18"/>
        <v>27.449595862919999</v>
      </c>
    </row>
    <row r="274" spans="1:12" x14ac:dyDescent="0.2">
      <c r="A274" s="4">
        <v>43346</v>
      </c>
      <c r="B274" s="9" t="s">
        <v>38</v>
      </c>
      <c r="C274">
        <v>6</v>
      </c>
      <c r="D274" s="8">
        <v>1</v>
      </c>
      <c r="E274">
        <f>8.6*5</f>
        <v>43</v>
      </c>
      <c r="F274" s="9" t="s">
        <v>39</v>
      </c>
      <c r="G274" s="9" t="s">
        <v>774</v>
      </c>
      <c r="H274" s="8" t="s">
        <v>1073</v>
      </c>
      <c r="I274">
        <f t="shared" si="16"/>
        <v>258</v>
      </c>
      <c r="J274" s="8">
        <f t="shared" si="17"/>
        <v>117.02683146</v>
      </c>
      <c r="K274">
        <v>1.23</v>
      </c>
      <c r="L274">
        <f t="shared" si="18"/>
        <v>143.9430026958</v>
      </c>
    </row>
    <row r="275" spans="1:12" x14ac:dyDescent="0.2">
      <c r="A275" s="4">
        <v>43346</v>
      </c>
      <c r="B275" s="9" t="s">
        <v>38</v>
      </c>
      <c r="C275">
        <v>6</v>
      </c>
      <c r="D275" s="8">
        <v>1</v>
      </c>
      <c r="E275">
        <f>8.6*5</f>
        <v>43</v>
      </c>
      <c r="F275" s="9" t="s">
        <v>40</v>
      </c>
      <c r="G275" s="9" t="s">
        <v>774</v>
      </c>
      <c r="H275" s="8" t="s">
        <v>1073</v>
      </c>
      <c r="I275">
        <f t="shared" si="16"/>
        <v>258</v>
      </c>
      <c r="J275" s="8">
        <f t="shared" si="17"/>
        <v>117.02683146</v>
      </c>
      <c r="K275">
        <v>1.23</v>
      </c>
      <c r="L275">
        <f t="shared" si="18"/>
        <v>143.9430026958</v>
      </c>
    </row>
    <row r="276" spans="1:12" x14ac:dyDescent="0.2">
      <c r="A276" s="4">
        <v>43346</v>
      </c>
      <c r="B276" s="9" t="s">
        <v>38</v>
      </c>
      <c r="C276">
        <v>4</v>
      </c>
      <c r="D276" s="8">
        <v>1</v>
      </c>
      <c r="E276">
        <f>8.6*5</f>
        <v>43</v>
      </c>
      <c r="F276" s="9" t="s">
        <v>46</v>
      </c>
      <c r="G276" s="9" t="s">
        <v>774</v>
      </c>
      <c r="H276" s="8" t="s">
        <v>1073</v>
      </c>
      <c r="I276">
        <f t="shared" si="16"/>
        <v>172</v>
      </c>
      <c r="J276" s="8">
        <f t="shared" si="17"/>
        <v>78.017887639999998</v>
      </c>
      <c r="K276">
        <v>1.23</v>
      </c>
      <c r="L276">
        <f t="shared" si="18"/>
        <v>95.962001797200003</v>
      </c>
    </row>
    <row r="277" spans="1:12" x14ac:dyDescent="0.2">
      <c r="A277" s="4">
        <v>43346</v>
      </c>
      <c r="B277" s="9" t="s">
        <v>38</v>
      </c>
      <c r="C277">
        <v>4</v>
      </c>
      <c r="D277" s="8">
        <v>1</v>
      </c>
      <c r="E277">
        <f>8.6*5</f>
        <v>43</v>
      </c>
      <c r="F277" s="9" t="s">
        <v>47</v>
      </c>
      <c r="G277" s="9" t="s">
        <v>774</v>
      </c>
      <c r="H277" s="8" t="s">
        <v>1073</v>
      </c>
      <c r="I277">
        <f t="shared" si="16"/>
        <v>172</v>
      </c>
      <c r="J277" s="8">
        <f t="shared" si="17"/>
        <v>78.017887639999998</v>
      </c>
      <c r="K277">
        <v>1.23</v>
      </c>
      <c r="L277">
        <f t="shared" si="18"/>
        <v>95.962001797200003</v>
      </c>
    </row>
    <row r="278" spans="1:12" x14ac:dyDescent="0.2">
      <c r="A278" s="4">
        <v>43346</v>
      </c>
      <c r="B278" s="9" t="s">
        <v>38</v>
      </c>
      <c r="C278">
        <v>36</v>
      </c>
      <c r="D278" s="8">
        <v>1</v>
      </c>
      <c r="E278">
        <v>2.0499999999999998</v>
      </c>
      <c r="F278" s="9" t="s">
        <v>44</v>
      </c>
      <c r="G278" s="9" t="s">
        <v>774</v>
      </c>
      <c r="H278" s="8" t="s">
        <v>1073</v>
      </c>
      <c r="I278">
        <f t="shared" si="16"/>
        <v>73.8</v>
      </c>
      <c r="J278" s="8">
        <f t="shared" si="17"/>
        <v>33.475116906000004</v>
      </c>
      <c r="K278">
        <v>1.23</v>
      </c>
      <c r="L278">
        <f t="shared" si="18"/>
        <v>41.174393794380002</v>
      </c>
    </row>
    <row r="279" spans="1:12" x14ac:dyDescent="0.2">
      <c r="A279" s="4">
        <v>43348</v>
      </c>
      <c r="B279" s="9" t="s">
        <v>38</v>
      </c>
      <c r="C279">
        <v>6</v>
      </c>
      <c r="D279" s="8">
        <v>1</v>
      </c>
      <c r="E279">
        <f>8.6*5</f>
        <v>43</v>
      </c>
      <c r="F279" s="9" t="s">
        <v>39</v>
      </c>
      <c r="G279" s="9" t="s">
        <v>774</v>
      </c>
      <c r="H279" s="8" t="s">
        <v>1073</v>
      </c>
      <c r="I279">
        <f t="shared" si="16"/>
        <v>258</v>
      </c>
      <c r="J279" s="8">
        <f t="shared" si="17"/>
        <v>117.02683146</v>
      </c>
      <c r="K279">
        <v>1.23</v>
      </c>
      <c r="L279">
        <f t="shared" si="18"/>
        <v>143.9430026958</v>
      </c>
    </row>
    <row r="280" spans="1:12" x14ac:dyDescent="0.2">
      <c r="A280" s="4">
        <v>43348</v>
      </c>
      <c r="B280" s="9" t="s">
        <v>38</v>
      </c>
      <c r="C280">
        <v>6</v>
      </c>
      <c r="D280" s="8">
        <v>1</v>
      </c>
      <c r="E280">
        <f>8.6*5</f>
        <v>43</v>
      </c>
      <c r="F280" s="9" t="s">
        <v>40</v>
      </c>
      <c r="G280" s="9" t="s">
        <v>774</v>
      </c>
      <c r="H280" s="8" t="s">
        <v>1073</v>
      </c>
      <c r="I280">
        <f t="shared" si="16"/>
        <v>258</v>
      </c>
      <c r="J280" s="8">
        <f t="shared" si="17"/>
        <v>117.02683146</v>
      </c>
      <c r="K280">
        <v>1.23</v>
      </c>
      <c r="L280">
        <f t="shared" si="18"/>
        <v>143.9430026958</v>
      </c>
    </row>
    <row r="281" spans="1:12" x14ac:dyDescent="0.2">
      <c r="A281" s="4">
        <v>43348</v>
      </c>
      <c r="B281" s="9" t="s">
        <v>38</v>
      </c>
      <c r="C281">
        <v>6</v>
      </c>
      <c r="D281" s="8">
        <v>1</v>
      </c>
      <c r="E281">
        <f>8.6*5</f>
        <v>43</v>
      </c>
      <c r="F281" s="9" t="s">
        <v>46</v>
      </c>
      <c r="G281" s="9" t="s">
        <v>774</v>
      </c>
      <c r="H281" s="8" t="s">
        <v>1073</v>
      </c>
      <c r="I281">
        <f t="shared" si="16"/>
        <v>258</v>
      </c>
      <c r="J281" s="8">
        <f t="shared" si="17"/>
        <v>117.02683146</v>
      </c>
      <c r="K281">
        <v>1.23</v>
      </c>
      <c r="L281">
        <f t="shared" si="18"/>
        <v>143.9430026958</v>
      </c>
    </row>
    <row r="282" spans="1:12" x14ac:dyDescent="0.2">
      <c r="A282" s="4">
        <v>43348</v>
      </c>
      <c r="B282" s="9" t="s">
        <v>38</v>
      </c>
      <c r="C282">
        <v>6</v>
      </c>
      <c r="D282" s="8">
        <v>1</v>
      </c>
      <c r="E282">
        <f>8.6*5</f>
        <v>43</v>
      </c>
      <c r="F282" s="9" t="s">
        <v>47</v>
      </c>
      <c r="G282" s="9" t="s">
        <v>774</v>
      </c>
      <c r="H282" s="8" t="s">
        <v>1073</v>
      </c>
      <c r="I282">
        <f t="shared" si="16"/>
        <v>258</v>
      </c>
      <c r="J282" s="8">
        <f t="shared" si="17"/>
        <v>117.02683146</v>
      </c>
      <c r="K282">
        <v>1.23</v>
      </c>
      <c r="L282">
        <f t="shared" si="18"/>
        <v>143.9430026958</v>
      </c>
    </row>
    <row r="283" spans="1:12" x14ac:dyDescent="0.2">
      <c r="A283" s="4">
        <v>43348</v>
      </c>
      <c r="B283" s="9" t="s">
        <v>38</v>
      </c>
      <c r="C283">
        <v>24</v>
      </c>
      <c r="D283" s="8">
        <v>1</v>
      </c>
      <c r="E283" s="9">
        <v>2.0499999999999998</v>
      </c>
      <c r="F283" s="9" t="s">
        <v>44</v>
      </c>
      <c r="G283" s="9" t="s">
        <v>774</v>
      </c>
      <c r="H283" s="8" t="s">
        <v>1073</v>
      </c>
      <c r="I283">
        <f t="shared" si="16"/>
        <v>49.199999999999996</v>
      </c>
      <c r="J283" s="8">
        <f t="shared" si="17"/>
        <v>22.316744604</v>
      </c>
      <c r="K283">
        <v>1.23</v>
      </c>
      <c r="L283">
        <f t="shared" si="18"/>
        <v>27.449595862919999</v>
      </c>
    </row>
    <row r="284" spans="1:12" x14ac:dyDescent="0.2">
      <c r="A284" s="4">
        <v>43437</v>
      </c>
      <c r="B284" t="s">
        <v>517</v>
      </c>
      <c r="C284">
        <v>1</v>
      </c>
      <c r="D284">
        <v>20</v>
      </c>
      <c r="E284">
        <f>1/2</f>
        <v>0.5</v>
      </c>
      <c r="F284" t="s">
        <v>465</v>
      </c>
      <c r="G284" t="s">
        <v>774</v>
      </c>
      <c r="H284" s="9" t="s">
        <v>1073</v>
      </c>
      <c r="I284">
        <f t="shared" si="16"/>
        <v>10</v>
      </c>
      <c r="J284">
        <f t="shared" si="17"/>
        <v>4.5359237000000006</v>
      </c>
      <c r="K284">
        <v>1.23</v>
      </c>
      <c r="L284">
        <f t="shared" si="18"/>
        <v>5.5791861510000009</v>
      </c>
    </row>
    <row r="285" spans="1:12" x14ac:dyDescent="0.2">
      <c r="A285" s="4">
        <v>43434</v>
      </c>
      <c r="B285" t="s">
        <v>538</v>
      </c>
      <c r="C285">
        <v>1</v>
      </c>
      <c r="D285">
        <v>4</v>
      </c>
      <c r="E285">
        <f>11.89</f>
        <v>11.89</v>
      </c>
      <c r="F285" t="s">
        <v>547</v>
      </c>
      <c r="G285" t="s">
        <v>865</v>
      </c>
      <c r="H285" s="9" t="s">
        <v>1071</v>
      </c>
      <c r="I285">
        <f t="shared" si="16"/>
        <v>47.56</v>
      </c>
      <c r="J285">
        <f t="shared" si="17"/>
        <v>21.572853117200001</v>
      </c>
      <c r="K285">
        <v>0.48799999999999999</v>
      </c>
      <c r="L285">
        <f t="shared" si="18"/>
        <v>10.5275523211936</v>
      </c>
    </row>
    <row r="286" spans="1:12" x14ac:dyDescent="0.2">
      <c r="A286" s="4">
        <v>43343</v>
      </c>
      <c r="B286" s="6" t="s">
        <v>1074</v>
      </c>
      <c r="C286">
        <v>1</v>
      </c>
      <c r="D286" s="8">
        <v>1</v>
      </c>
      <c r="E286">
        <f>10*4</f>
        <v>40</v>
      </c>
      <c r="F286" t="s">
        <v>104</v>
      </c>
      <c r="G286" t="s">
        <v>233</v>
      </c>
      <c r="H286" s="8" t="s">
        <v>1071</v>
      </c>
      <c r="I286">
        <f t="shared" si="16"/>
        <v>40</v>
      </c>
      <c r="J286" s="8">
        <f t="shared" si="17"/>
        <v>18.143694800000002</v>
      </c>
      <c r="K286">
        <v>3.093</v>
      </c>
      <c r="L286">
        <f t="shared" si="18"/>
        <v>56.118448016400009</v>
      </c>
    </row>
    <row r="287" spans="1:12" x14ac:dyDescent="0.2">
      <c r="A287" s="4">
        <v>43343</v>
      </c>
      <c r="B287" s="6" t="s">
        <v>1074</v>
      </c>
      <c r="C287">
        <v>1</v>
      </c>
      <c r="D287" s="8">
        <v>1</v>
      </c>
      <c r="E287">
        <f>5*5</f>
        <v>25</v>
      </c>
      <c r="F287" t="s">
        <v>105</v>
      </c>
      <c r="G287" t="s">
        <v>233</v>
      </c>
      <c r="H287" s="8" t="s">
        <v>1071</v>
      </c>
      <c r="I287">
        <f t="shared" si="16"/>
        <v>25</v>
      </c>
      <c r="J287" s="8">
        <f t="shared" si="17"/>
        <v>11.33980925</v>
      </c>
      <c r="K287">
        <v>3.093</v>
      </c>
      <c r="L287">
        <f t="shared" si="18"/>
        <v>35.074030010249999</v>
      </c>
    </row>
    <row r="288" spans="1:12" x14ac:dyDescent="0.2">
      <c r="A288" s="4">
        <v>43343</v>
      </c>
      <c r="B288" s="6" t="s">
        <v>1074</v>
      </c>
      <c r="C288">
        <v>1</v>
      </c>
      <c r="D288" s="8">
        <v>1</v>
      </c>
      <c r="E288">
        <f>5*5</f>
        <v>25</v>
      </c>
      <c r="F288" t="s">
        <v>106</v>
      </c>
      <c r="G288" t="s">
        <v>233</v>
      </c>
      <c r="H288" s="8" t="s">
        <v>1071</v>
      </c>
      <c r="I288">
        <f t="shared" si="16"/>
        <v>25</v>
      </c>
      <c r="J288" s="8">
        <f t="shared" si="17"/>
        <v>11.33980925</v>
      </c>
      <c r="K288">
        <v>3.093</v>
      </c>
      <c r="L288">
        <f t="shared" si="18"/>
        <v>35.074030010249999</v>
      </c>
    </row>
    <row r="289" spans="1:12" x14ac:dyDescent="0.2">
      <c r="A289" s="4">
        <v>43344</v>
      </c>
      <c r="B289" s="6" t="s">
        <v>1074</v>
      </c>
      <c r="C289">
        <v>2</v>
      </c>
      <c r="D289" s="8">
        <v>1</v>
      </c>
      <c r="E289">
        <v>10</v>
      </c>
      <c r="F289" t="s">
        <v>123</v>
      </c>
      <c r="G289" t="s">
        <v>233</v>
      </c>
      <c r="H289" s="8" t="s">
        <v>1071</v>
      </c>
      <c r="I289">
        <f t="shared" si="16"/>
        <v>20</v>
      </c>
      <c r="J289" s="8">
        <f t="shared" si="17"/>
        <v>9.0718474000000011</v>
      </c>
      <c r="K289">
        <v>3.093</v>
      </c>
      <c r="L289">
        <f t="shared" si="18"/>
        <v>28.059224008200005</v>
      </c>
    </row>
    <row r="290" spans="1:12" x14ac:dyDescent="0.2">
      <c r="A290" s="4">
        <v>43344</v>
      </c>
      <c r="B290" s="6" t="s">
        <v>1074</v>
      </c>
      <c r="C290">
        <v>6</v>
      </c>
      <c r="D290" s="8">
        <v>1</v>
      </c>
      <c r="E290">
        <v>5</v>
      </c>
      <c r="F290" t="s">
        <v>1021</v>
      </c>
      <c r="G290" t="s">
        <v>233</v>
      </c>
      <c r="H290" s="8" t="s">
        <v>1071</v>
      </c>
      <c r="I290">
        <f t="shared" si="16"/>
        <v>30</v>
      </c>
      <c r="J290" s="8">
        <f t="shared" si="17"/>
        <v>13.607771100000001</v>
      </c>
      <c r="K290">
        <v>3.093</v>
      </c>
      <c r="L290">
        <f t="shared" si="18"/>
        <v>42.0888360123</v>
      </c>
    </row>
    <row r="291" spans="1:12" x14ac:dyDescent="0.2">
      <c r="A291" s="4">
        <v>43344</v>
      </c>
      <c r="B291" s="6" t="s">
        <v>1074</v>
      </c>
      <c r="C291">
        <v>12</v>
      </c>
      <c r="D291" s="8">
        <v>1</v>
      </c>
      <c r="E291">
        <v>5</v>
      </c>
      <c r="F291" t="s">
        <v>1022</v>
      </c>
      <c r="G291" t="s">
        <v>233</v>
      </c>
      <c r="H291" s="8" t="s">
        <v>1071</v>
      </c>
      <c r="I291">
        <f t="shared" si="16"/>
        <v>60</v>
      </c>
      <c r="J291" s="8">
        <f t="shared" si="17"/>
        <v>27.215542200000002</v>
      </c>
      <c r="K291">
        <v>3.093</v>
      </c>
      <c r="L291">
        <f t="shared" si="18"/>
        <v>84.1776720246</v>
      </c>
    </row>
    <row r="292" spans="1:12" x14ac:dyDescent="0.2">
      <c r="A292" s="4">
        <v>43346</v>
      </c>
      <c r="B292" s="6" t="s">
        <v>1074</v>
      </c>
      <c r="C292">
        <v>10</v>
      </c>
      <c r="D292" s="8">
        <v>1</v>
      </c>
      <c r="E292">
        <v>5</v>
      </c>
      <c r="F292" t="s">
        <v>1021</v>
      </c>
      <c r="G292" t="s">
        <v>233</v>
      </c>
      <c r="H292" s="8" t="s">
        <v>1071</v>
      </c>
      <c r="I292">
        <f t="shared" si="16"/>
        <v>50</v>
      </c>
      <c r="J292" s="8">
        <f t="shared" si="17"/>
        <v>22.6796185</v>
      </c>
      <c r="K292">
        <v>3.093</v>
      </c>
      <c r="L292">
        <f t="shared" si="18"/>
        <v>70.148060020499997</v>
      </c>
    </row>
    <row r="293" spans="1:12" x14ac:dyDescent="0.2">
      <c r="A293" s="4">
        <v>43347</v>
      </c>
      <c r="B293" s="6" t="s">
        <v>1074</v>
      </c>
      <c r="C293">
        <v>2</v>
      </c>
      <c r="D293" s="8">
        <v>1</v>
      </c>
      <c r="E293">
        <v>5</v>
      </c>
      <c r="F293" t="s">
        <v>1022</v>
      </c>
      <c r="G293" t="s">
        <v>233</v>
      </c>
      <c r="H293" s="8" t="s">
        <v>1071</v>
      </c>
      <c r="I293">
        <f t="shared" si="16"/>
        <v>10</v>
      </c>
      <c r="J293" s="8">
        <f t="shared" si="17"/>
        <v>4.5359237000000006</v>
      </c>
      <c r="K293">
        <v>3.093</v>
      </c>
      <c r="L293">
        <f t="shared" si="18"/>
        <v>14.029612004100002</v>
      </c>
    </row>
    <row r="294" spans="1:12" x14ac:dyDescent="0.2">
      <c r="A294" s="4">
        <v>43347</v>
      </c>
      <c r="B294" s="6" t="s">
        <v>1074</v>
      </c>
      <c r="C294">
        <v>5</v>
      </c>
      <c r="D294" s="8">
        <v>1</v>
      </c>
      <c r="E294">
        <v>5</v>
      </c>
      <c r="F294" t="s">
        <v>1022</v>
      </c>
      <c r="G294" t="s">
        <v>233</v>
      </c>
      <c r="H294" s="8" t="s">
        <v>1071</v>
      </c>
      <c r="I294">
        <f t="shared" si="16"/>
        <v>25</v>
      </c>
      <c r="J294" s="8">
        <f t="shared" si="17"/>
        <v>11.33980925</v>
      </c>
      <c r="K294">
        <v>3.093</v>
      </c>
      <c r="L294">
        <f t="shared" si="18"/>
        <v>35.074030010249999</v>
      </c>
    </row>
    <row r="295" spans="1:12" x14ac:dyDescent="0.2">
      <c r="A295" s="4">
        <v>43348</v>
      </c>
      <c r="B295" s="6" t="s">
        <v>1074</v>
      </c>
      <c r="C295">
        <v>2</v>
      </c>
      <c r="D295" s="8">
        <v>1</v>
      </c>
      <c r="E295">
        <v>5</v>
      </c>
      <c r="F295" t="s">
        <v>165</v>
      </c>
      <c r="G295" t="s">
        <v>233</v>
      </c>
      <c r="H295" s="8" t="s">
        <v>1071</v>
      </c>
      <c r="I295">
        <f t="shared" si="16"/>
        <v>10</v>
      </c>
      <c r="J295" s="8">
        <f t="shared" si="17"/>
        <v>4.5359237000000006</v>
      </c>
      <c r="K295">
        <v>3.093</v>
      </c>
      <c r="L295">
        <f t="shared" si="18"/>
        <v>14.029612004100002</v>
      </c>
    </row>
    <row r="296" spans="1:12" x14ac:dyDescent="0.2">
      <c r="A296" s="4">
        <v>43349</v>
      </c>
      <c r="B296" s="6" t="s">
        <v>1074</v>
      </c>
      <c r="C296">
        <v>6</v>
      </c>
      <c r="D296" s="8">
        <v>1</v>
      </c>
      <c r="E296">
        <v>5</v>
      </c>
      <c r="F296" t="s">
        <v>167</v>
      </c>
      <c r="G296" t="s">
        <v>233</v>
      </c>
      <c r="H296" s="8" t="s">
        <v>1071</v>
      </c>
      <c r="I296">
        <f t="shared" si="16"/>
        <v>30</v>
      </c>
      <c r="J296" s="8">
        <f t="shared" si="17"/>
        <v>13.607771100000001</v>
      </c>
      <c r="K296">
        <v>3.093</v>
      </c>
      <c r="L296">
        <f t="shared" si="18"/>
        <v>42.0888360123</v>
      </c>
    </row>
    <row r="297" spans="1:12" x14ac:dyDescent="0.2">
      <c r="A297" s="4">
        <v>43349</v>
      </c>
      <c r="B297" s="6" t="s">
        <v>1074</v>
      </c>
      <c r="C297">
        <v>4</v>
      </c>
      <c r="D297" s="8">
        <v>1</v>
      </c>
      <c r="E297">
        <v>10</v>
      </c>
      <c r="F297" t="s">
        <v>170</v>
      </c>
      <c r="G297" t="s">
        <v>233</v>
      </c>
      <c r="H297" s="8" t="s">
        <v>1071</v>
      </c>
      <c r="I297">
        <f t="shared" si="16"/>
        <v>40</v>
      </c>
      <c r="J297" s="8">
        <f t="shared" si="17"/>
        <v>18.143694800000002</v>
      </c>
      <c r="K297">
        <v>3.093</v>
      </c>
      <c r="L297">
        <f t="shared" si="18"/>
        <v>56.118448016400009</v>
      </c>
    </row>
    <row r="298" spans="1:12" x14ac:dyDescent="0.2">
      <c r="A298" s="4">
        <v>43437</v>
      </c>
      <c r="B298" t="s">
        <v>538</v>
      </c>
      <c r="C298">
        <v>3</v>
      </c>
      <c r="D298">
        <v>4</v>
      </c>
      <c r="E298">
        <v>5</v>
      </c>
      <c r="F298" t="s">
        <v>586</v>
      </c>
      <c r="G298" s="6" t="s">
        <v>876</v>
      </c>
      <c r="H298" s="9" t="s">
        <v>1071</v>
      </c>
      <c r="I298">
        <f t="shared" si="16"/>
        <v>60</v>
      </c>
      <c r="J298">
        <f t="shared" si="17"/>
        <v>27.215542200000002</v>
      </c>
      <c r="K298">
        <v>5.99</v>
      </c>
      <c r="L298">
        <f t="shared" si="18"/>
        <v>163.02109777800001</v>
      </c>
    </row>
    <row r="299" spans="1:12" x14ac:dyDescent="0.2">
      <c r="A299" s="4">
        <v>43439</v>
      </c>
      <c r="B299" t="s">
        <v>538</v>
      </c>
      <c r="C299">
        <v>3</v>
      </c>
      <c r="D299">
        <v>4</v>
      </c>
      <c r="E299">
        <v>5</v>
      </c>
      <c r="F299" t="s">
        <v>586</v>
      </c>
      <c r="G299" s="6" t="s">
        <v>876</v>
      </c>
      <c r="H299" s="9" t="s">
        <v>1071</v>
      </c>
      <c r="I299">
        <f t="shared" si="16"/>
        <v>60</v>
      </c>
      <c r="J299">
        <f t="shared" si="17"/>
        <v>27.215542200000002</v>
      </c>
      <c r="K299">
        <v>5.99</v>
      </c>
      <c r="L299">
        <f t="shared" si="18"/>
        <v>163.02109777800001</v>
      </c>
    </row>
    <row r="300" spans="1:12" x14ac:dyDescent="0.2">
      <c r="A300" s="4">
        <v>43437</v>
      </c>
      <c r="B300" t="s">
        <v>531</v>
      </c>
      <c r="C300">
        <v>3</v>
      </c>
      <c r="D300">
        <v>4</v>
      </c>
      <c r="E300">
        <v>5</v>
      </c>
      <c r="F300" t="s">
        <v>418</v>
      </c>
      <c r="G300" s="6" t="s">
        <v>876</v>
      </c>
      <c r="H300" s="9" t="s">
        <v>1071</v>
      </c>
      <c r="I300">
        <f t="shared" si="16"/>
        <v>60</v>
      </c>
      <c r="J300">
        <f t="shared" si="17"/>
        <v>27.215542200000002</v>
      </c>
      <c r="K300" s="6">
        <v>5.99</v>
      </c>
      <c r="L300">
        <f t="shared" si="18"/>
        <v>163.02109777800001</v>
      </c>
    </row>
    <row r="301" spans="1:12" x14ac:dyDescent="0.2">
      <c r="A301" s="4">
        <v>43437</v>
      </c>
      <c r="B301" t="s">
        <v>538</v>
      </c>
      <c r="C301">
        <v>6</v>
      </c>
      <c r="D301">
        <v>4</v>
      </c>
      <c r="E301">
        <v>7.9</v>
      </c>
      <c r="F301" t="s">
        <v>455</v>
      </c>
      <c r="G301" t="s">
        <v>867</v>
      </c>
      <c r="H301" s="9" t="s">
        <v>1071</v>
      </c>
      <c r="I301">
        <f t="shared" si="16"/>
        <v>189.60000000000002</v>
      </c>
      <c r="J301">
        <f t="shared" si="17"/>
        <v>86.001113352000019</v>
      </c>
      <c r="K301">
        <v>2.6459999999999999</v>
      </c>
      <c r="L301">
        <f t="shared" si="18"/>
        <v>227.55894592939205</v>
      </c>
    </row>
    <row r="302" spans="1:12" x14ac:dyDescent="0.2">
      <c r="A302" s="4">
        <v>43439</v>
      </c>
      <c r="B302" t="s">
        <v>538</v>
      </c>
      <c r="C302">
        <v>3</v>
      </c>
      <c r="D302">
        <v>1</v>
      </c>
      <c r="E302">
        <v>35</v>
      </c>
      <c r="F302" t="s">
        <v>441</v>
      </c>
      <c r="G302" t="s">
        <v>867</v>
      </c>
      <c r="H302" s="9" t="s">
        <v>1071</v>
      </c>
      <c r="I302">
        <f t="shared" si="16"/>
        <v>105</v>
      </c>
      <c r="J302">
        <f t="shared" si="17"/>
        <v>47.627198849999999</v>
      </c>
      <c r="K302">
        <v>2.6459999999999999</v>
      </c>
      <c r="L302">
        <f t="shared" si="18"/>
        <v>126.02156815709999</v>
      </c>
    </row>
    <row r="303" spans="1:12" x14ac:dyDescent="0.2">
      <c r="A303" s="4">
        <v>43439</v>
      </c>
      <c r="B303" t="s">
        <v>538</v>
      </c>
      <c r="C303">
        <v>6</v>
      </c>
      <c r="D303">
        <v>4</v>
      </c>
      <c r="E303">
        <v>7.9</v>
      </c>
      <c r="F303" t="s">
        <v>455</v>
      </c>
      <c r="G303" t="s">
        <v>867</v>
      </c>
      <c r="H303" s="9" t="s">
        <v>1071</v>
      </c>
      <c r="I303">
        <f t="shared" si="16"/>
        <v>189.60000000000002</v>
      </c>
      <c r="J303">
        <f t="shared" si="17"/>
        <v>86.001113352000019</v>
      </c>
      <c r="K303">
        <v>2.6459999999999999</v>
      </c>
      <c r="L303">
        <f t="shared" si="18"/>
        <v>227.55894592939205</v>
      </c>
    </row>
    <row r="304" spans="1:12" x14ac:dyDescent="0.2">
      <c r="A304" s="4">
        <v>43434</v>
      </c>
      <c r="B304" t="s">
        <v>538</v>
      </c>
      <c r="C304">
        <v>6</v>
      </c>
      <c r="D304">
        <v>4</v>
      </c>
      <c r="E304">
        <v>7.9</v>
      </c>
      <c r="F304" t="s">
        <v>455</v>
      </c>
      <c r="G304" t="s">
        <v>867</v>
      </c>
      <c r="H304" s="9" t="s">
        <v>1071</v>
      </c>
      <c r="I304">
        <f t="shared" si="16"/>
        <v>189.60000000000002</v>
      </c>
      <c r="J304">
        <f t="shared" si="17"/>
        <v>86.001113352000019</v>
      </c>
      <c r="K304">
        <v>2.6459999999999999</v>
      </c>
      <c r="L304">
        <f t="shared" si="18"/>
        <v>227.55894592939205</v>
      </c>
    </row>
    <row r="305" spans="1:12" x14ac:dyDescent="0.2">
      <c r="A305" s="4">
        <v>43439</v>
      </c>
      <c r="B305" t="s">
        <v>538</v>
      </c>
      <c r="C305">
        <v>1</v>
      </c>
      <c r="D305">
        <v>6</v>
      </c>
      <c r="E305">
        <v>10</v>
      </c>
      <c r="F305" t="s">
        <v>445</v>
      </c>
      <c r="G305" t="s">
        <v>883</v>
      </c>
      <c r="H305" s="9" t="s">
        <v>1071</v>
      </c>
      <c r="I305">
        <f t="shared" si="16"/>
        <v>60</v>
      </c>
      <c r="J305">
        <f t="shared" si="17"/>
        <v>27.215542200000002</v>
      </c>
      <c r="K305">
        <v>3.206</v>
      </c>
      <c r="L305">
        <f t="shared" si="18"/>
        <v>87.253028293200003</v>
      </c>
    </row>
    <row r="306" spans="1:12" x14ac:dyDescent="0.2">
      <c r="A306" s="4">
        <v>43343</v>
      </c>
      <c r="B306" s="6" t="s">
        <v>1074</v>
      </c>
      <c r="C306">
        <v>1</v>
      </c>
      <c r="D306" s="8">
        <v>1</v>
      </c>
      <c r="E306">
        <f>5*4</f>
        <v>20</v>
      </c>
      <c r="F306" t="s">
        <v>68</v>
      </c>
      <c r="G306" t="s">
        <v>762</v>
      </c>
      <c r="H306" s="8" t="s">
        <v>1071</v>
      </c>
      <c r="I306">
        <f t="shared" si="16"/>
        <v>20</v>
      </c>
      <c r="J306" s="8">
        <f t="shared" si="17"/>
        <v>9.0718474000000011</v>
      </c>
      <c r="K306">
        <v>0.26900000000000002</v>
      </c>
      <c r="L306">
        <f t="shared" si="18"/>
        <v>2.4403269506000003</v>
      </c>
    </row>
    <row r="307" spans="1:12" x14ac:dyDescent="0.2">
      <c r="A307" s="4">
        <v>43343</v>
      </c>
      <c r="B307" s="6" t="s">
        <v>1074</v>
      </c>
      <c r="C307">
        <v>1</v>
      </c>
      <c r="D307" s="8">
        <v>1</v>
      </c>
      <c r="E307">
        <f>25*2</f>
        <v>50</v>
      </c>
      <c r="F307" t="s">
        <v>108</v>
      </c>
      <c r="G307" t="s">
        <v>762</v>
      </c>
      <c r="H307" s="8" t="s">
        <v>1071</v>
      </c>
      <c r="I307">
        <f t="shared" si="16"/>
        <v>50</v>
      </c>
      <c r="J307" s="8">
        <f t="shared" si="17"/>
        <v>22.6796185</v>
      </c>
      <c r="K307">
        <v>0.26900000000000002</v>
      </c>
      <c r="L307">
        <f t="shared" si="18"/>
        <v>6.1008173765000002</v>
      </c>
    </row>
    <row r="308" spans="1:12" x14ac:dyDescent="0.2">
      <c r="A308" s="4">
        <v>43343</v>
      </c>
      <c r="B308" s="6" t="s">
        <v>1074</v>
      </c>
      <c r="C308">
        <v>1</v>
      </c>
      <c r="D308" s="8">
        <v>1</v>
      </c>
      <c r="E308">
        <f>50*2</f>
        <v>100</v>
      </c>
      <c r="F308" t="s">
        <v>109</v>
      </c>
      <c r="G308" t="s">
        <v>762</v>
      </c>
      <c r="H308" s="8" t="s">
        <v>1071</v>
      </c>
      <c r="I308">
        <f t="shared" si="16"/>
        <v>100</v>
      </c>
      <c r="J308" s="8">
        <f t="shared" si="17"/>
        <v>45.359237</v>
      </c>
      <c r="K308">
        <v>0.26900000000000002</v>
      </c>
      <c r="L308">
        <f t="shared" si="18"/>
        <v>12.201634753</v>
      </c>
    </row>
    <row r="309" spans="1:12" x14ac:dyDescent="0.2">
      <c r="A309" s="4">
        <v>43344</v>
      </c>
      <c r="B309" s="6" t="s">
        <v>1074</v>
      </c>
      <c r="C309">
        <v>2</v>
      </c>
      <c r="D309" s="8">
        <v>1</v>
      </c>
      <c r="E309">
        <v>25</v>
      </c>
      <c r="F309" t="s">
        <v>1023</v>
      </c>
      <c r="G309" t="s">
        <v>762</v>
      </c>
      <c r="H309" s="8" t="s">
        <v>1071</v>
      </c>
      <c r="I309">
        <f t="shared" si="16"/>
        <v>50</v>
      </c>
      <c r="J309" s="8">
        <f t="shared" si="17"/>
        <v>22.6796185</v>
      </c>
      <c r="K309">
        <v>0.26900000000000002</v>
      </c>
      <c r="L309">
        <f t="shared" si="18"/>
        <v>6.1008173765000002</v>
      </c>
    </row>
    <row r="310" spans="1:12" x14ac:dyDescent="0.2">
      <c r="A310" s="4">
        <v>43344</v>
      </c>
      <c r="B310" s="6" t="s">
        <v>1074</v>
      </c>
      <c r="C310">
        <v>2</v>
      </c>
      <c r="D310" s="8">
        <v>1</v>
      </c>
      <c r="E310">
        <v>50</v>
      </c>
      <c r="F310" t="s">
        <v>124</v>
      </c>
      <c r="G310" t="s">
        <v>762</v>
      </c>
      <c r="H310" s="8" t="s">
        <v>1071</v>
      </c>
      <c r="I310">
        <f t="shared" ref="I310:I373" si="19">C310*D310*E310</f>
        <v>100</v>
      </c>
      <c r="J310" s="8">
        <f t="shared" si="17"/>
        <v>45.359237</v>
      </c>
      <c r="K310">
        <v>0.26900000000000002</v>
      </c>
      <c r="L310">
        <f t="shared" si="18"/>
        <v>12.201634753</v>
      </c>
    </row>
    <row r="311" spans="1:12" x14ac:dyDescent="0.2">
      <c r="A311" s="4">
        <v>43344</v>
      </c>
      <c r="B311" s="6" t="s">
        <v>1074</v>
      </c>
      <c r="C311">
        <v>4</v>
      </c>
      <c r="D311" s="8">
        <v>1</v>
      </c>
      <c r="E311">
        <v>20</v>
      </c>
      <c r="F311" t="s">
        <v>1026</v>
      </c>
      <c r="G311" t="s">
        <v>762</v>
      </c>
      <c r="H311" s="8" t="s">
        <v>1071</v>
      </c>
      <c r="I311">
        <f t="shared" si="19"/>
        <v>80</v>
      </c>
      <c r="J311" s="8">
        <f t="shared" si="17"/>
        <v>36.287389600000004</v>
      </c>
      <c r="K311">
        <v>0.26900000000000002</v>
      </c>
      <c r="L311">
        <f t="shared" si="18"/>
        <v>9.7613078024000011</v>
      </c>
    </row>
    <row r="312" spans="1:12" x14ac:dyDescent="0.2">
      <c r="A312" s="4">
        <v>43347</v>
      </c>
      <c r="B312" s="6" t="s">
        <v>1074</v>
      </c>
      <c r="C312">
        <v>1</v>
      </c>
      <c r="D312" s="8">
        <v>1</v>
      </c>
      <c r="E312">
        <f>24/16</f>
        <v>1.5</v>
      </c>
      <c r="F312" t="s">
        <v>159</v>
      </c>
      <c r="G312" t="s">
        <v>762</v>
      </c>
      <c r="H312" s="8" t="s">
        <v>1071</v>
      </c>
      <c r="I312">
        <f t="shared" si="19"/>
        <v>1.5</v>
      </c>
      <c r="J312" s="8">
        <f t="shared" si="17"/>
        <v>0.68038855500000006</v>
      </c>
      <c r="K312">
        <v>0.26900000000000002</v>
      </c>
      <c r="L312">
        <f t="shared" si="18"/>
        <v>0.18302452129500002</v>
      </c>
    </row>
    <row r="313" spans="1:12" x14ac:dyDescent="0.2">
      <c r="A313" s="4">
        <v>43347</v>
      </c>
      <c r="B313" s="6" t="s">
        <v>1074</v>
      </c>
      <c r="C313">
        <v>1</v>
      </c>
      <c r="D313" s="8">
        <v>1</v>
      </c>
      <c r="E313">
        <v>25</v>
      </c>
      <c r="F313" t="s">
        <v>1023</v>
      </c>
      <c r="G313" t="s">
        <v>762</v>
      </c>
      <c r="H313" s="8" t="s">
        <v>1071</v>
      </c>
      <c r="I313">
        <f t="shared" si="19"/>
        <v>25</v>
      </c>
      <c r="J313" s="8">
        <f t="shared" si="17"/>
        <v>11.33980925</v>
      </c>
      <c r="K313">
        <v>0.26900000000000002</v>
      </c>
      <c r="L313">
        <f t="shared" si="18"/>
        <v>3.0504086882500001</v>
      </c>
    </row>
    <row r="314" spans="1:12" x14ac:dyDescent="0.2">
      <c r="A314" s="4">
        <v>43347</v>
      </c>
      <c r="B314" s="6" t="s">
        <v>1074</v>
      </c>
      <c r="C314">
        <v>1</v>
      </c>
      <c r="D314" s="8">
        <v>1</v>
      </c>
      <c r="E314">
        <v>50</v>
      </c>
      <c r="F314" t="s">
        <v>124</v>
      </c>
      <c r="G314" t="s">
        <v>762</v>
      </c>
      <c r="H314" s="8" t="s">
        <v>1071</v>
      </c>
      <c r="I314">
        <f t="shared" si="19"/>
        <v>50</v>
      </c>
      <c r="J314" s="8">
        <f t="shared" si="17"/>
        <v>22.6796185</v>
      </c>
      <c r="K314">
        <v>0.26900000000000002</v>
      </c>
      <c r="L314">
        <f t="shared" si="18"/>
        <v>6.1008173765000002</v>
      </c>
    </row>
    <row r="315" spans="1:12" x14ac:dyDescent="0.2">
      <c r="A315" s="4">
        <v>43347</v>
      </c>
      <c r="B315" s="6" t="s">
        <v>1074</v>
      </c>
      <c r="C315">
        <v>1</v>
      </c>
      <c r="D315" s="8">
        <v>1</v>
      </c>
      <c r="E315">
        <v>50</v>
      </c>
      <c r="F315" t="s">
        <v>124</v>
      </c>
      <c r="G315" t="s">
        <v>762</v>
      </c>
      <c r="H315" s="8" t="s">
        <v>1071</v>
      </c>
      <c r="I315">
        <f t="shared" si="19"/>
        <v>50</v>
      </c>
      <c r="J315" s="8">
        <f t="shared" si="17"/>
        <v>22.6796185</v>
      </c>
      <c r="K315">
        <v>0.26900000000000002</v>
      </c>
      <c r="L315">
        <f t="shared" si="18"/>
        <v>6.1008173765000002</v>
      </c>
    </row>
    <row r="316" spans="1:12" x14ac:dyDescent="0.2">
      <c r="A316" s="4">
        <v>43347</v>
      </c>
      <c r="B316" s="6" t="s">
        <v>1074</v>
      </c>
      <c r="C316">
        <v>2</v>
      </c>
      <c r="D316" s="8">
        <v>1</v>
      </c>
      <c r="E316">
        <v>20</v>
      </c>
      <c r="F316" t="s">
        <v>1026</v>
      </c>
      <c r="G316" t="s">
        <v>762</v>
      </c>
      <c r="H316" s="8" t="s">
        <v>1071</v>
      </c>
      <c r="I316">
        <f t="shared" si="19"/>
        <v>40</v>
      </c>
      <c r="J316" s="8">
        <f t="shared" si="17"/>
        <v>18.143694800000002</v>
      </c>
      <c r="K316">
        <v>0.26900000000000002</v>
      </c>
      <c r="L316">
        <f t="shared" si="18"/>
        <v>4.8806539012000005</v>
      </c>
    </row>
    <row r="317" spans="1:12" x14ac:dyDescent="0.2">
      <c r="A317" s="4">
        <v>43343</v>
      </c>
      <c r="B317" s="6" t="s">
        <v>1074</v>
      </c>
      <c r="C317">
        <v>2</v>
      </c>
      <c r="D317" s="8">
        <v>1</v>
      </c>
      <c r="E317">
        <f>24/16</f>
        <v>1.5</v>
      </c>
      <c r="F317" t="s">
        <v>107</v>
      </c>
      <c r="G317" t="s">
        <v>804</v>
      </c>
      <c r="H317" s="8" t="s">
        <v>1071</v>
      </c>
      <c r="I317">
        <f t="shared" si="19"/>
        <v>3</v>
      </c>
      <c r="J317" s="8">
        <f t="shared" si="17"/>
        <v>1.3607771100000001</v>
      </c>
      <c r="K317">
        <v>8.5000000000000006E-2</v>
      </c>
      <c r="L317">
        <f t="shared" si="18"/>
        <v>0.11566605435000002</v>
      </c>
    </row>
    <row r="318" spans="1:12" x14ac:dyDescent="0.2">
      <c r="A318" s="4">
        <v>43346</v>
      </c>
      <c r="B318" s="6" t="s">
        <v>1074</v>
      </c>
      <c r="C318">
        <v>1</v>
      </c>
      <c r="D318" s="8">
        <v>1</v>
      </c>
      <c r="E318">
        <f>24/16</f>
        <v>1.5</v>
      </c>
      <c r="F318" s="6" t="s">
        <v>107</v>
      </c>
      <c r="G318" s="6" t="s">
        <v>804</v>
      </c>
      <c r="H318" s="8" t="s">
        <v>1071</v>
      </c>
      <c r="I318">
        <f t="shared" si="19"/>
        <v>1.5</v>
      </c>
      <c r="J318" s="8">
        <f t="shared" si="17"/>
        <v>0.68038855500000006</v>
      </c>
      <c r="K318">
        <v>8.5000000000000006E-2</v>
      </c>
      <c r="L318">
        <f t="shared" si="18"/>
        <v>5.783302717500001E-2</v>
      </c>
    </row>
    <row r="319" spans="1:12" x14ac:dyDescent="0.2">
      <c r="A319" s="4">
        <v>43348</v>
      </c>
      <c r="B319" s="6" t="s">
        <v>1074</v>
      </c>
      <c r="C319">
        <v>2</v>
      </c>
      <c r="D319" s="8">
        <v>1</v>
      </c>
      <c r="E319">
        <v>50</v>
      </c>
      <c r="F319" t="s">
        <v>109</v>
      </c>
      <c r="G319" t="s">
        <v>779</v>
      </c>
      <c r="H319" s="8" t="s">
        <v>1071</v>
      </c>
      <c r="I319">
        <f t="shared" si="19"/>
        <v>100</v>
      </c>
      <c r="J319" s="8">
        <f t="shared" si="17"/>
        <v>45.359237</v>
      </c>
      <c r="K319">
        <v>0.26900000000000002</v>
      </c>
      <c r="L319">
        <f t="shared" si="18"/>
        <v>12.201634753</v>
      </c>
    </row>
    <row r="320" spans="1:12" x14ac:dyDescent="0.2">
      <c r="A320" s="4">
        <v>43349</v>
      </c>
      <c r="B320" s="6" t="s">
        <v>1074</v>
      </c>
      <c r="C320">
        <v>2</v>
      </c>
      <c r="D320" s="8">
        <v>1</v>
      </c>
      <c r="E320">
        <v>50</v>
      </c>
      <c r="F320" t="s">
        <v>109</v>
      </c>
      <c r="G320" t="s">
        <v>779</v>
      </c>
      <c r="H320" s="8" t="s">
        <v>1071</v>
      </c>
      <c r="I320">
        <f t="shared" si="19"/>
        <v>100</v>
      </c>
      <c r="J320" s="8">
        <f t="shared" si="17"/>
        <v>45.359237</v>
      </c>
      <c r="K320">
        <v>0.26900000000000002</v>
      </c>
      <c r="L320">
        <f t="shared" si="18"/>
        <v>12.201634753</v>
      </c>
    </row>
    <row r="321" spans="1:12" x14ac:dyDescent="0.2">
      <c r="A321" s="4">
        <v>43346</v>
      </c>
      <c r="B321" s="6" t="s">
        <v>1074</v>
      </c>
      <c r="C321">
        <v>25</v>
      </c>
      <c r="D321" s="8">
        <v>1</v>
      </c>
      <c r="E321" s="6">
        <f t="shared" ref="E321:E326" si="20">113*0.288806</f>
        <v>32.635078</v>
      </c>
      <c r="F321" t="s">
        <v>132</v>
      </c>
      <c r="G321" t="s">
        <v>776</v>
      </c>
      <c r="H321" s="8" t="s">
        <v>1071</v>
      </c>
      <c r="I321">
        <f t="shared" si="19"/>
        <v>815.87694999999997</v>
      </c>
      <c r="J321" s="8">
        <f t="shared" si="17"/>
        <v>370.0755593788715</v>
      </c>
      <c r="K321">
        <v>0.29399999999999998</v>
      </c>
      <c r="L321">
        <f t="shared" si="18"/>
        <v>108.80221445738822</v>
      </c>
    </row>
    <row r="322" spans="1:12" x14ac:dyDescent="0.2">
      <c r="A322" s="13">
        <v>43346</v>
      </c>
      <c r="B322" s="9" t="s">
        <v>48</v>
      </c>
      <c r="C322" s="6">
        <v>25</v>
      </c>
      <c r="D322" s="8">
        <v>1</v>
      </c>
      <c r="E322" s="6">
        <f t="shared" si="20"/>
        <v>32.635078</v>
      </c>
      <c r="F322" s="6" t="s">
        <v>49</v>
      </c>
      <c r="G322" s="6" t="s">
        <v>49</v>
      </c>
      <c r="H322" s="8" t="s">
        <v>1071</v>
      </c>
      <c r="I322">
        <f t="shared" si="19"/>
        <v>815.87694999999997</v>
      </c>
      <c r="J322" s="8">
        <f t="shared" si="17"/>
        <v>370.0755593788715</v>
      </c>
      <c r="K322">
        <v>0.29399999999999998</v>
      </c>
      <c r="L322">
        <f t="shared" si="18"/>
        <v>108.80221445738822</v>
      </c>
    </row>
    <row r="323" spans="1:12" x14ac:dyDescent="0.2">
      <c r="A323" s="4">
        <v>43343</v>
      </c>
      <c r="B323" t="s">
        <v>48</v>
      </c>
      <c r="C323">
        <v>25</v>
      </c>
      <c r="D323" s="8">
        <v>1</v>
      </c>
      <c r="E323" s="6">
        <f t="shared" si="20"/>
        <v>32.635078</v>
      </c>
      <c r="F323" t="s">
        <v>55</v>
      </c>
      <c r="G323" t="s">
        <v>55</v>
      </c>
      <c r="H323" s="8" t="s">
        <v>1071</v>
      </c>
      <c r="I323">
        <f t="shared" si="19"/>
        <v>815.87694999999997</v>
      </c>
      <c r="J323" s="8">
        <f t="shared" ref="J323:J386" si="21">CONVERT(I323,"lbm","kg")</f>
        <v>370.0755593788715</v>
      </c>
      <c r="K323">
        <v>0.29399999999999998</v>
      </c>
      <c r="L323">
        <f t="shared" ref="L323:L386" si="22">J323*K323</f>
        <v>108.80221445738822</v>
      </c>
    </row>
    <row r="324" spans="1:12" x14ac:dyDescent="0.2">
      <c r="A324" s="4">
        <v>43344</v>
      </c>
      <c r="B324" s="6" t="s">
        <v>1074</v>
      </c>
      <c r="C324">
        <v>40</v>
      </c>
      <c r="D324" s="8">
        <v>1</v>
      </c>
      <c r="E324" s="6">
        <f t="shared" si="20"/>
        <v>32.635078</v>
      </c>
      <c r="F324" t="s">
        <v>132</v>
      </c>
      <c r="G324" t="s">
        <v>55</v>
      </c>
      <c r="H324" s="8" t="s">
        <v>1071</v>
      </c>
      <c r="I324">
        <f t="shared" si="19"/>
        <v>1305.4031199999999</v>
      </c>
      <c r="J324" s="8">
        <f t="shared" si="21"/>
        <v>592.12089500619436</v>
      </c>
      <c r="K324">
        <v>0.29399999999999998</v>
      </c>
      <c r="L324">
        <f t="shared" si="22"/>
        <v>174.08354313182113</v>
      </c>
    </row>
    <row r="325" spans="1:12" x14ac:dyDescent="0.2">
      <c r="A325" s="4">
        <v>43348</v>
      </c>
      <c r="B325" s="6" t="s">
        <v>1074</v>
      </c>
      <c r="C325">
        <v>25</v>
      </c>
      <c r="D325" s="8">
        <v>1</v>
      </c>
      <c r="E325">
        <f t="shared" si="20"/>
        <v>32.635078</v>
      </c>
      <c r="F325" t="s">
        <v>55</v>
      </c>
      <c r="G325" t="s">
        <v>55</v>
      </c>
      <c r="H325" s="8" t="s">
        <v>1071</v>
      </c>
      <c r="I325">
        <f t="shared" si="19"/>
        <v>815.87694999999997</v>
      </c>
      <c r="J325" s="8">
        <f t="shared" si="21"/>
        <v>370.0755593788715</v>
      </c>
      <c r="K325">
        <v>0.29399999999999998</v>
      </c>
      <c r="L325">
        <f t="shared" si="22"/>
        <v>108.80221445738822</v>
      </c>
    </row>
    <row r="326" spans="1:12" x14ac:dyDescent="0.2">
      <c r="A326" s="4">
        <v>43349</v>
      </c>
      <c r="B326" s="6" t="s">
        <v>1074</v>
      </c>
      <c r="C326">
        <v>25</v>
      </c>
      <c r="D326" s="8">
        <v>1</v>
      </c>
      <c r="E326">
        <f t="shared" si="20"/>
        <v>32.635078</v>
      </c>
      <c r="F326" t="s">
        <v>55</v>
      </c>
      <c r="G326" t="s">
        <v>55</v>
      </c>
      <c r="H326" s="8" t="s">
        <v>1071</v>
      </c>
      <c r="I326">
        <f t="shared" si="19"/>
        <v>815.87694999999997</v>
      </c>
      <c r="J326" s="8">
        <f t="shared" si="21"/>
        <v>370.0755593788715</v>
      </c>
      <c r="K326">
        <v>0.29399999999999998</v>
      </c>
      <c r="L326">
        <f t="shared" si="22"/>
        <v>108.80221445738822</v>
      </c>
    </row>
    <row r="327" spans="1:12" x14ac:dyDescent="0.2">
      <c r="A327" s="4">
        <v>43434</v>
      </c>
      <c r="B327" t="s">
        <v>538</v>
      </c>
      <c r="C327">
        <v>1</v>
      </c>
      <c r="D327">
        <v>6</v>
      </c>
      <c r="E327">
        <v>5</v>
      </c>
      <c r="F327" t="s">
        <v>439</v>
      </c>
      <c r="G327" s="14" t="s">
        <v>904</v>
      </c>
      <c r="H327" s="9" t="s">
        <v>1071</v>
      </c>
      <c r="I327">
        <f t="shared" si="19"/>
        <v>30</v>
      </c>
      <c r="J327">
        <f t="shared" si="21"/>
        <v>13.607771100000001</v>
      </c>
      <c r="L327">
        <f t="shared" si="22"/>
        <v>0</v>
      </c>
    </row>
    <row r="328" spans="1:12" x14ac:dyDescent="0.2">
      <c r="A328" s="4">
        <v>43437</v>
      </c>
      <c r="B328" t="s">
        <v>538</v>
      </c>
      <c r="C328">
        <v>1</v>
      </c>
      <c r="D328">
        <v>6</v>
      </c>
      <c r="E328">
        <v>5</v>
      </c>
      <c r="F328" t="s">
        <v>439</v>
      </c>
      <c r="G328" s="14" t="s">
        <v>904</v>
      </c>
      <c r="H328" s="9" t="s">
        <v>1071</v>
      </c>
      <c r="I328">
        <f t="shared" si="19"/>
        <v>30</v>
      </c>
      <c r="J328">
        <f t="shared" si="21"/>
        <v>13.607771100000001</v>
      </c>
      <c r="L328">
        <f t="shared" si="22"/>
        <v>0</v>
      </c>
    </row>
    <row r="329" spans="1:12" x14ac:dyDescent="0.2">
      <c r="A329" s="4">
        <v>43343</v>
      </c>
      <c r="B329" s="6" t="s">
        <v>1074</v>
      </c>
      <c r="C329">
        <v>1</v>
      </c>
      <c r="D329" s="8">
        <v>1</v>
      </c>
      <c r="E329">
        <f>30*(1/8)</f>
        <v>3.75</v>
      </c>
      <c r="F329" t="s">
        <v>56</v>
      </c>
      <c r="G329" t="s">
        <v>757</v>
      </c>
      <c r="H329" s="8" t="s">
        <v>1071</v>
      </c>
      <c r="I329">
        <f t="shared" si="19"/>
        <v>3.75</v>
      </c>
      <c r="J329" s="8">
        <f t="shared" si="21"/>
        <v>1.7009713875000001</v>
      </c>
      <c r="K329">
        <v>0.23200000000000001</v>
      </c>
      <c r="L329">
        <f t="shared" si="22"/>
        <v>0.39462536190000003</v>
      </c>
    </row>
    <row r="330" spans="1:12" x14ac:dyDescent="0.2">
      <c r="A330" s="4">
        <v>43344</v>
      </c>
      <c r="B330" s="6" t="s">
        <v>1074</v>
      </c>
      <c r="C330">
        <v>1</v>
      </c>
      <c r="D330" s="8">
        <v>1</v>
      </c>
      <c r="E330">
        <f>30*(1/8)</f>
        <v>3.75</v>
      </c>
      <c r="F330" s="15" t="s">
        <v>125</v>
      </c>
      <c r="G330" s="15" t="s">
        <v>757</v>
      </c>
      <c r="H330" s="8" t="s">
        <v>1071</v>
      </c>
      <c r="I330">
        <f t="shared" si="19"/>
        <v>3.75</v>
      </c>
      <c r="J330" s="8">
        <f t="shared" si="21"/>
        <v>1.7009713875000001</v>
      </c>
      <c r="K330">
        <v>0.23200000000000001</v>
      </c>
      <c r="L330">
        <f t="shared" si="22"/>
        <v>0.39462536190000003</v>
      </c>
    </row>
    <row r="331" spans="1:12" x14ac:dyDescent="0.2">
      <c r="A331" s="4">
        <v>43348</v>
      </c>
      <c r="B331" s="6" t="s">
        <v>1074</v>
      </c>
      <c r="C331">
        <v>1</v>
      </c>
      <c r="D331" s="8">
        <v>1</v>
      </c>
      <c r="E331">
        <f>30*1/8</f>
        <v>3.75</v>
      </c>
      <c r="F331" t="s">
        <v>56</v>
      </c>
      <c r="G331" t="s">
        <v>757</v>
      </c>
      <c r="H331" s="8" t="s">
        <v>1071</v>
      </c>
      <c r="I331">
        <f t="shared" si="19"/>
        <v>3.75</v>
      </c>
      <c r="J331" s="8">
        <f t="shared" si="21"/>
        <v>1.7009713875000001</v>
      </c>
      <c r="K331">
        <v>0.23200000000000001</v>
      </c>
      <c r="L331">
        <f t="shared" si="22"/>
        <v>0.39462536190000003</v>
      </c>
    </row>
    <row r="332" spans="1:12" x14ac:dyDescent="0.2">
      <c r="A332" s="4">
        <v>43434</v>
      </c>
      <c r="B332" t="s">
        <v>538</v>
      </c>
      <c r="C332">
        <v>4</v>
      </c>
      <c r="D332">
        <v>2</v>
      </c>
      <c r="E332">
        <v>10</v>
      </c>
      <c r="F332" t="s">
        <v>458</v>
      </c>
      <c r="G332" s="6" t="s">
        <v>875</v>
      </c>
      <c r="H332" s="9" t="s">
        <v>1071</v>
      </c>
      <c r="I332">
        <f t="shared" si="19"/>
        <v>80</v>
      </c>
      <c r="J332">
        <f t="shared" si="21"/>
        <v>36.287389600000004</v>
      </c>
      <c r="K332">
        <v>5.99</v>
      </c>
      <c r="L332">
        <f t="shared" si="22"/>
        <v>217.36146370400004</v>
      </c>
    </row>
    <row r="333" spans="1:12" x14ac:dyDescent="0.2">
      <c r="A333" s="4">
        <v>43434</v>
      </c>
      <c r="B333" t="s">
        <v>538</v>
      </c>
      <c r="C333">
        <v>4</v>
      </c>
      <c r="D333">
        <v>2</v>
      </c>
      <c r="E333">
        <v>10</v>
      </c>
      <c r="F333" t="s">
        <v>461</v>
      </c>
      <c r="G333" s="6" t="s">
        <v>875</v>
      </c>
      <c r="H333" s="9" t="s">
        <v>1071</v>
      </c>
      <c r="I333">
        <f t="shared" si="19"/>
        <v>80</v>
      </c>
      <c r="J333">
        <f t="shared" si="21"/>
        <v>36.287389600000004</v>
      </c>
      <c r="K333">
        <v>5.99</v>
      </c>
      <c r="L333">
        <f t="shared" si="22"/>
        <v>217.36146370400004</v>
      </c>
    </row>
    <row r="334" spans="1:12" x14ac:dyDescent="0.2">
      <c r="A334" s="4">
        <v>43434</v>
      </c>
      <c r="B334" t="s">
        <v>538</v>
      </c>
      <c r="C334">
        <v>4</v>
      </c>
      <c r="D334">
        <v>2</v>
      </c>
      <c r="E334">
        <v>10</v>
      </c>
      <c r="F334" t="s">
        <v>462</v>
      </c>
      <c r="G334" s="6" t="s">
        <v>875</v>
      </c>
      <c r="H334" s="9" t="s">
        <v>1071</v>
      </c>
      <c r="I334">
        <f t="shared" si="19"/>
        <v>80</v>
      </c>
      <c r="J334">
        <f t="shared" si="21"/>
        <v>36.287389600000004</v>
      </c>
      <c r="K334">
        <v>5.99</v>
      </c>
      <c r="L334">
        <f t="shared" si="22"/>
        <v>217.36146370400004</v>
      </c>
    </row>
    <row r="335" spans="1:12" x14ac:dyDescent="0.2">
      <c r="A335" s="4">
        <v>43434</v>
      </c>
      <c r="B335" t="s">
        <v>538</v>
      </c>
      <c r="C335">
        <v>4</v>
      </c>
      <c r="D335">
        <v>2</v>
      </c>
      <c r="E335">
        <v>10</v>
      </c>
      <c r="F335" t="s">
        <v>566</v>
      </c>
      <c r="G335" s="6" t="s">
        <v>875</v>
      </c>
      <c r="H335" s="9" t="s">
        <v>1071</v>
      </c>
      <c r="I335">
        <f t="shared" si="19"/>
        <v>80</v>
      </c>
      <c r="J335">
        <f t="shared" si="21"/>
        <v>36.287389600000004</v>
      </c>
      <c r="K335">
        <v>5.99</v>
      </c>
      <c r="L335">
        <f t="shared" si="22"/>
        <v>217.36146370400004</v>
      </c>
    </row>
    <row r="336" spans="1:12" x14ac:dyDescent="0.2">
      <c r="A336" s="4">
        <v>43439</v>
      </c>
      <c r="B336" t="s">
        <v>538</v>
      </c>
      <c r="C336">
        <v>3</v>
      </c>
      <c r="D336">
        <v>2</v>
      </c>
      <c r="E336">
        <v>10</v>
      </c>
      <c r="F336" t="s">
        <v>458</v>
      </c>
      <c r="G336" s="6" t="s">
        <v>875</v>
      </c>
      <c r="H336" s="9" t="s">
        <v>1071</v>
      </c>
      <c r="I336">
        <f t="shared" si="19"/>
        <v>60</v>
      </c>
      <c r="J336">
        <f t="shared" si="21"/>
        <v>27.215542200000002</v>
      </c>
      <c r="K336">
        <v>5.99</v>
      </c>
      <c r="L336">
        <f t="shared" si="22"/>
        <v>163.02109777800001</v>
      </c>
    </row>
    <row r="337" spans="1:12" x14ac:dyDescent="0.2">
      <c r="A337" s="4">
        <v>43434</v>
      </c>
      <c r="B337" t="s">
        <v>538</v>
      </c>
      <c r="C337">
        <v>1</v>
      </c>
      <c r="D337">
        <v>12</v>
      </c>
      <c r="E337">
        <v>1</v>
      </c>
      <c r="F337" t="s">
        <v>560</v>
      </c>
      <c r="G337" s="6" t="s">
        <v>911</v>
      </c>
      <c r="H337" s="9" t="s">
        <v>1071</v>
      </c>
      <c r="I337">
        <f t="shared" si="19"/>
        <v>12</v>
      </c>
      <c r="J337">
        <f t="shared" si="21"/>
        <v>5.4431084400000005</v>
      </c>
      <c r="K337">
        <v>0.11799999999999999</v>
      </c>
      <c r="L337">
        <f t="shared" si="22"/>
        <v>0.64228679592000004</v>
      </c>
    </row>
    <row r="338" spans="1:12" x14ac:dyDescent="0.2">
      <c r="A338" s="4">
        <v>43439</v>
      </c>
      <c r="B338" t="s">
        <v>538</v>
      </c>
      <c r="C338">
        <v>1</v>
      </c>
      <c r="D338">
        <v>1</v>
      </c>
      <c r="E338">
        <v>20</v>
      </c>
      <c r="F338" t="s">
        <v>592</v>
      </c>
      <c r="G338" t="s">
        <v>921</v>
      </c>
      <c r="H338" s="9" t="s">
        <v>1071</v>
      </c>
      <c r="I338">
        <f t="shared" si="19"/>
        <v>20</v>
      </c>
      <c r="J338">
        <f t="shared" si="21"/>
        <v>9.0718474000000011</v>
      </c>
      <c r="K338">
        <v>0.61699999999999999</v>
      </c>
      <c r="L338">
        <f t="shared" si="22"/>
        <v>5.5973298458000009</v>
      </c>
    </row>
    <row r="339" spans="1:12" x14ac:dyDescent="0.2">
      <c r="A339" s="4">
        <v>43343</v>
      </c>
      <c r="B339" s="6" t="s">
        <v>1074</v>
      </c>
      <c r="C339">
        <v>1</v>
      </c>
      <c r="D339" s="8">
        <v>1</v>
      </c>
      <c r="E339">
        <f>10*2</f>
        <v>20</v>
      </c>
      <c r="F339" t="s">
        <v>57</v>
      </c>
      <c r="G339" t="s">
        <v>806</v>
      </c>
      <c r="H339" s="8" t="s">
        <v>1071</v>
      </c>
      <c r="I339">
        <f t="shared" si="19"/>
        <v>20</v>
      </c>
      <c r="J339" s="8">
        <f t="shared" si="21"/>
        <v>9.0718474000000011</v>
      </c>
      <c r="K339">
        <v>0.70099999999999996</v>
      </c>
      <c r="L339">
        <f t="shared" si="22"/>
        <v>6.3593650274</v>
      </c>
    </row>
    <row r="340" spans="1:12" x14ac:dyDescent="0.2">
      <c r="A340" s="4">
        <v>43346</v>
      </c>
      <c r="B340" s="6" t="s">
        <v>1074</v>
      </c>
      <c r="C340">
        <v>1</v>
      </c>
      <c r="D340" s="8">
        <v>1</v>
      </c>
      <c r="E340">
        <v>10</v>
      </c>
      <c r="F340" t="s">
        <v>147</v>
      </c>
      <c r="G340" t="s">
        <v>806</v>
      </c>
      <c r="H340" s="8" t="s">
        <v>1071</v>
      </c>
      <c r="I340">
        <f t="shared" si="19"/>
        <v>10</v>
      </c>
      <c r="J340" s="8">
        <f t="shared" si="21"/>
        <v>4.5359237000000006</v>
      </c>
      <c r="K340">
        <v>0.70099999999999996</v>
      </c>
      <c r="L340">
        <f t="shared" si="22"/>
        <v>3.1796825137</v>
      </c>
    </row>
    <row r="341" spans="1:12" x14ac:dyDescent="0.2">
      <c r="A341" s="4">
        <v>43434</v>
      </c>
      <c r="B341" t="s">
        <v>531</v>
      </c>
      <c r="C341">
        <v>2</v>
      </c>
      <c r="D341">
        <v>12</v>
      </c>
      <c r="E341">
        <v>2.5</v>
      </c>
      <c r="F341" t="s">
        <v>405</v>
      </c>
      <c r="G341" t="s">
        <v>891</v>
      </c>
      <c r="H341" s="9" t="s">
        <v>1071</v>
      </c>
      <c r="I341">
        <f t="shared" si="19"/>
        <v>60</v>
      </c>
      <c r="J341">
        <f t="shared" si="21"/>
        <v>27.215542200000002</v>
      </c>
      <c r="K341">
        <v>0.61699999999999999</v>
      </c>
      <c r="L341">
        <f t="shared" si="22"/>
        <v>16.791989537399999</v>
      </c>
    </row>
    <row r="342" spans="1:12" x14ac:dyDescent="0.2">
      <c r="A342" s="4">
        <v>43437</v>
      </c>
      <c r="B342" t="s">
        <v>531</v>
      </c>
      <c r="C342">
        <v>1</v>
      </c>
      <c r="D342">
        <v>12</v>
      </c>
      <c r="E342">
        <v>2.5</v>
      </c>
      <c r="F342" t="s">
        <v>405</v>
      </c>
      <c r="G342" t="s">
        <v>891</v>
      </c>
      <c r="H342" s="9" t="s">
        <v>1071</v>
      </c>
      <c r="I342">
        <f t="shared" si="19"/>
        <v>30</v>
      </c>
      <c r="J342">
        <f t="shared" si="21"/>
        <v>13.607771100000001</v>
      </c>
      <c r="K342">
        <v>0.61699999999999999</v>
      </c>
      <c r="L342">
        <f t="shared" si="22"/>
        <v>8.3959947686999996</v>
      </c>
    </row>
    <row r="343" spans="1:12" x14ac:dyDescent="0.2">
      <c r="A343" s="4">
        <v>43344</v>
      </c>
      <c r="B343" s="6" t="s">
        <v>1074</v>
      </c>
      <c r="C343">
        <v>3</v>
      </c>
      <c r="D343" s="8">
        <v>1</v>
      </c>
      <c r="E343">
        <v>20</v>
      </c>
      <c r="F343" t="s">
        <v>1027</v>
      </c>
      <c r="G343" t="s">
        <v>218</v>
      </c>
      <c r="H343" s="8" t="s">
        <v>1071</v>
      </c>
      <c r="I343">
        <f t="shared" si="19"/>
        <v>60</v>
      </c>
      <c r="J343" s="8">
        <f t="shared" si="21"/>
        <v>27.215542200000002</v>
      </c>
      <c r="K343">
        <v>0.52500000000000002</v>
      </c>
      <c r="L343">
        <f t="shared" si="22"/>
        <v>14.288159655000001</v>
      </c>
    </row>
    <row r="344" spans="1:12" x14ac:dyDescent="0.2">
      <c r="A344" s="4">
        <v>43347</v>
      </c>
      <c r="B344" s="6" t="s">
        <v>1074</v>
      </c>
      <c r="C344">
        <v>6</v>
      </c>
      <c r="D344" s="8">
        <v>1</v>
      </c>
      <c r="E344">
        <v>10</v>
      </c>
      <c r="F344" t="s">
        <v>1020</v>
      </c>
      <c r="G344" t="s">
        <v>218</v>
      </c>
      <c r="H344" s="8" t="s">
        <v>1071</v>
      </c>
      <c r="I344">
        <f t="shared" si="19"/>
        <v>60</v>
      </c>
      <c r="J344" s="8">
        <f t="shared" si="21"/>
        <v>27.215542200000002</v>
      </c>
      <c r="K344">
        <v>0.52500000000000002</v>
      </c>
      <c r="L344">
        <f t="shared" si="22"/>
        <v>14.288159655000001</v>
      </c>
    </row>
    <row r="345" spans="1:12" x14ac:dyDescent="0.2">
      <c r="A345" s="4">
        <v>43347</v>
      </c>
      <c r="B345" s="6" t="s">
        <v>1074</v>
      </c>
      <c r="C345">
        <v>1</v>
      </c>
      <c r="D345" s="8">
        <v>1</v>
      </c>
      <c r="E345">
        <v>20</v>
      </c>
      <c r="F345" t="s">
        <v>1027</v>
      </c>
      <c r="G345" t="s">
        <v>218</v>
      </c>
      <c r="H345" s="8" t="s">
        <v>1071</v>
      </c>
      <c r="I345">
        <f t="shared" si="19"/>
        <v>20</v>
      </c>
      <c r="J345" s="8">
        <f t="shared" si="21"/>
        <v>9.0718474000000011</v>
      </c>
      <c r="K345">
        <v>0.52500000000000002</v>
      </c>
      <c r="L345">
        <f t="shared" si="22"/>
        <v>4.762719885000001</v>
      </c>
    </row>
    <row r="346" spans="1:12" x14ac:dyDescent="0.2">
      <c r="A346" s="4">
        <v>43343</v>
      </c>
      <c r="B346" s="6" t="s">
        <v>1074</v>
      </c>
      <c r="C346">
        <v>1</v>
      </c>
      <c r="D346" s="8">
        <v>1</v>
      </c>
      <c r="E346">
        <f>(10/9)*30*2</f>
        <v>66.666666666666671</v>
      </c>
      <c r="F346" t="s">
        <v>58</v>
      </c>
      <c r="G346" t="s">
        <v>218</v>
      </c>
      <c r="H346" s="8" t="s">
        <v>1071</v>
      </c>
      <c r="I346">
        <f t="shared" si="19"/>
        <v>66.666666666666671</v>
      </c>
      <c r="J346" s="8">
        <f t="shared" si="21"/>
        <v>30.239491333333337</v>
      </c>
      <c r="K346">
        <v>0.52500000000000002</v>
      </c>
      <c r="L346">
        <f t="shared" si="22"/>
        <v>15.875732950000003</v>
      </c>
    </row>
    <row r="347" spans="1:12" x14ac:dyDescent="0.2">
      <c r="A347" s="4">
        <v>43343</v>
      </c>
      <c r="B347" s="6" t="s">
        <v>1074</v>
      </c>
      <c r="C347">
        <v>1</v>
      </c>
      <c r="D347" s="8">
        <v>1</v>
      </c>
      <c r="E347">
        <f>(10/9)*30*2</f>
        <v>66.666666666666671</v>
      </c>
      <c r="F347" t="s">
        <v>59</v>
      </c>
      <c r="G347" t="s">
        <v>218</v>
      </c>
      <c r="H347" s="8" t="s">
        <v>1071</v>
      </c>
      <c r="I347">
        <f t="shared" si="19"/>
        <v>66.666666666666671</v>
      </c>
      <c r="J347" s="8">
        <f t="shared" si="21"/>
        <v>30.239491333333337</v>
      </c>
      <c r="K347">
        <v>0.52500000000000002</v>
      </c>
      <c r="L347">
        <f t="shared" si="22"/>
        <v>15.875732950000003</v>
      </c>
    </row>
    <row r="348" spans="1:12" x14ac:dyDescent="0.2">
      <c r="A348" s="4">
        <v>43343</v>
      </c>
      <c r="B348" s="6" t="s">
        <v>1074</v>
      </c>
      <c r="C348">
        <v>1</v>
      </c>
      <c r="D348" s="8">
        <v>1</v>
      </c>
      <c r="E348">
        <f>5*4</f>
        <v>20</v>
      </c>
      <c r="F348" t="s">
        <v>69</v>
      </c>
      <c r="G348" t="s">
        <v>218</v>
      </c>
      <c r="H348" s="8" t="s">
        <v>1071</v>
      </c>
      <c r="I348">
        <f t="shared" si="19"/>
        <v>20</v>
      </c>
      <c r="J348" s="8">
        <f t="shared" si="21"/>
        <v>9.0718474000000011</v>
      </c>
      <c r="K348">
        <v>0.52500000000000002</v>
      </c>
      <c r="L348">
        <f t="shared" si="22"/>
        <v>4.762719885000001</v>
      </c>
    </row>
    <row r="349" spans="1:12" x14ac:dyDescent="0.2">
      <c r="A349" s="4">
        <v>43344</v>
      </c>
      <c r="B349" s="6" t="s">
        <v>1074</v>
      </c>
      <c r="C349">
        <v>1</v>
      </c>
      <c r="D349" s="8">
        <v>1</v>
      </c>
      <c r="E349">
        <f>10/9*(30)</f>
        <v>33.333333333333336</v>
      </c>
      <c r="F349" t="s">
        <v>126</v>
      </c>
      <c r="G349" s="15" t="s">
        <v>218</v>
      </c>
      <c r="H349" s="8" t="s">
        <v>1071</v>
      </c>
      <c r="I349">
        <f t="shared" si="19"/>
        <v>33.333333333333336</v>
      </c>
      <c r="J349" s="8">
        <f t="shared" si="21"/>
        <v>15.119745666666669</v>
      </c>
      <c r="K349">
        <v>0.52500000000000002</v>
      </c>
      <c r="L349">
        <f t="shared" si="22"/>
        <v>7.9378664750000016</v>
      </c>
    </row>
    <row r="350" spans="1:12" x14ac:dyDescent="0.2">
      <c r="A350" s="4">
        <v>43344</v>
      </c>
      <c r="B350" s="6" t="s">
        <v>1074</v>
      </c>
      <c r="C350">
        <v>1</v>
      </c>
      <c r="D350" s="8">
        <v>1</v>
      </c>
      <c r="E350">
        <f>10/9*(30)</f>
        <v>33.333333333333336</v>
      </c>
      <c r="F350" t="s">
        <v>127</v>
      </c>
      <c r="G350" s="15" t="s">
        <v>218</v>
      </c>
      <c r="H350" s="8" t="s">
        <v>1071</v>
      </c>
      <c r="I350">
        <f t="shared" si="19"/>
        <v>33.333333333333336</v>
      </c>
      <c r="J350" s="8">
        <f t="shared" si="21"/>
        <v>15.119745666666669</v>
      </c>
      <c r="K350">
        <v>0.52500000000000002</v>
      </c>
      <c r="L350">
        <f t="shared" si="22"/>
        <v>7.9378664750000016</v>
      </c>
    </row>
    <row r="351" spans="1:12" x14ac:dyDescent="0.2">
      <c r="A351" s="4">
        <v>43346</v>
      </c>
      <c r="B351" s="6" t="s">
        <v>1074</v>
      </c>
      <c r="C351">
        <v>1</v>
      </c>
      <c r="D351" s="8">
        <v>1</v>
      </c>
      <c r="E351">
        <f t="shared" ref="E351:E357" si="23">10/9*30</f>
        <v>33.333333333333336</v>
      </c>
      <c r="F351" t="s">
        <v>148</v>
      </c>
      <c r="G351" s="15" t="s">
        <v>218</v>
      </c>
      <c r="H351" s="8" t="s">
        <v>1071</v>
      </c>
      <c r="I351">
        <f t="shared" si="19"/>
        <v>33.333333333333336</v>
      </c>
      <c r="J351" s="8">
        <f t="shared" si="21"/>
        <v>15.119745666666669</v>
      </c>
      <c r="K351">
        <v>0.52500000000000002</v>
      </c>
      <c r="L351">
        <f t="shared" si="22"/>
        <v>7.9378664750000016</v>
      </c>
    </row>
    <row r="352" spans="1:12" x14ac:dyDescent="0.2">
      <c r="A352" s="4">
        <v>43346</v>
      </c>
      <c r="B352" s="6" t="s">
        <v>1074</v>
      </c>
      <c r="C352">
        <v>1</v>
      </c>
      <c r="D352" s="8">
        <v>1</v>
      </c>
      <c r="E352">
        <f t="shared" si="23"/>
        <v>33.333333333333336</v>
      </c>
      <c r="F352" t="s">
        <v>149</v>
      </c>
      <c r="G352" s="15" t="s">
        <v>218</v>
      </c>
      <c r="H352" s="8" t="s">
        <v>1071</v>
      </c>
      <c r="I352">
        <f t="shared" si="19"/>
        <v>33.333333333333336</v>
      </c>
      <c r="J352" s="8">
        <f t="shared" si="21"/>
        <v>15.119745666666669</v>
      </c>
      <c r="K352">
        <v>0.52500000000000002</v>
      </c>
      <c r="L352">
        <f t="shared" si="22"/>
        <v>7.9378664750000016</v>
      </c>
    </row>
    <row r="353" spans="1:12" x14ac:dyDescent="0.2">
      <c r="A353" s="4">
        <v>43347</v>
      </c>
      <c r="B353" s="6" t="s">
        <v>1074</v>
      </c>
      <c r="C353">
        <v>1</v>
      </c>
      <c r="D353" s="8">
        <v>1</v>
      </c>
      <c r="E353">
        <f t="shared" si="23"/>
        <v>33.333333333333336</v>
      </c>
      <c r="F353" t="s">
        <v>148</v>
      </c>
      <c r="G353" s="15" t="s">
        <v>218</v>
      </c>
      <c r="H353" s="8" t="s">
        <v>1071</v>
      </c>
      <c r="I353">
        <f t="shared" si="19"/>
        <v>33.333333333333336</v>
      </c>
      <c r="J353" s="8">
        <f t="shared" si="21"/>
        <v>15.119745666666669</v>
      </c>
      <c r="K353">
        <v>0.52500000000000002</v>
      </c>
      <c r="L353">
        <f t="shared" si="22"/>
        <v>7.9378664750000016</v>
      </c>
    </row>
    <row r="354" spans="1:12" x14ac:dyDescent="0.2">
      <c r="A354" s="4">
        <v>43347</v>
      </c>
      <c r="B354" s="6" t="s">
        <v>1074</v>
      </c>
      <c r="C354">
        <v>1</v>
      </c>
      <c r="D354" s="8">
        <v>1</v>
      </c>
      <c r="E354">
        <f t="shared" si="23"/>
        <v>33.333333333333336</v>
      </c>
      <c r="F354" t="s">
        <v>149</v>
      </c>
      <c r="G354" s="15" t="s">
        <v>218</v>
      </c>
      <c r="H354" s="8" t="s">
        <v>1071</v>
      </c>
      <c r="I354">
        <f t="shared" si="19"/>
        <v>33.333333333333336</v>
      </c>
      <c r="J354" s="8">
        <f t="shared" si="21"/>
        <v>15.119745666666669</v>
      </c>
      <c r="K354">
        <v>0.52500000000000002</v>
      </c>
      <c r="L354">
        <f t="shared" si="22"/>
        <v>7.9378664750000016</v>
      </c>
    </row>
    <row r="355" spans="1:12" x14ac:dyDescent="0.2">
      <c r="A355" s="4">
        <v>43347</v>
      </c>
      <c r="B355" s="6" t="s">
        <v>1074</v>
      </c>
      <c r="C355">
        <v>2</v>
      </c>
      <c r="D355" s="8">
        <v>1</v>
      </c>
      <c r="E355">
        <f t="shared" si="23"/>
        <v>33.333333333333336</v>
      </c>
      <c r="F355" t="s">
        <v>149</v>
      </c>
      <c r="G355" s="15" t="s">
        <v>218</v>
      </c>
      <c r="H355" s="8" t="s">
        <v>1071</v>
      </c>
      <c r="I355">
        <f t="shared" si="19"/>
        <v>66.666666666666671</v>
      </c>
      <c r="J355" s="8">
        <f t="shared" si="21"/>
        <v>30.239491333333337</v>
      </c>
      <c r="K355">
        <v>0.52500000000000002</v>
      </c>
      <c r="L355">
        <f t="shared" si="22"/>
        <v>15.875732950000003</v>
      </c>
    </row>
    <row r="356" spans="1:12" x14ac:dyDescent="0.2">
      <c r="A356" s="4">
        <v>43349</v>
      </c>
      <c r="B356" s="6" t="s">
        <v>1074</v>
      </c>
      <c r="C356">
        <v>2</v>
      </c>
      <c r="D356" s="8">
        <v>1</v>
      </c>
      <c r="E356">
        <f t="shared" si="23"/>
        <v>33.333333333333336</v>
      </c>
      <c r="F356" t="s">
        <v>168</v>
      </c>
      <c r="G356" t="s">
        <v>218</v>
      </c>
      <c r="H356" s="8" t="s">
        <v>1071</v>
      </c>
      <c r="I356">
        <f t="shared" si="19"/>
        <v>66.666666666666671</v>
      </c>
      <c r="J356" s="8">
        <f t="shared" si="21"/>
        <v>30.239491333333337</v>
      </c>
      <c r="K356">
        <v>0.52500000000000002</v>
      </c>
      <c r="L356">
        <f t="shared" si="22"/>
        <v>15.875732950000003</v>
      </c>
    </row>
    <row r="357" spans="1:12" x14ac:dyDescent="0.2">
      <c r="A357" s="4">
        <v>43349</v>
      </c>
      <c r="B357" s="6" t="s">
        <v>1074</v>
      </c>
      <c r="C357">
        <v>2</v>
      </c>
      <c r="D357" s="8">
        <v>1</v>
      </c>
      <c r="E357">
        <f t="shared" si="23"/>
        <v>33.333333333333336</v>
      </c>
      <c r="F357" t="s">
        <v>59</v>
      </c>
      <c r="G357" t="s">
        <v>218</v>
      </c>
      <c r="H357" s="8" t="s">
        <v>1071</v>
      </c>
      <c r="I357">
        <f t="shared" si="19"/>
        <v>66.666666666666671</v>
      </c>
      <c r="J357" s="8">
        <f t="shared" si="21"/>
        <v>30.239491333333337</v>
      </c>
      <c r="K357">
        <v>0.52500000000000002</v>
      </c>
      <c r="L357">
        <f t="shared" si="22"/>
        <v>15.875732950000003</v>
      </c>
    </row>
    <row r="358" spans="1:12" x14ac:dyDescent="0.2">
      <c r="A358" s="4">
        <v>43434</v>
      </c>
      <c r="B358" t="s">
        <v>538</v>
      </c>
      <c r="C358">
        <v>1</v>
      </c>
      <c r="D358">
        <v>12</v>
      </c>
      <c r="E358">
        <f>28/16</f>
        <v>1.75</v>
      </c>
      <c r="F358" t="s">
        <v>559</v>
      </c>
      <c r="G358" t="s">
        <v>848</v>
      </c>
      <c r="H358" s="9" t="s">
        <v>1071</v>
      </c>
      <c r="I358">
        <f t="shared" si="19"/>
        <v>21</v>
      </c>
      <c r="J358">
        <f t="shared" si="21"/>
        <v>9.5254397700000002</v>
      </c>
      <c r="K358">
        <v>0.52500000000000002</v>
      </c>
      <c r="L358">
        <f t="shared" si="22"/>
        <v>5.0008558792500004</v>
      </c>
    </row>
    <row r="359" spans="1:12" x14ac:dyDescent="0.2">
      <c r="A359" s="4">
        <v>43434</v>
      </c>
      <c r="B359" t="s">
        <v>538</v>
      </c>
      <c r="C359">
        <v>1</v>
      </c>
      <c r="D359">
        <v>3</v>
      </c>
      <c r="E359">
        <v>5</v>
      </c>
      <c r="F359" t="s">
        <v>556</v>
      </c>
      <c r="G359" t="s">
        <v>909</v>
      </c>
      <c r="H359" s="9" t="s">
        <v>1071</v>
      </c>
      <c r="I359">
        <f t="shared" si="19"/>
        <v>15</v>
      </c>
      <c r="J359">
        <f t="shared" si="21"/>
        <v>6.8038855500000004</v>
      </c>
      <c r="K359">
        <v>0.87</v>
      </c>
      <c r="L359">
        <f t="shared" si="22"/>
        <v>5.9193804285000002</v>
      </c>
    </row>
    <row r="360" spans="1:12" x14ac:dyDescent="0.2">
      <c r="A360" s="4">
        <v>43439</v>
      </c>
      <c r="B360" t="s">
        <v>538</v>
      </c>
      <c r="C360">
        <v>1</v>
      </c>
      <c r="D360">
        <v>3</v>
      </c>
      <c r="E360">
        <v>5</v>
      </c>
      <c r="F360" t="s">
        <v>556</v>
      </c>
      <c r="G360" t="s">
        <v>909</v>
      </c>
      <c r="H360" s="9" t="s">
        <v>1071</v>
      </c>
      <c r="I360">
        <f t="shared" si="19"/>
        <v>15</v>
      </c>
      <c r="J360">
        <f t="shared" si="21"/>
        <v>6.8038855500000004</v>
      </c>
      <c r="K360">
        <v>0.87</v>
      </c>
      <c r="L360">
        <f t="shared" si="22"/>
        <v>5.9193804285000002</v>
      </c>
    </row>
    <row r="361" spans="1:12" x14ac:dyDescent="0.2">
      <c r="A361" s="4">
        <v>43434</v>
      </c>
      <c r="B361" t="s">
        <v>538</v>
      </c>
      <c r="C361">
        <v>2</v>
      </c>
      <c r="D361">
        <v>12</v>
      </c>
      <c r="E361">
        <f>27/16</f>
        <v>1.6875</v>
      </c>
      <c r="F361" t="s">
        <v>555</v>
      </c>
      <c r="G361" t="s">
        <v>908</v>
      </c>
      <c r="H361" s="9" t="s">
        <v>1071</v>
      </c>
      <c r="I361">
        <f t="shared" si="19"/>
        <v>40.5</v>
      </c>
      <c r="J361">
        <f t="shared" si="21"/>
        <v>18.370490985</v>
      </c>
      <c r="K361">
        <v>0.79900000000000004</v>
      </c>
      <c r="L361">
        <f t="shared" si="22"/>
        <v>14.678022297015001</v>
      </c>
    </row>
    <row r="362" spans="1:12" x14ac:dyDescent="0.2">
      <c r="A362" s="4">
        <v>43434</v>
      </c>
      <c r="B362" t="s">
        <v>538</v>
      </c>
      <c r="C362">
        <v>2</v>
      </c>
      <c r="D362">
        <v>12</v>
      </c>
      <c r="E362">
        <f>7/16</f>
        <v>0.4375</v>
      </c>
      <c r="F362" t="s">
        <v>448</v>
      </c>
      <c r="G362" t="s">
        <v>908</v>
      </c>
      <c r="H362" s="9" t="s">
        <v>1071</v>
      </c>
      <c r="I362">
        <f t="shared" si="19"/>
        <v>10.5</v>
      </c>
      <c r="J362">
        <f t="shared" si="21"/>
        <v>4.7627198850000001</v>
      </c>
      <c r="K362">
        <v>0.79900000000000004</v>
      </c>
      <c r="L362">
        <f t="shared" si="22"/>
        <v>3.8054131881150002</v>
      </c>
    </row>
    <row r="363" spans="1:12" x14ac:dyDescent="0.2">
      <c r="A363" s="4">
        <v>43439</v>
      </c>
      <c r="B363" t="s">
        <v>538</v>
      </c>
      <c r="C363">
        <v>1</v>
      </c>
      <c r="D363">
        <v>4</v>
      </c>
      <c r="E363">
        <v>8.35</v>
      </c>
      <c r="F363" t="s">
        <v>541</v>
      </c>
      <c r="G363" t="s">
        <v>908</v>
      </c>
      <c r="H363" s="9" t="s">
        <v>1071</v>
      </c>
      <c r="I363">
        <f t="shared" si="19"/>
        <v>33.4</v>
      </c>
      <c r="J363">
        <f t="shared" si="21"/>
        <v>15.149985158</v>
      </c>
      <c r="K363">
        <v>0.79900000000000004</v>
      </c>
      <c r="L363">
        <f t="shared" si="22"/>
        <v>12.104838141242</v>
      </c>
    </row>
    <row r="364" spans="1:12" x14ac:dyDescent="0.2">
      <c r="A364" s="4">
        <v>43434</v>
      </c>
      <c r="B364" t="s">
        <v>538</v>
      </c>
      <c r="C364">
        <v>1</v>
      </c>
      <c r="D364">
        <v>4</v>
      </c>
      <c r="E364">
        <v>8.35</v>
      </c>
      <c r="F364" t="s">
        <v>541</v>
      </c>
      <c r="G364" t="s">
        <v>937</v>
      </c>
      <c r="H364" s="9" t="s">
        <v>1071</v>
      </c>
      <c r="I364">
        <f t="shared" si="19"/>
        <v>33.4</v>
      </c>
      <c r="J364">
        <f t="shared" si="21"/>
        <v>15.149985158</v>
      </c>
      <c r="K364">
        <v>0.79900000000000004</v>
      </c>
      <c r="L364">
        <f t="shared" si="22"/>
        <v>12.104838141242</v>
      </c>
    </row>
    <row r="365" spans="1:12" x14ac:dyDescent="0.2">
      <c r="A365" s="4">
        <v>43343</v>
      </c>
      <c r="B365" s="6" t="s">
        <v>1074</v>
      </c>
      <c r="C365">
        <v>1</v>
      </c>
      <c r="D365" s="8">
        <v>1</v>
      </c>
      <c r="E365">
        <f>10*2*6</f>
        <v>120</v>
      </c>
      <c r="F365" t="s">
        <v>60</v>
      </c>
      <c r="G365" t="s">
        <v>758</v>
      </c>
      <c r="H365" s="8" t="s">
        <v>1071</v>
      </c>
      <c r="I365">
        <f t="shared" si="19"/>
        <v>120</v>
      </c>
      <c r="J365" s="8">
        <f t="shared" si="21"/>
        <v>54.431084400000003</v>
      </c>
      <c r="K365">
        <v>0.91400000000000003</v>
      </c>
      <c r="L365">
        <f t="shared" si="22"/>
        <v>49.750011141600005</v>
      </c>
    </row>
    <row r="366" spans="1:12" x14ac:dyDescent="0.2">
      <c r="A366" s="4">
        <v>43344</v>
      </c>
      <c r="B366" s="6" t="s">
        <v>1074</v>
      </c>
      <c r="C366">
        <v>5</v>
      </c>
      <c r="D366" s="8">
        <v>1</v>
      </c>
      <c r="E366">
        <f>10*2</f>
        <v>20</v>
      </c>
      <c r="F366" t="s">
        <v>128</v>
      </c>
      <c r="G366" t="s">
        <v>758</v>
      </c>
      <c r="H366" s="8" t="s">
        <v>1071</v>
      </c>
      <c r="I366">
        <f t="shared" si="19"/>
        <v>100</v>
      </c>
      <c r="J366" s="8">
        <f t="shared" si="21"/>
        <v>45.359237</v>
      </c>
      <c r="K366">
        <v>0.91400000000000003</v>
      </c>
      <c r="L366">
        <f t="shared" si="22"/>
        <v>41.458342618000003</v>
      </c>
    </row>
    <row r="367" spans="1:12" x14ac:dyDescent="0.2">
      <c r="A367" s="4">
        <v>43347</v>
      </c>
      <c r="B367" s="6" t="s">
        <v>1074</v>
      </c>
      <c r="C367">
        <v>6</v>
      </c>
      <c r="D367" s="8">
        <v>1</v>
      </c>
      <c r="E367">
        <f>10*2</f>
        <v>20</v>
      </c>
      <c r="F367" t="s">
        <v>128</v>
      </c>
      <c r="G367" t="s">
        <v>758</v>
      </c>
      <c r="H367" s="8" t="s">
        <v>1071</v>
      </c>
      <c r="I367">
        <f t="shared" si="19"/>
        <v>120</v>
      </c>
      <c r="J367" s="8">
        <f t="shared" si="21"/>
        <v>54.431084400000003</v>
      </c>
      <c r="K367">
        <v>0.91400000000000003</v>
      </c>
      <c r="L367">
        <f t="shared" si="22"/>
        <v>49.750011141600005</v>
      </c>
    </row>
    <row r="368" spans="1:12" x14ac:dyDescent="0.2">
      <c r="A368" s="4">
        <v>43348</v>
      </c>
      <c r="B368" s="6" t="s">
        <v>1074</v>
      </c>
      <c r="C368">
        <v>5</v>
      </c>
      <c r="D368" s="8">
        <v>1</v>
      </c>
      <c r="E368">
        <f>10*2</f>
        <v>20</v>
      </c>
      <c r="F368" t="s">
        <v>166</v>
      </c>
      <c r="G368" t="s">
        <v>758</v>
      </c>
      <c r="H368" s="8" t="s">
        <v>1071</v>
      </c>
      <c r="I368">
        <f t="shared" si="19"/>
        <v>100</v>
      </c>
      <c r="J368" s="8">
        <f t="shared" si="21"/>
        <v>45.359237</v>
      </c>
      <c r="K368">
        <v>0.91400000000000003</v>
      </c>
      <c r="L368">
        <f t="shared" si="22"/>
        <v>41.458342618000003</v>
      </c>
    </row>
    <row r="369" spans="1:12" x14ac:dyDescent="0.2">
      <c r="A369" s="4">
        <v>43349</v>
      </c>
      <c r="B369" s="6" t="s">
        <v>1074</v>
      </c>
      <c r="C369">
        <v>3</v>
      </c>
      <c r="D369" s="8">
        <v>1</v>
      </c>
      <c r="E369">
        <f>6*2</f>
        <v>12</v>
      </c>
      <c r="F369" t="s">
        <v>169</v>
      </c>
      <c r="G369" t="s">
        <v>758</v>
      </c>
      <c r="H369" s="8" t="s">
        <v>1071</v>
      </c>
      <c r="I369">
        <f t="shared" si="19"/>
        <v>36</v>
      </c>
      <c r="J369" s="8">
        <f t="shared" si="21"/>
        <v>16.329325319999999</v>
      </c>
      <c r="K369">
        <v>0.91400000000000003</v>
      </c>
      <c r="L369">
        <f t="shared" si="22"/>
        <v>14.92500334248</v>
      </c>
    </row>
    <row r="370" spans="1:12" x14ac:dyDescent="0.2">
      <c r="A370" s="4">
        <v>43343</v>
      </c>
      <c r="B370" t="s">
        <v>13</v>
      </c>
      <c r="C370">
        <v>1</v>
      </c>
      <c r="D370">
        <v>1</v>
      </c>
      <c r="E370">
        <v>30</v>
      </c>
      <c r="F370" t="s">
        <v>1080</v>
      </c>
      <c r="G370" t="s">
        <v>15</v>
      </c>
      <c r="H370" s="8" t="s">
        <v>1072</v>
      </c>
      <c r="I370">
        <f t="shared" si="19"/>
        <v>30</v>
      </c>
      <c r="J370" s="8">
        <f t="shared" si="21"/>
        <v>13.607771100000001</v>
      </c>
      <c r="K370">
        <v>5.56</v>
      </c>
      <c r="L370">
        <f t="shared" si="22"/>
        <v>75.659207315999993</v>
      </c>
    </row>
    <row r="371" spans="1:12" x14ac:dyDescent="0.2">
      <c r="A371" s="4">
        <v>43343</v>
      </c>
      <c r="B371" t="s">
        <v>13</v>
      </c>
      <c r="C371">
        <v>1</v>
      </c>
      <c r="D371">
        <v>1</v>
      </c>
      <c r="E371">
        <v>230.17</v>
      </c>
      <c r="F371" t="s">
        <v>15</v>
      </c>
      <c r="G371" t="s">
        <v>15</v>
      </c>
      <c r="H371" s="8" t="s">
        <v>1072</v>
      </c>
      <c r="I371">
        <f t="shared" si="19"/>
        <v>230.17</v>
      </c>
      <c r="J371" s="8">
        <f t="shared" si="21"/>
        <v>104.40335580289999</v>
      </c>
      <c r="K371">
        <v>5.56</v>
      </c>
      <c r="L371">
        <f t="shared" si="22"/>
        <v>580.48265826412398</v>
      </c>
    </row>
    <row r="372" spans="1:12" x14ac:dyDescent="0.2">
      <c r="A372" s="4">
        <v>43343</v>
      </c>
      <c r="B372" t="s">
        <v>13</v>
      </c>
      <c r="C372">
        <v>1</v>
      </c>
      <c r="D372">
        <v>1</v>
      </c>
      <c r="E372">
        <v>62.34</v>
      </c>
      <c r="F372" t="s">
        <v>16</v>
      </c>
      <c r="G372" t="s">
        <v>15</v>
      </c>
      <c r="H372" s="8" t="s">
        <v>1072</v>
      </c>
      <c r="I372">
        <f t="shared" si="19"/>
        <v>62.34</v>
      </c>
      <c r="J372" s="8">
        <f t="shared" si="21"/>
        <v>28.276948345800005</v>
      </c>
      <c r="K372">
        <v>5.56</v>
      </c>
      <c r="L372">
        <f t="shared" si="22"/>
        <v>157.21983280264803</v>
      </c>
    </row>
    <row r="373" spans="1:12" x14ac:dyDescent="0.2">
      <c r="A373" s="4">
        <v>43343</v>
      </c>
      <c r="B373" t="s">
        <v>13</v>
      </c>
      <c r="C373">
        <v>1</v>
      </c>
      <c r="D373">
        <v>1</v>
      </c>
      <c r="E373">
        <v>10</v>
      </c>
      <c r="F373" t="s">
        <v>17</v>
      </c>
      <c r="G373" t="s">
        <v>15</v>
      </c>
      <c r="H373" s="8" t="s">
        <v>1072</v>
      </c>
      <c r="I373">
        <f t="shared" si="19"/>
        <v>10</v>
      </c>
      <c r="J373" s="8">
        <f t="shared" si="21"/>
        <v>4.5359237000000006</v>
      </c>
      <c r="K373">
        <v>5.56</v>
      </c>
      <c r="L373">
        <f t="shared" si="22"/>
        <v>25.219735772</v>
      </c>
    </row>
    <row r="374" spans="1:12" x14ac:dyDescent="0.2">
      <c r="A374" s="4">
        <v>43343</v>
      </c>
      <c r="B374" t="s">
        <v>13</v>
      </c>
      <c r="C374">
        <v>1</v>
      </c>
      <c r="D374">
        <v>1</v>
      </c>
      <c r="E374">
        <v>20</v>
      </c>
      <c r="F374" t="s">
        <v>18</v>
      </c>
      <c r="G374" t="s">
        <v>15</v>
      </c>
      <c r="H374" s="8" t="s">
        <v>1072</v>
      </c>
      <c r="I374">
        <f t="shared" ref="I374:I437" si="24">C374*D374*E374</f>
        <v>20</v>
      </c>
      <c r="J374" s="8">
        <f t="shared" si="21"/>
        <v>9.0718474000000011</v>
      </c>
      <c r="K374">
        <v>5.56</v>
      </c>
      <c r="L374">
        <f t="shared" si="22"/>
        <v>50.439471544</v>
      </c>
    </row>
    <row r="375" spans="1:12" x14ac:dyDescent="0.2">
      <c r="A375" s="4">
        <v>43343</v>
      </c>
      <c r="B375" t="s">
        <v>13</v>
      </c>
      <c r="C375">
        <v>1</v>
      </c>
      <c r="D375">
        <v>1</v>
      </c>
      <c r="E375">
        <v>100</v>
      </c>
      <c r="F375" t="s">
        <v>15</v>
      </c>
      <c r="G375" t="s">
        <v>15</v>
      </c>
      <c r="H375" s="8" t="s">
        <v>1072</v>
      </c>
      <c r="I375">
        <f t="shared" si="24"/>
        <v>100</v>
      </c>
      <c r="J375" s="8">
        <f t="shared" si="21"/>
        <v>45.359237</v>
      </c>
      <c r="K375">
        <v>5.56</v>
      </c>
      <c r="L375">
        <f t="shared" si="22"/>
        <v>252.19735771999999</v>
      </c>
    </row>
    <row r="376" spans="1:12" x14ac:dyDescent="0.2">
      <c r="A376" s="4">
        <v>43343</v>
      </c>
      <c r="B376" t="s">
        <v>13</v>
      </c>
      <c r="C376">
        <v>1</v>
      </c>
      <c r="D376">
        <v>1</v>
      </c>
      <c r="E376">
        <v>80</v>
      </c>
      <c r="F376" t="s">
        <v>20</v>
      </c>
      <c r="G376" t="s">
        <v>15</v>
      </c>
      <c r="H376" s="8" t="s">
        <v>1072</v>
      </c>
      <c r="I376">
        <f t="shared" si="24"/>
        <v>80</v>
      </c>
      <c r="J376" s="8">
        <f t="shared" si="21"/>
        <v>36.287389600000004</v>
      </c>
      <c r="K376">
        <v>5.56</v>
      </c>
      <c r="L376">
        <f t="shared" si="22"/>
        <v>201.757886176</v>
      </c>
    </row>
    <row r="377" spans="1:12" x14ac:dyDescent="0.2">
      <c r="A377" s="4">
        <v>43343</v>
      </c>
      <c r="B377" t="s">
        <v>13</v>
      </c>
      <c r="C377">
        <v>1</v>
      </c>
      <c r="D377">
        <v>1</v>
      </c>
      <c r="E377" s="8">
        <v>140.58000000000001</v>
      </c>
      <c r="F377" s="8" t="s">
        <v>21</v>
      </c>
      <c r="G377" s="8" t="s">
        <v>15</v>
      </c>
      <c r="H377" s="8" t="s">
        <v>1072</v>
      </c>
      <c r="I377">
        <f t="shared" si="24"/>
        <v>140.58000000000001</v>
      </c>
      <c r="J377" s="8">
        <f t="shared" si="21"/>
        <v>63.766015374600009</v>
      </c>
      <c r="K377">
        <v>5.56</v>
      </c>
      <c r="L377">
        <f t="shared" si="22"/>
        <v>354.53904548277603</v>
      </c>
    </row>
    <row r="378" spans="1:12" x14ac:dyDescent="0.2">
      <c r="A378" s="4">
        <v>43434</v>
      </c>
      <c r="B378" t="s">
        <v>525</v>
      </c>
      <c r="C378">
        <v>1</v>
      </c>
      <c r="D378">
        <v>1</v>
      </c>
      <c r="E378">
        <v>89.1</v>
      </c>
      <c r="F378" t="s">
        <v>396</v>
      </c>
      <c r="G378" t="s">
        <v>15</v>
      </c>
      <c r="H378" s="9" t="s">
        <v>1072</v>
      </c>
      <c r="I378">
        <f t="shared" si="24"/>
        <v>89.1</v>
      </c>
      <c r="J378">
        <f t="shared" si="21"/>
        <v>40.415080166999999</v>
      </c>
      <c r="K378">
        <v>5.56</v>
      </c>
      <c r="L378">
        <f t="shared" si="22"/>
        <v>224.70784572851997</v>
      </c>
    </row>
    <row r="379" spans="1:12" x14ac:dyDescent="0.2">
      <c r="A379" s="4">
        <v>43439</v>
      </c>
      <c r="B379" t="s">
        <v>525</v>
      </c>
      <c r="C379">
        <v>1</v>
      </c>
      <c r="D379">
        <v>1</v>
      </c>
      <c r="E379">
        <v>29.8</v>
      </c>
      <c r="F379" t="s">
        <v>396</v>
      </c>
      <c r="G379" t="s">
        <v>15</v>
      </c>
      <c r="H379" s="9" t="s">
        <v>1072</v>
      </c>
      <c r="I379">
        <f t="shared" si="24"/>
        <v>29.8</v>
      </c>
      <c r="J379">
        <f t="shared" si="21"/>
        <v>13.517052626000002</v>
      </c>
      <c r="K379">
        <v>5.56</v>
      </c>
      <c r="L379">
        <f t="shared" si="22"/>
        <v>75.154812600560007</v>
      </c>
    </row>
    <row r="380" spans="1:12" x14ac:dyDescent="0.2">
      <c r="A380" s="4">
        <v>43343</v>
      </c>
      <c r="B380" s="6" t="s">
        <v>1074</v>
      </c>
      <c r="C380">
        <v>1</v>
      </c>
      <c r="D380" s="8">
        <v>1</v>
      </c>
      <c r="E380">
        <f>50*2</f>
        <v>100</v>
      </c>
      <c r="F380" t="s">
        <v>61</v>
      </c>
      <c r="G380" t="s">
        <v>759</v>
      </c>
      <c r="H380" s="8" t="s">
        <v>1071</v>
      </c>
      <c r="I380">
        <f t="shared" si="24"/>
        <v>100</v>
      </c>
      <c r="J380" s="8">
        <f t="shared" si="21"/>
        <v>45.359237</v>
      </c>
      <c r="K380">
        <v>0.217</v>
      </c>
      <c r="L380">
        <f t="shared" si="22"/>
        <v>9.8429544290000006</v>
      </c>
    </row>
    <row r="381" spans="1:12" x14ac:dyDescent="0.2">
      <c r="A381" s="4">
        <v>43343</v>
      </c>
      <c r="B381" s="6" t="s">
        <v>1074</v>
      </c>
      <c r="C381">
        <v>1</v>
      </c>
      <c r="D381" s="8">
        <v>1</v>
      </c>
      <c r="E381">
        <f>50*4</f>
        <v>200</v>
      </c>
      <c r="F381" t="s">
        <v>62</v>
      </c>
      <c r="G381" t="s">
        <v>759</v>
      </c>
      <c r="H381" s="8" t="s">
        <v>1071</v>
      </c>
      <c r="I381">
        <f t="shared" si="24"/>
        <v>200</v>
      </c>
      <c r="J381" s="8">
        <f t="shared" si="21"/>
        <v>90.718474000000001</v>
      </c>
      <c r="K381">
        <v>0.217</v>
      </c>
      <c r="L381">
        <f t="shared" si="22"/>
        <v>19.685908858000001</v>
      </c>
    </row>
    <row r="382" spans="1:12" x14ac:dyDescent="0.2">
      <c r="A382" s="4">
        <v>43343</v>
      </c>
      <c r="B382" s="6" t="s">
        <v>1074</v>
      </c>
      <c r="C382">
        <v>1</v>
      </c>
      <c r="D382" s="8">
        <v>1</v>
      </c>
      <c r="E382">
        <f>50*4</f>
        <v>200</v>
      </c>
      <c r="F382" t="s">
        <v>63</v>
      </c>
      <c r="G382" t="s">
        <v>759</v>
      </c>
      <c r="H382" s="8" t="s">
        <v>1071</v>
      </c>
      <c r="I382">
        <f t="shared" si="24"/>
        <v>200</v>
      </c>
      <c r="J382" s="8">
        <f t="shared" si="21"/>
        <v>90.718474000000001</v>
      </c>
      <c r="K382">
        <v>0.217</v>
      </c>
      <c r="L382">
        <f t="shared" si="22"/>
        <v>19.685908858000001</v>
      </c>
    </row>
    <row r="383" spans="1:12" x14ac:dyDescent="0.2">
      <c r="A383" s="4">
        <v>43344</v>
      </c>
      <c r="B383" s="6" t="s">
        <v>1074</v>
      </c>
      <c r="C383">
        <v>3</v>
      </c>
      <c r="D383" s="8">
        <v>1</v>
      </c>
      <c r="E383">
        <v>50</v>
      </c>
      <c r="F383" t="s">
        <v>129</v>
      </c>
      <c r="G383" t="s">
        <v>759</v>
      </c>
      <c r="H383" s="8" t="s">
        <v>1071</v>
      </c>
      <c r="I383">
        <f t="shared" si="24"/>
        <v>150</v>
      </c>
      <c r="J383" s="8">
        <f t="shared" si="21"/>
        <v>68.038855500000011</v>
      </c>
      <c r="K383">
        <v>0.217</v>
      </c>
      <c r="L383">
        <f t="shared" si="22"/>
        <v>14.764431643500002</v>
      </c>
    </row>
    <row r="384" spans="1:12" x14ac:dyDescent="0.2">
      <c r="A384" s="4">
        <v>43344</v>
      </c>
      <c r="B384" s="6" t="s">
        <v>1074</v>
      </c>
      <c r="C384">
        <v>3</v>
      </c>
      <c r="D384" s="8">
        <v>1</v>
      </c>
      <c r="E384">
        <v>50</v>
      </c>
      <c r="F384" t="s">
        <v>130</v>
      </c>
      <c r="G384" t="s">
        <v>759</v>
      </c>
      <c r="H384" s="8" t="s">
        <v>1071</v>
      </c>
      <c r="I384">
        <f t="shared" si="24"/>
        <v>150</v>
      </c>
      <c r="J384" s="8">
        <f t="shared" si="21"/>
        <v>68.038855500000011</v>
      </c>
      <c r="K384">
        <v>0.217</v>
      </c>
      <c r="L384">
        <f t="shared" si="22"/>
        <v>14.764431643500002</v>
      </c>
    </row>
    <row r="385" spans="1:12" x14ac:dyDescent="0.2">
      <c r="A385" s="4">
        <v>43346</v>
      </c>
      <c r="B385" s="6" t="s">
        <v>1074</v>
      </c>
      <c r="C385">
        <v>3</v>
      </c>
      <c r="D385" s="8">
        <v>1</v>
      </c>
      <c r="E385">
        <v>50</v>
      </c>
      <c r="F385" t="s">
        <v>150</v>
      </c>
      <c r="G385" t="s">
        <v>759</v>
      </c>
      <c r="H385" s="8" t="s">
        <v>1071</v>
      </c>
      <c r="I385">
        <f t="shared" si="24"/>
        <v>150</v>
      </c>
      <c r="J385" s="8">
        <f t="shared" si="21"/>
        <v>68.038855500000011</v>
      </c>
      <c r="K385">
        <v>0.217</v>
      </c>
      <c r="L385">
        <f t="shared" si="22"/>
        <v>14.764431643500002</v>
      </c>
    </row>
    <row r="386" spans="1:12" x14ac:dyDescent="0.2">
      <c r="A386" s="4">
        <v>43346</v>
      </c>
      <c r="B386" s="6" t="s">
        <v>1074</v>
      </c>
      <c r="C386">
        <v>1</v>
      </c>
      <c r="D386" s="8">
        <v>1</v>
      </c>
      <c r="E386">
        <v>50</v>
      </c>
      <c r="F386" t="s">
        <v>130</v>
      </c>
      <c r="G386" t="s">
        <v>759</v>
      </c>
      <c r="H386" s="8" t="s">
        <v>1071</v>
      </c>
      <c r="I386">
        <f t="shared" si="24"/>
        <v>50</v>
      </c>
      <c r="J386" s="8">
        <f t="shared" si="21"/>
        <v>22.6796185</v>
      </c>
      <c r="K386">
        <v>0.217</v>
      </c>
      <c r="L386">
        <f t="shared" si="22"/>
        <v>4.9214772145000003</v>
      </c>
    </row>
    <row r="387" spans="1:12" x14ac:dyDescent="0.2">
      <c r="A387" s="4">
        <v>43347</v>
      </c>
      <c r="B387" s="6" t="s">
        <v>1074</v>
      </c>
      <c r="C387">
        <v>2</v>
      </c>
      <c r="D387" s="8">
        <v>1</v>
      </c>
      <c r="E387">
        <v>50</v>
      </c>
      <c r="F387" t="s">
        <v>130</v>
      </c>
      <c r="G387" t="s">
        <v>759</v>
      </c>
      <c r="H387" s="8" t="s">
        <v>1071</v>
      </c>
      <c r="I387">
        <f t="shared" si="24"/>
        <v>100</v>
      </c>
      <c r="J387" s="8">
        <f t="shared" ref="J387:J450" si="25">CONVERT(I387,"lbm","kg")</f>
        <v>45.359237</v>
      </c>
      <c r="K387">
        <v>0.217</v>
      </c>
      <c r="L387">
        <f t="shared" ref="L387:L450" si="26">J387*K387</f>
        <v>9.8429544290000006</v>
      </c>
    </row>
    <row r="388" spans="1:12" x14ac:dyDescent="0.2">
      <c r="A388" s="4">
        <v>43347</v>
      </c>
      <c r="B388" s="6" t="s">
        <v>1074</v>
      </c>
      <c r="C388">
        <v>2</v>
      </c>
      <c r="D388" s="8">
        <v>1</v>
      </c>
      <c r="E388">
        <v>50</v>
      </c>
      <c r="F388" t="s">
        <v>150</v>
      </c>
      <c r="G388" t="s">
        <v>759</v>
      </c>
      <c r="H388" s="8" t="s">
        <v>1071</v>
      </c>
      <c r="I388">
        <f t="shared" si="24"/>
        <v>100</v>
      </c>
      <c r="J388" s="8">
        <f t="shared" si="25"/>
        <v>45.359237</v>
      </c>
      <c r="K388">
        <v>0.217</v>
      </c>
      <c r="L388">
        <f t="shared" si="26"/>
        <v>9.8429544290000006</v>
      </c>
    </row>
    <row r="389" spans="1:12" x14ac:dyDescent="0.2">
      <c r="A389" s="4">
        <v>43348</v>
      </c>
      <c r="B389" s="6" t="s">
        <v>1074</v>
      </c>
      <c r="C389">
        <v>2</v>
      </c>
      <c r="D389" s="8">
        <v>1</v>
      </c>
      <c r="E389">
        <v>50</v>
      </c>
      <c r="F389" t="s">
        <v>62</v>
      </c>
      <c r="G389" t="s">
        <v>759</v>
      </c>
      <c r="H389" s="8" t="s">
        <v>1071</v>
      </c>
      <c r="I389">
        <f t="shared" si="24"/>
        <v>100</v>
      </c>
      <c r="J389" s="8">
        <f t="shared" si="25"/>
        <v>45.359237</v>
      </c>
      <c r="K389">
        <v>0.217</v>
      </c>
      <c r="L389">
        <f t="shared" si="26"/>
        <v>9.8429544290000006</v>
      </c>
    </row>
    <row r="390" spans="1:12" x14ac:dyDescent="0.2">
      <c r="A390" s="4">
        <v>43434</v>
      </c>
      <c r="B390" t="s">
        <v>531</v>
      </c>
      <c r="C390">
        <v>4</v>
      </c>
      <c r="D390">
        <v>6</v>
      </c>
      <c r="E390">
        <v>6</v>
      </c>
      <c r="F390" t="s">
        <v>533</v>
      </c>
      <c r="G390" t="s">
        <v>854</v>
      </c>
      <c r="H390" s="9" t="s">
        <v>1071</v>
      </c>
      <c r="I390">
        <f t="shared" si="24"/>
        <v>144</v>
      </c>
      <c r="J390">
        <f t="shared" si="25"/>
        <v>65.317301279999995</v>
      </c>
      <c r="K390">
        <v>0.217</v>
      </c>
      <c r="L390">
        <f t="shared" si="26"/>
        <v>14.17385437776</v>
      </c>
    </row>
    <row r="391" spans="1:12" x14ac:dyDescent="0.2">
      <c r="A391" s="4">
        <v>43434</v>
      </c>
      <c r="B391" t="s">
        <v>531</v>
      </c>
      <c r="C391">
        <v>4</v>
      </c>
      <c r="D391">
        <v>6</v>
      </c>
      <c r="E391">
        <v>3</v>
      </c>
      <c r="F391" t="s">
        <v>404</v>
      </c>
      <c r="G391" t="s">
        <v>854</v>
      </c>
      <c r="H391" s="9" t="s">
        <v>1071</v>
      </c>
      <c r="I391">
        <f t="shared" si="24"/>
        <v>72</v>
      </c>
      <c r="J391">
        <f t="shared" si="25"/>
        <v>32.658650639999998</v>
      </c>
      <c r="K391">
        <v>0.217</v>
      </c>
      <c r="L391">
        <f t="shared" si="26"/>
        <v>7.0869271888799998</v>
      </c>
    </row>
    <row r="392" spans="1:12" x14ac:dyDescent="0.2">
      <c r="A392" s="4">
        <v>43434</v>
      </c>
      <c r="B392" t="s">
        <v>531</v>
      </c>
      <c r="C392">
        <v>6</v>
      </c>
      <c r="D392">
        <v>6</v>
      </c>
      <c r="E392">
        <v>5</v>
      </c>
      <c r="F392" t="s">
        <v>419</v>
      </c>
      <c r="G392" t="s">
        <v>854</v>
      </c>
      <c r="H392" s="9" t="s">
        <v>1071</v>
      </c>
      <c r="I392">
        <f t="shared" si="24"/>
        <v>180</v>
      </c>
      <c r="J392">
        <f t="shared" si="25"/>
        <v>81.646626600000005</v>
      </c>
      <c r="K392">
        <v>0.217</v>
      </c>
      <c r="L392">
        <f t="shared" si="26"/>
        <v>17.7173179722</v>
      </c>
    </row>
    <row r="393" spans="1:12" x14ac:dyDescent="0.2">
      <c r="A393" s="4">
        <v>43437</v>
      </c>
      <c r="B393" t="s">
        <v>531</v>
      </c>
      <c r="C393">
        <v>4</v>
      </c>
      <c r="D393">
        <v>6</v>
      </c>
      <c r="E393">
        <v>6</v>
      </c>
      <c r="F393" t="s">
        <v>533</v>
      </c>
      <c r="G393" t="s">
        <v>854</v>
      </c>
      <c r="H393" s="9" t="s">
        <v>1071</v>
      </c>
      <c r="I393">
        <f t="shared" si="24"/>
        <v>144</v>
      </c>
      <c r="J393">
        <f t="shared" si="25"/>
        <v>65.317301279999995</v>
      </c>
      <c r="K393">
        <v>0.217</v>
      </c>
      <c r="L393">
        <f t="shared" si="26"/>
        <v>14.17385437776</v>
      </c>
    </row>
    <row r="394" spans="1:12" x14ac:dyDescent="0.2">
      <c r="A394" s="4">
        <v>43437</v>
      </c>
      <c r="B394" t="s">
        <v>531</v>
      </c>
      <c r="C394">
        <v>4</v>
      </c>
      <c r="D394">
        <v>6</v>
      </c>
      <c r="E394">
        <v>3</v>
      </c>
      <c r="F394" t="s">
        <v>404</v>
      </c>
      <c r="G394" t="s">
        <v>854</v>
      </c>
      <c r="H394" s="9" t="s">
        <v>1071</v>
      </c>
      <c r="I394">
        <f t="shared" si="24"/>
        <v>72</v>
      </c>
      <c r="J394">
        <f t="shared" si="25"/>
        <v>32.658650639999998</v>
      </c>
      <c r="K394">
        <v>0.217</v>
      </c>
      <c r="L394">
        <f t="shared" si="26"/>
        <v>7.0869271888799998</v>
      </c>
    </row>
    <row r="395" spans="1:12" x14ac:dyDescent="0.2">
      <c r="A395" s="4">
        <v>43437</v>
      </c>
      <c r="B395" t="s">
        <v>531</v>
      </c>
      <c r="C395">
        <v>4</v>
      </c>
      <c r="D395">
        <v>6</v>
      </c>
      <c r="E395">
        <v>5</v>
      </c>
      <c r="F395" t="s">
        <v>406</v>
      </c>
      <c r="G395" t="s">
        <v>854</v>
      </c>
      <c r="H395" s="9" t="s">
        <v>1071</v>
      </c>
      <c r="I395">
        <f t="shared" si="24"/>
        <v>120</v>
      </c>
      <c r="J395">
        <f t="shared" si="25"/>
        <v>54.431084400000003</v>
      </c>
      <c r="K395">
        <v>0.217</v>
      </c>
      <c r="L395">
        <f t="shared" si="26"/>
        <v>11.8115453148</v>
      </c>
    </row>
    <row r="396" spans="1:12" x14ac:dyDescent="0.2">
      <c r="A396" s="4">
        <v>43439</v>
      </c>
      <c r="B396" t="s">
        <v>531</v>
      </c>
      <c r="C396">
        <v>4</v>
      </c>
      <c r="D396">
        <v>6</v>
      </c>
      <c r="E396">
        <v>5</v>
      </c>
      <c r="F396" t="s">
        <v>403</v>
      </c>
      <c r="G396" t="s">
        <v>854</v>
      </c>
      <c r="H396" s="9" t="s">
        <v>1071</v>
      </c>
      <c r="I396">
        <f t="shared" si="24"/>
        <v>120</v>
      </c>
      <c r="J396">
        <f t="shared" si="25"/>
        <v>54.431084400000003</v>
      </c>
      <c r="K396">
        <v>0.217</v>
      </c>
      <c r="L396">
        <f t="shared" si="26"/>
        <v>11.8115453148</v>
      </c>
    </row>
    <row r="397" spans="1:12" x14ac:dyDescent="0.2">
      <c r="A397" s="4">
        <v>43439</v>
      </c>
      <c r="B397" t="s">
        <v>531</v>
      </c>
      <c r="C397">
        <v>4</v>
      </c>
      <c r="D397">
        <v>6</v>
      </c>
      <c r="E397">
        <v>5</v>
      </c>
      <c r="F397" t="s">
        <v>406</v>
      </c>
      <c r="G397" t="s">
        <v>854</v>
      </c>
      <c r="H397" s="9" t="s">
        <v>1071</v>
      </c>
      <c r="I397">
        <f t="shared" si="24"/>
        <v>120</v>
      </c>
      <c r="J397">
        <f t="shared" si="25"/>
        <v>54.431084400000003</v>
      </c>
      <c r="K397">
        <v>0.217</v>
      </c>
      <c r="L397">
        <f t="shared" si="26"/>
        <v>11.8115453148</v>
      </c>
    </row>
    <row r="398" spans="1:12" x14ac:dyDescent="0.2">
      <c r="A398" s="4">
        <v>43439</v>
      </c>
      <c r="B398" t="s">
        <v>531</v>
      </c>
      <c r="C398">
        <v>8</v>
      </c>
      <c r="D398">
        <v>6</v>
      </c>
      <c r="E398">
        <v>5</v>
      </c>
      <c r="F398" t="s">
        <v>419</v>
      </c>
      <c r="G398" t="s">
        <v>854</v>
      </c>
      <c r="H398" s="9" t="s">
        <v>1071</v>
      </c>
      <c r="I398">
        <f t="shared" si="24"/>
        <v>240</v>
      </c>
      <c r="J398">
        <f t="shared" si="25"/>
        <v>108.86216880000001</v>
      </c>
      <c r="K398">
        <v>0.217</v>
      </c>
      <c r="L398">
        <f t="shared" si="26"/>
        <v>23.6230906296</v>
      </c>
    </row>
    <row r="399" spans="1:12" x14ac:dyDescent="0.2">
      <c r="A399" s="4">
        <v>43437</v>
      </c>
      <c r="B399" t="s">
        <v>531</v>
      </c>
      <c r="C399">
        <v>4</v>
      </c>
      <c r="D399">
        <v>6</v>
      </c>
      <c r="E399">
        <v>5</v>
      </c>
      <c r="F399" t="s">
        <v>412</v>
      </c>
      <c r="G399" t="s">
        <v>914</v>
      </c>
      <c r="H399" s="9" t="s">
        <v>1071</v>
      </c>
      <c r="I399">
        <f t="shared" si="24"/>
        <v>120</v>
      </c>
      <c r="J399">
        <f t="shared" si="25"/>
        <v>54.431084400000003</v>
      </c>
      <c r="K399">
        <v>1.5449999999999999</v>
      </c>
      <c r="L399">
        <f t="shared" si="26"/>
        <v>84.096025397999995</v>
      </c>
    </row>
    <row r="400" spans="1:12" x14ac:dyDescent="0.2">
      <c r="A400" s="4">
        <v>43439</v>
      </c>
      <c r="B400" t="s">
        <v>538</v>
      </c>
      <c r="C400">
        <v>1</v>
      </c>
      <c r="D400">
        <v>24</v>
      </c>
      <c r="E400">
        <f>15/16</f>
        <v>0.9375</v>
      </c>
      <c r="F400" t="s">
        <v>590</v>
      </c>
      <c r="G400" t="s">
        <v>882</v>
      </c>
      <c r="H400" s="9" t="s">
        <v>1071</v>
      </c>
      <c r="I400">
        <f t="shared" si="24"/>
        <v>22.5</v>
      </c>
      <c r="J400">
        <f t="shared" si="25"/>
        <v>10.205828325000001</v>
      </c>
      <c r="K400">
        <v>0.68400000000000005</v>
      </c>
      <c r="L400">
        <f t="shared" si="26"/>
        <v>6.9807865743000006</v>
      </c>
    </row>
    <row r="401" spans="1:12" x14ac:dyDescent="0.2">
      <c r="A401" s="4">
        <v>43439</v>
      </c>
      <c r="B401" t="s">
        <v>538</v>
      </c>
      <c r="C401">
        <v>1</v>
      </c>
      <c r="D401">
        <v>1</v>
      </c>
      <c r="E401">
        <v>30</v>
      </c>
      <c r="F401" t="s">
        <v>593</v>
      </c>
      <c r="G401" t="s">
        <v>882</v>
      </c>
      <c r="H401" s="9" t="s">
        <v>1071</v>
      </c>
      <c r="I401">
        <f t="shared" si="24"/>
        <v>30</v>
      </c>
      <c r="J401">
        <f t="shared" si="25"/>
        <v>13.607771100000001</v>
      </c>
      <c r="K401">
        <v>0.68400000000000005</v>
      </c>
      <c r="L401">
        <f t="shared" si="26"/>
        <v>9.307715432400002</v>
      </c>
    </row>
    <row r="402" spans="1:12" x14ac:dyDescent="0.2">
      <c r="A402" s="4">
        <v>43434</v>
      </c>
      <c r="B402" t="s">
        <v>538</v>
      </c>
      <c r="C402">
        <v>8</v>
      </c>
      <c r="D402">
        <v>1</v>
      </c>
      <c r="E402">
        <v>25</v>
      </c>
      <c r="F402" t="s">
        <v>424</v>
      </c>
      <c r="G402" t="s">
        <v>859</v>
      </c>
      <c r="H402" s="9" t="s">
        <v>1071</v>
      </c>
      <c r="I402">
        <f t="shared" si="24"/>
        <v>200</v>
      </c>
      <c r="J402">
        <f t="shared" si="25"/>
        <v>90.718474000000001</v>
      </c>
      <c r="K402">
        <v>1.5409999999999999</v>
      </c>
      <c r="L402">
        <f t="shared" si="26"/>
        <v>139.79716843399999</v>
      </c>
    </row>
    <row r="403" spans="1:12" x14ac:dyDescent="0.2">
      <c r="A403" s="4">
        <v>43434</v>
      </c>
      <c r="B403" t="s">
        <v>538</v>
      </c>
      <c r="C403">
        <v>4</v>
      </c>
      <c r="D403">
        <v>2</v>
      </c>
      <c r="E403">
        <v>5</v>
      </c>
      <c r="F403" t="s">
        <v>429</v>
      </c>
      <c r="G403" t="s">
        <v>859</v>
      </c>
      <c r="H403" s="9" t="s">
        <v>1071</v>
      </c>
      <c r="I403">
        <f t="shared" si="24"/>
        <v>40</v>
      </c>
      <c r="J403">
        <f t="shared" si="25"/>
        <v>18.143694800000002</v>
      </c>
      <c r="K403">
        <v>1.5409999999999999</v>
      </c>
      <c r="L403">
        <f t="shared" si="26"/>
        <v>27.959433686800001</v>
      </c>
    </row>
    <row r="404" spans="1:12" x14ac:dyDescent="0.2">
      <c r="A404" s="4">
        <v>43434</v>
      </c>
      <c r="B404" t="s">
        <v>538</v>
      </c>
      <c r="C404">
        <v>4</v>
      </c>
      <c r="D404">
        <v>1</v>
      </c>
      <c r="E404">
        <v>25</v>
      </c>
      <c r="F404" t="s">
        <v>452</v>
      </c>
      <c r="G404" t="s">
        <v>859</v>
      </c>
      <c r="H404" s="9" t="s">
        <v>1071</v>
      </c>
      <c r="I404">
        <f t="shared" si="24"/>
        <v>100</v>
      </c>
      <c r="J404">
        <f t="shared" si="25"/>
        <v>45.359237</v>
      </c>
      <c r="K404">
        <v>1.5409999999999999</v>
      </c>
      <c r="L404">
        <f t="shared" si="26"/>
        <v>69.898584216999993</v>
      </c>
    </row>
    <row r="405" spans="1:12" x14ac:dyDescent="0.2">
      <c r="A405" s="4">
        <v>43434</v>
      </c>
      <c r="B405" t="s">
        <v>538</v>
      </c>
      <c r="C405">
        <v>4</v>
      </c>
      <c r="D405">
        <v>2</v>
      </c>
      <c r="E405">
        <v>5</v>
      </c>
      <c r="F405" t="s">
        <v>564</v>
      </c>
      <c r="G405" t="s">
        <v>859</v>
      </c>
      <c r="H405" s="9" t="s">
        <v>1071</v>
      </c>
      <c r="I405">
        <f t="shared" si="24"/>
        <v>40</v>
      </c>
      <c r="J405">
        <f t="shared" si="25"/>
        <v>18.143694800000002</v>
      </c>
      <c r="K405">
        <v>1.5409999999999999</v>
      </c>
      <c r="L405">
        <f t="shared" si="26"/>
        <v>27.959433686800001</v>
      </c>
    </row>
    <row r="406" spans="1:12" x14ac:dyDescent="0.2">
      <c r="A406" s="4">
        <v>43437</v>
      </c>
      <c r="B406" t="s">
        <v>538</v>
      </c>
      <c r="C406">
        <v>3</v>
      </c>
      <c r="D406">
        <v>1</v>
      </c>
      <c r="E406">
        <v>25</v>
      </c>
      <c r="F406" t="s">
        <v>424</v>
      </c>
      <c r="G406" t="s">
        <v>859</v>
      </c>
      <c r="H406" s="9" t="s">
        <v>1071</v>
      </c>
      <c r="I406">
        <f t="shared" si="24"/>
        <v>75</v>
      </c>
      <c r="J406">
        <f t="shared" si="25"/>
        <v>34.019427750000006</v>
      </c>
      <c r="K406">
        <v>1.5409999999999999</v>
      </c>
      <c r="L406">
        <f t="shared" si="26"/>
        <v>52.423938162750005</v>
      </c>
    </row>
    <row r="407" spans="1:12" x14ac:dyDescent="0.2">
      <c r="A407" s="4">
        <v>43437</v>
      </c>
      <c r="B407" t="s">
        <v>538</v>
      </c>
      <c r="C407">
        <v>3</v>
      </c>
      <c r="D407">
        <v>2</v>
      </c>
      <c r="E407">
        <v>5</v>
      </c>
      <c r="F407" t="s">
        <v>429</v>
      </c>
      <c r="G407" t="s">
        <v>859</v>
      </c>
      <c r="H407" s="9" t="s">
        <v>1071</v>
      </c>
      <c r="I407">
        <f t="shared" si="24"/>
        <v>30</v>
      </c>
      <c r="J407">
        <f t="shared" si="25"/>
        <v>13.607771100000001</v>
      </c>
      <c r="K407">
        <v>1.5409999999999999</v>
      </c>
      <c r="L407">
        <f t="shared" si="26"/>
        <v>20.969575265100001</v>
      </c>
    </row>
    <row r="408" spans="1:12" x14ac:dyDescent="0.2">
      <c r="A408" s="4">
        <v>43437</v>
      </c>
      <c r="B408" t="s">
        <v>538</v>
      </c>
      <c r="C408">
        <v>2</v>
      </c>
      <c r="D408">
        <v>1</v>
      </c>
      <c r="E408">
        <v>25</v>
      </c>
      <c r="F408" t="s">
        <v>452</v>
      </c>
      <c r="G408" t="s">
        <v>859</v>
      </c>
      <c r="H408" s="9" t="s">
        <v>1071</v>
      </c>
      <c r="I408">
        <f t="shared" si="24"/>
        <v>50</v>
      </c>
      <c r="J408">
        <f t="shared" si="25"/>
        <v>22.6796185</v>
      </c>
      <c r="K408">
        <v>1.5409999999999999</v>
      </c>
      <c r="L408">
        <f t="shared" si="26"/>
        <v>34.949292108499996</v>
      </c>
    </row>
    <row r="409" spans="1:12" x14ac:dyDescent="0.2">
      <c r="A409" s="4">
        <v>43437</v>
      </c>
      <c r="B409" t="s">
        <v>538</v>
      </c>
      <c r="C409">
        <v>1</v>
      </c>
      <c r="D409">
        <v>1</v>
      </c>
      <c r="E409">
        <v>50</v>
      </c>
      <c r="F409" t="s">
        <v>459</v>
      </c>
      <c r="G409" t="s">
        <v>859</v>
      </c>
      <c r="H409" s="9" t="s">
        <v>1071</v>
      </c>
      <c r="I409">
        <f t="shared" si="24"/>
        <v>50</v>
      </c>
      <c r="J409">
        <f t="shared" si="25"/>
        <v>22.6796185</v>
      </c>
      <c r="K409">
        <v>1.5409999999999999</v>
      </c>
      <c r="L409">
        <f t="shared" si="26"/>
        <v>34.949292108499996</v>
      </c>
    </row>
    <row r="410" spans="1:12" x14ac:dyDescent="0.2">
      <c r="A410" s="4">
        <v>43439</v>
      </c>
      <c r="B410" t="s">
        <v>538</v>
      </c>
      <c r="C410">
        <v>4</v>
      </c>
      <c r="D410">
        <v>1</v>
      </c>
      <c r="E410">
        <v>25</v>
      </c>
      <c r="F410" t="s">
        <v>424</v>
      </c>
      <c r="G410" t="s">
        <v>859</v>
      </c>
      <c r="H410" s="9" t="s">
        <v>1071</v>
      </c>
      <c r="I410">
        <f t="shared" si="24"/>
        <v>100</v>
      </c>
      <c r="J410">
        <f t="shared" si="25"/>
        <v>45.359237</v>
      </c>
      <c r="K410">
        <v>1.5409999999999999</v>
      </c>
      <c r="L410">
        <f t="shared" si="26"/>
        <v>69.898584216999993</v>
      </c>
    </row>
    <row r="411" spans="1:12" x14ac:dyDescent="0.2">
      <c r="A411" s="4">
        <v>43439</v>
      </c>
      <c r="B411" t="s">
        <v>538</v>
      </c>
      <c r="C411">
        <v>3</v>
      </c>
      <c r="D411">
        <v>1</v>
      </c>
      <c r="E411">
        <v>25</v>
      </c>
      <c r="F411" t="s">
        <v>452</v>
      </c>
      <c r="G411" t="s">
        <v>859</v>
      </c>
      <c r="H411" s="9" t="s">
        <v>1071</v>
      </c>
      <c r="I411">
        <f t="shared" si="24"/>
        <v>75</v>
      </c>
      <c r="J411">
        <f t="shared" si="25"/>
        <v>34.019427750000006</v>
      </c>
      <c r="K411">
        <v>1.5409999999999999</v>
      </c>
      <c r="L411">
        <f t="shared" si="26"/>
        <v>52.423938162750005</v>
      </c>
    </row>
    <row r="412" spans="1:12" x14ac:dyDescent="0.2">
      <c r="A412" s="4">
        <v>43439</v>
      </c>
      <c r="B412" t="s">
        <v>538</v>
      </c>
      <c r="C412">
        <v>1</v>
      </c>
      <c r="D412">
        <v>1</v>
      </c>
      <c r="E412">
        <v>50</v>
      </c>
      <c r="F412" t="s">
        <v>459</v>
      </c>
      <c r="G412" t="s">
        <v>859</v>
      </c>
      <c r="H412" s="9" t="s">
        <v>1071</v>
      </c>
      <c r="I412">
        <f t="shared" si="24"/>
        <v>50</v>
      </c>
      <c r="J412">
        <f t="shared" si="25"/>
        <v>22.6796185</v>
      </c>
      <c r="K412">
        <v>1.5409999999999999</v>
      </c>
      <c r="L412">
        <f t="shared" si="26"/>
        <v>34.949292108499996</v>
      </c>
    </row>
    <row r="413" spans="1:12" x14ac:dyDescent="0.2">
      <c r="A413" s="4">
        <v>43344</v>
      </c>
      <c r="B413" s="6" t="s">
        <v>1074</v>
      </c>
      <c r="C413">
        <v>1</v>
      </c>
      <c r="D413" s="8">
        <v>1</v>
      </c>
      <c r="E413">
        <v>1</v>
      </c>
      <c r="F413" t="s">
        <v>1003</v>
      </c>
      <c r="G413" t="s">
        <v>97</v>
      </c>
      <c r="H413" s="8" t="s">
        <v>1071</v>
      </c>
      <c r="I413">
        <f t="shared" si="24"/>
        <v>1</v>
      </c>
      <c r="J413" s="8">
        <f t="shared" si="25"/>
        <v>0.45359237000000002</v>
      </c>
      <c r="K413">
        <v>0.221</v>
      </c>
      <c r="L413">
        <f t="shared" si="26"/>
        <v>0.10024391377000001</v>
      </c>
    </row>
    <row r="414" spans="1:12" x14ac:dyDescent="0.2">
      <c r="A414" s="4">
        <v>43434</v>
      </c>
      <c r="B414" t="s">
        <v>538</v>
      </c>
      <c r="C414">
        <v>1</v>
      </c>
      <c r="D414">
        <v>4</v>
      </c>
      <c r="E414">
        <v>7.9</v>
      </c>
      <c r="F414" t="s">
        <v>550</v>
      </c>
      <c r="G414" t="s">
        <v>906</v>
      </c>
      <c r="H414" s="9" t="s">
        <v>1071</v>
      </c>
      <c r="I414">
        <f t="shared" si="24"/>
        <v>31.6</v>
      </c>
      <c r="J414">
        <f t="shared" si="25"/>
        <v>14.333518892000003</v>
      </c>
      <c r="K414">
        <v>2.3340000000000001</v>
      </c>
      <c r="L414">
        <f t="shared" si="26"/>
        <v>33.45443309392801</v>
      </c>
    </row>
    <row r="415" spans="1:12" x14ac:dyDescent="0.2">
      <c r="A415" s="4">
        <v>43343</v>
      </c>
      <c r="B415" s="6" t="s">
        <v>1074</v>
      </c>
      <c r="C415">
        <v>1</v>
      </c>
      <c r="D415" s="8">
        <v>1</v>
      </c>
      <c r="E415">
        <f>4*8.35*1</f>
        <v>33.4</v>
      </c>
      <c r="F415" t="s">
        <v>72</v>
      </c>
      <c r="G415" t="s">
        <v>216</v>
      </c>
      <c r="H415" s="8" t="s">
        <v>1071</v>
      </c>
      <c r="I415">
        <f t="shared" si="24"/>
        <v>33.4</v>
      </c>
      <c r="J415" s="8">
        <f t="shared" si="25"/>
        <v>15.149985158</v>
      </c>
      <c r="K415">
        <v>0.27500000000000002</v>
      </c>
      <c r="L415">
        <f t="shared" si="26"/>
        <v>4.1662459184500005</v>
      </c>
    </row>
    <row r="416" spans="1:12" x14ac:dyDescent="0.2">
      <c r="A416" s="10">
        <v>43351</v>
      </c>
      <c r="B416" s="9" t="s">
        <v>946</v>
      </c>
      <c r="C416">
        <v>1</v>
      </c>
      <c r="D416" s="8">
        <v>1</v>
      </c>
      <c r="E416" s="9">
        <v>100</v>
      </c>
      <c r="F416" s="9" t="s">
        <v>1006</v>
      </c>
      <c r="G416" s="9" t="s">
        <v>951</v>
      </c>
      <c r="H416" s="8" t="s">
        <v>1071</v>
      </c>
      <c r="I416">
        <f t="shared" si="24"/>
        <v>100</v>
      </c>
      <c r="J416" s="8">
        <f t="shared" si="25"/>
        <v>45.359237</v>
      </c>
      <c r="K416">
        <v>0.63900000000000001</v>
      </c>
      <c r="L416">
        <f t="shared" si="26"/>
        <v>28.984552443000002</v>
      </c>
    </row>
    <row r="417" spans="1:12" x14ac:dyDescent="0.2">
      <c r="A417" s="4">
        <v>43434</v>
      </c>
      <c r="B417" t="s">
        <v>517</v>
      </c>
      <c r="C417">
        <v>3</v>
      </c>
      <c r="D417">
        <v>1</v>
      </c>
      <c r="E417">
        <f>2.5*8.6</f>
        <v>21.5</v>
      </c>
      <c r="F417" t="s">
        <v>463</v>
      </c>
      <c r="G417" t="s">
        <v>933</v>
      </c>
      <c r="H417" s="9" t="s">
        <v>1071</v>
      </c>
      <c r="I417">
        <f t="shared" si="24"/>
        <v>64.5</v>
      </c>
      <c r="J417">
        <f t="shared" si="25"/>
        <v>29.256707864999999</v>
      </c>
      <c r="K417">
        <v>0.25800000000000001</v>
      </c>
      <c r="L417">
        <f t="shared" si="26"/>
        <v>7.5482306291699999</v>
      </c>
    </row>
    <row r="418" spans="1:12" x14ac:dyDescent="0.2">
      <c r="A418" s="4">
        <v>43434</v>
      </c>
      <c r="B418" t="s">
        <v>517</v>
      </c>
      <c r="C418">
        <v>3</v>
      </c>
      <c r="D418">
        <v>1</v>
      </c>
      <c r="E418">
        <f>2.5*8.6</f>
        <v>21.5</v>
      </c>
      <c r="F418" t="s">
        <v>464</v>
      </c>
      <c r="G418" t="s">
        <v>933</v>
      </c>
      <c r="H418" s="9" t="s">
        <v>1071</v>
      </c>
      <c r="I418">
        <f t="shared" si="24"/>
        <v>64.5</v>
      </c>
      <c r="J418">
        <f t="shared" si="25"/>
        <v>29.256707864999999</v>
      </c>
      <c r="K418">
        <v>0.25800000000000001</v>
      </c>
      <c r="L418">
        <f t="shared" si="26"/>
        <v>7.5482306291699999</v>
      </c>
    </row>
    <row r="419" spans="1:12" x14ac:dyDescent="0.2">
      <c r="A419" s="4">
        <v>43434</v>
      </c>
      <c r="B419" t="s">
        <v>517</v>
      </c>
      <c r="C419">
        <v>1</v>
      </c>
      <c r="D419">
        <v>12</v>
      </c>
      <c r="E419">
        <f>2</f>
        <v>2</v>
      </c>
      <c r="F419" t="s">
        <v>520</v>
      </c>
      <c r="G419" t="s">
        <v>933</v>
      </c>
      <c r="H419" s="9" t="s">
        <v>1071</v>
      </c>
      <c r="I419">
        <f t="shared" si="24"/>
        <v>24</v>
      </c>
      <c r="J419">
        <f t="shared" si="25"/>
        <v>10.886216880000001</v>
      </c>
      <c r="K419">
        <v>0.25800000000000001</v>
      </c>
      <c r="L419">
        <f t="shared" si="26"/>
        <v>2.8086439550400004</v>
      </c>
    </row>
    <row r="420" spans="1:12" x14ac:dyDescent="0.2">
      <c r="A420" s="4">
        <v>43437</v>
      </c>
      <c r="B420" t="s">
        <v>517</v>
      </c>
      <c r="C420">
        <v>2</v>
      </c>
      <c r="D420">
        <v>1</v>
      </c>
      <c r="E420">
        <f>2.5*8.6</f>
        <v>21.5</v>
      </c>
      <c r="F420" t="s">
        <v>463</v>
      </c>
      <c r="G420" t="s">
        <v>933</v>
      </c>
      <c r="H420" s="9" t="s">
        <v>1071</v>
      </c>
      <c r="I420">
        <f t="shared" si="24"/>
        <v>43</v>
      </c>
      <c r="J420">
        <f t="shared" si="25"/>
        <v>19.504471909999999</v>
      </c>
      <c r="K420">
        <v>0.25800000000000001</v>
      </c>
      <c r="L420">
        <f t="shared" si="26"/>
        <v>5.0321537527800002</v>
      </c>
    </row>
    <row r="421" spans="1:12" x14ac:dyDescent="0.2">
      <c r="A421" s="4">
        <v>43437</v>
      </c>
      <c r="B421" t="s">
        <v>517</v>
      </c>
      <c r="C421">
        <v>1</v>
      </c>
      <c r="D421">
        <v>1</v>
      </c>
      <c r="E421">
        <f>2.5*8.6</f>
        <v>21.5</v>
      </c>
      <c r="F421" t="s">
        <v>464</v>
      </c>
      <c r="G421" t="s">
        <v>933</v>
      </c>
      <c r="H421" s="9" t="s">
        <v>1071</v>
      </c>
      <c r="I421">
        <f t="shared" si="24"/>
        <v>21.5</v>
      </c>
      <c r="J421">
        <f t="shared" si="25"/>
        <v>9.7522359549999997</v>
      </c>
      <c r="K421">
        <v>0.25800000000000001</v>
      </c>
      <c r="L421">
        <f t="shared" si="26"/>
        <v>2.5160768763900001</v>
      </c>
    </row>
    <row r="422" spans="1:12" x14ac:dyDescent="0.2">
      <c r="A422" s="4">
        <v>43439</v>
      </c>
      <c r="B422" t="s">
        <v>517</v>
      </c>
      <c r="C422">
        <v>2</v>
      </c>
      <c r="D422">
        <v>1</v>
      </c>
      <c r="E422">
        <f>2.5*8.6</f>
        <v>21.5</v>
      </c>
      <c r="F422" t="s">
        <v>463</v>
      </c>
      <c r="G422" t="s">
        <v>933</v>
      </c>
      <c r="H422" s="9" t="s">
        <v>1071</v>
      </c>
      <c r="I422">
        <f t="shared" si="24"/>
        <v>43</v>
      </c>
      <c r="J422">
        <f t="shared" si="25"/>
        <v>19.504471909999999</v>
      </c>
      <c r="K422">
        <v>0.25800000000000001</v>
      </c>
      <c r="L422">
        <f t="shared" si="26"/>
        <v>5.0321537527800002</v>
      </c>
    </row>
    <row r="423" spans="1:12" x14ac:dyDescent="0.2">
      <c r="A423" s="4">
        <v>43439</v>
      </c>
      <c r="B423" t="s">
        <v>517</v>
      </c>
      <c r="C423">
        <v>2</v>
      </c>
      <c r="D423">
        <v>1</v>
      </c>
      <c r="E423">
        <f>2.5*8.6</f>
        <v>21.5</v>
      </c>
      <c r="F423" t="s">
        <v>464</v>
      </c>
      <c r="G423" t="s">
        <v>933</v>
      </c>
      <c r="H423" s="9" t="s">
        <v>1071</v>
      </c>
      <c r="I423">
        <f t="shared" si="24"/>
        <v>43</v>
      </c>
      <c r="J423">
        <f t="shared" si="25"/>
        <v>19.504471909999999</v>
      </c>
      <c r="K423">
        <v>0.25800000000000001</v>
      </c>
      <c r="L423">
        <f t="shared" si="26"/>
        <v>5.0321537527800002</v>
      </c>
    </row>
    <row r="424" spans="1:12" x14ac:dyDescent="0.2">
      <c r="A424" s="4">
        <v>43343</v>
      </c>
      <c r="B424" s="6" t="s">
        <v>1074</v>
      </c>
      <c r="C424">
        <v>1</v>
      </c>
      <c r="D424" s="8">
        <v>1</v>
      </c>
      <c r="E424">
        <f>20*2</f>
        <v>40</v>
      </c>
      <c r="F424" t="s">
        <v>82</v>
      </c>
      <c r="G424" t="s">
        <v>962</v>
      </c>
      <c r="H424" s="8" t="s">
        <v>1071</v>
      </c>
      <c r="I424">
        <f t="shared" si="24"/>
        <v>40</v>
      </c>
      <c r="J424" s="8">
        <f t="shared" si="25"/>
        <v>18.143694800000002</v>
      </c>
      <c r="K424">
        <v>1.1539999999999999</v>
      </c>
      <c r="L424">
        <f t="shared" si="26"/>
        <v>20.9378237992</v>
      </c>
    </row>
    <row r="425" spans="1:12" x14ac:dyDescent="0.2">
      <c r="A425" s="4">
        <v>43347</v>
      </c>
      <c r="B425" s="6" t="s">
        <v>1074</v>
      </c>
      <c r="C425">
        <v>1</v>
      </c>
      <c r="D425" s="8">
        <v>1</v>
      </c>
      <c r="E425">
        <v>20</v>
      </c>
      <c r="F425" t="s">
        <v>155</v>
      </c>
      <c r="G425" t="s">
        <v>962</v>
      </c>
      <c r="H425" s="8" t="s">
        <v>1071</v>
      </c>
      <c r="I425">
        <f t="shared" si="24"/>
        <v>20</v>
      </c>
      <c r="J425" s="8">
        <f t="shared" si="25"/>
        <v>9.0718474000000011</v>
      </c>
      <c r="K425">
        <v>1.1539999999999999</v>
      </c>
      <c r="L425">
        <f t="shared" si="26"/>
        <v>10.4689118996</v>
      </c>
    </row>
    <row r="426" spans="1:12" x14ac:dyDescent="0.2">
      <c r="A426" s="4">
        <v>43437</v>
      </c>
      <c r="B426" t="s">
        <v>538</v>
      </c>
      <c r="C426">
        <v>3</v>
      </c>
      <c r="D426">
        <v>6</v>
      </c>
      <c r="E426">
        <f>14/16</f>
        <v>0.875</v>
      </c>
      <c r="F426" t="s">
        <v>581</v>
      </c>
      <c r="G426" t="s">
        <v>869</v>
      </c>
      <c r="H426" s="9" t="s">
        <v>1071</v>
      </c>
      <c r="I426">
        <f t="shared" si="24"/>
        <v>15.75</v>
      </c>
      <c r="J426">
        <f t="shared" si="25"/>
        <v>7.1440798275000006</v>
      </c>
      <c r="K426">
        <v>0.87</v>
      </c>
      <c r="L426">
        <f t="shared" si="26"/>
        <v>6.2153494499250002</v>
      </c>
    </row>
    <row r="427" spans="1:12" x14ac:dyDescent="0.2">
      <c r="A427" s="4">
        <v>43437</v>
      </c>
      <c r="B427" t="s">
        <v>538</v>
      </c>
      <c r="C427">
        <v>3</v>
      </c>
      <c r="D427">
        <v>6</v>
      </c>
      <c r="E427">
        <v>1</v>
      </c>
      <c r="F427" t="s">
        <v>582</v>
      </c>
      <c r="G427" t="s">
        <v>869</v>
      </c>
      <c r="H427" s="9" t="s">
        <v>1071</v>
      </c>
      <c r="I427">
        <f t="shared" si="24"/>
        <v>18</v>
      </c>
      <c r="J427">
        <f t="shared" si="25"/>
        <v>8.1646626599999994</v>
      </c>
      <c r="K427">
        <v>0.87</v>
      </c>
      <c r="L427">
        <f t="shared" si="26"/>
        <v>7.103256514199999</v>
      </c>
    </row>
    <row r="428" spans="1:12" x14ac:dyDescent="0.2">
      <c r="A428" s="4">
        <v>43439</v>
      </c>
      <c r="B428" t="s">
        <v>538</v>
      </c>
      <c r="C428">
        <v>3</v>
      </c>
      <c r="D428">
        <v>6</v>
      </c>
      <c r="E428">
        <f>18/16</f>
        <v>1.125</v>
      </c>
      <c r="F428" t="s">
        <v>597</v>
      </c>
      <c r="G428" t="s">
        <v>869</v>
      </c>
      <c r="H428" s="9" t="s">
        <v>1071</v>
      </c>
      <c r="I428">
        <f t="shared" si="24"/>
        <v>20.25</v>
      </c>
      <c r="J428">
        <f t="shared" si="25"/>
        <v>9.1852454925</v>
      </c>
      <c r="K428">
        <v>0.87</v>
      </c>
      <c r="L428">
        <f t="shared" si="26"/>
        <v>7.9911635784749997</v>
      </c>
    </row>
    <row r="429" spans="1:12" x14ac:dyDescent="0.2">
      <c r="A429" s="4">
        <v>43439</v>
      </c>
      <c r="B429" t="s">
        <v>538</v>
      </c>
      <c r="C429">
        <v>3</v>
      </c>
      <c r="D429">
        <v>6</v>
      </c>
      <c r="E429">
        <f>14/16</f>
        <v>0.875</v>
      </c>
      <c r="F429" t="s">
        <v>581</v>
      </c>
      <c r="G429" t="s">
        <v>869</v>
      </c>
      <c r="H429" s="9" t="s">
        <v>1071</v>
      </c>
      <c r="I429">
        <f t="shared" si="24"/>
        <v>15.75</v>
      </c>
      <c r="J429">
        <f t="shared" si="25"/>
        <v>7.1440798275000006</v>
      </c>
      <c r="K429">
        <v>0.87</v>
      </c>
      <c r="L429">
        <f t="shared" si="26"/>
        <v>6.2153494499250002</v>
      </c>
    </row>
    <row r="430" spans="1:12" x14ac:dyDescent="0.2">
      <c r="A430" s="4">
        <v>43439</v>
      </c>
      <c r="B430" t="s">
        <v>538</v>
      </c>
      <c r="C430">
        <v>1</v>
      </c>
      <c r="D430">
        <v>3</v>
      </c>
      <c r="E430">
        <v>7.25</v>
      </c>
      <c r="F430" t="s">
        <v>554</v>
      </c>
      <c r="G430" t="s">
        <v>869</v>
      </c>
      <c r="H430" s="9" t="s">
        <v>1071</v>
      </c>
      <c r="I430">
        <f t="shared" si="24"/>
        <v>21.75</v>
      </c>
      <c r="J430">
        <f t="shared" si="25"/>
        <v>9.8656340475000004</v>
      </c>
      <c r="K430">
        <v>0.87</v>
      </c>
      <c r="L430">
        <f t="shared" si="26"/>
        <v>8.5831016213249995</v>
      </c>
    </row>
    <row r="431" spans="1:12" x14ac:dyDescent="0.2">
      <c r="A431" s="4">
        <v>43439</v>
      </c>
      <c r="B431" t="s">
        <v>538</v>
      </c>
      <c r="C431">
        <v>3</v>
      </c>
      <c r="D431">
        <v>6</v>
      </c>
      <c r="E431">
        <f>20/16</f>
        <v>1.25</v>
      </c>
      <c r="F431" t="s">
        <v>598</v>
      </c>
      <c r="G431" t="s">
        <v>869</v>
      </c>
      <c r="H431" s="9" t="s">
        <v>1071</v>
      </c>
      <c r="I431">
        <f t="shared" si="24"/>
        <v>22.5</v>
      </c>
      <c r="J431">
        <f t="shared" si="25"/>
        <v>10.205828325000001</v>
      </c>
      <c r="K431">
        <v>0.87</v>
      </c>
      <c r="L431">
        <f t="shared" si="26"/>
        <v>8.8790706427500012</v>
      </c>
    </row>
    <row r="432" spans="1:12" x14ac:dyDescent="0.2">
      <c r="A432" s="4">
        <v>43434</v>
      </c>
      <c r="B432" t="s">
        <v>538</v>
      </c>
      <c r="C432">
        <v>2</v>
      </c>
      <c r="D432">
        <v>6</v>
      </c>
      <c r="E432">
        <f>18/16</f>
        <v>1.125</v>
      </c>
      <c r="F432" t="s">
        <v>552</v>
      </c>
      <c r="G432" t="s">
        <v>907</v>
      </c>
      <c r="H432" s="9" t="s">
        <v>1071</v>
      </c>
      <c r="I432">
        <f t="shared" si="24"/>
        <v>13.5</v>
      </c>
      <c r="J432">
        <f t="shared" si="25"/>
        <v>6.1234969950000009</v>
      </c>
      <c r="K432">
        <v>0.87</v>
      </c>
      <c r="L432">
        <f t="shared" si="26"/>
        <v>5.3274423856500004</v>
      </c>
    </row>
    <row r="433" spans="1:12" x14ac:dyDescent="0.2">
      <c r="A433" s="4">
        <v>43434</v>
      </c>
      <c r="B433" t="s">
        <v>538</v>
      </c>
      <c r="C433">
        <v>1</v>
      </c>
      <c r="D433">
        <v>6</v>
      </c>
      <c r="E433">
        <v>1</v>
      </c>
      <c r="F433" t="s">
        <v>553</v>
      </c>
      <c r="G433" t="s">
        <v>907</v>
      </c>
      <c r="H433" s="9" t="s">
        <v>1071</v>
      </c>
      <c r="I433">
        <f t="shared" si="24"/>
        <v>6</v>
      </c>
      <c r="J433">
        <f t="shared" si="25"/>
        <v>2.7215542200000002</v>
      </c>
      <c r="K433">
        <v>0.87</v>
      </c>
      <c r="L433">
        <f t="shared" si="26"/>
        <v>2.3677521714000003</v>
      </c>
    </row>
    <row r="434" spans="1:12" x14ac:dyDescent="0.2">
      <c r="A434" s="4">
        <v>43434</v>
      </c>
      <c r="B434" t="s">
        <v>538</v>
      </c>
      <c r="C434">
        <v>1</v>
      </c>
      <c r="D434">
        <v>3</v>
      </c>
      <c r="E434">
        <v>7.25</v>
      </c>
      <c r="F434" t="s">
        <v>554</v>
      </c>
      <c r="G434" t="s">
        <v>907</v>
      </c>
      <c r="H434" s="9" t="s">
        <v>1071</v>
      </c>
      <c r="I434">
        <f t="shared" si="24"/>
        <v>21.75</v>
      </c>
      <c r="J434">
        <f t="shared" si="25"/>
        <v>9.8656340475000004</v>
      </c>
      <c r="K434">
        <v>0.87</v>
      </c>
      <c r="L434">
        <f t="shared" si="26"/>
        <v>8.5831016213249995</v>
      </c>
    </row>
    <row r="435" spans="1:12" x14ac:dyDescent="0.2">
      <c r="A435" s="4">
        <v>43434</v>
      </c>
      <c r="B435" t="s">
        <v>538</v>
      </c>
      <c r="C435">
        <v>1</v>
      </c>
      <c r="D435">
        <v>12</v>
      </c>
      <c r="E435">
        <v>3</v>
      </c>
      <c r="F435" t="s">
        <v>451</v>
      </c>
      <c r="G435" t="s">
        <v>907</v>
      </c>
      <c r="H435" s="9" t="s">
        <v>1071</v>
      </c>
      <c r="I435">
        <f t="shared" si="24"/>
        <v>36</v>
      </c>
      <c r="J435">
        <f t="shared" si="25"/>
        <v>16.329325319999999</v>
      </c>
      <c r="K435">
        <v>0.87</v>
      </c>
      <c r="L435">
        <f t="shared" si="26"/>
        <v>14.206513028399998</v>
      </c>
    </row>
    <row r="436" spans="1:12" x14ac:dyDescent="0.2">
      <c r="A436" s="4">
        <v>43434</v>
      </c>
      <c r="B436" t="s">
        <v>538</v>
      </c>
      <c r="C436">
        <v>2</v>
      </c>
      <c r="D436">
        <v>6</v>
      </c>
      <c r="E436">
        <f>24/16</f>
        <v>1.5</v>
      </c>
      <c r="F436" t="s">
        <v>562</v>
      </c>
      <c r="G436" t="s">
        <v>907</v>
      </c>
      <c r="H436" s="9" t="s">
        <v>1071</v>
      </c>
      <c r="I436">
        <f t="shared" si="24"/>
        <v>18</v>
      </c>
      <c r="J436">
        <f t="shared" si="25"/>
        <v>8.1646626599999994</v>
      </c>
      <c r="K436">
        <v>0.87</v>
      </c>
      <c r="L436">
        <f t="shared" si="26"/>
        <v>7.103256514199999</v>
      </c>
    </row>
    <row r="437" spans="1:12" x14ac:dyDescent="0.2">
      <c r="A437" s="4">
        <v>43434</v>
      </c>
      <c r="B437" t="s">
        <v>538</v>
      </c>
      <c r="C437">
        <v>1</v>
      </c>
      <c r="D437">
        <v>6</v>
      </c>
      <c r="E437">
        <f>6.25/16</f>
        <v>0.390625</v>
      </c>
      <c r="F437" t="s">
        <v>567</v>
      </c>
      <c r="G437" t="s">
        <v>907</v>
      </c>
      <c r="H437" s="9" t="s">
        <v>1071</v>
      </c>
      <c r="I437">
        <f t="shared" si="24"/>
        <v>2.34375</v>
      </c>
      <c r="J437">
        <f t="shared" si="25"/>
        <v>1.0631071171875002</v>
      </c>
      <c r="K437">
        <v>0.87</v>
      </c>
      <c r="L437">
        <f t="shared" si="26"/>
        <v>0.92490319195312509</v>
      </c>
    </row>
    <row r="438" spans="1:12" x14ac:dyDescent="0.2">
      <c r="A438" s="4">
        <v>43437</v>
      </c>
      <c r="B438" t="s">
        <v>538</v>
      </c>
      <c r="C438">
        <v>2</v>
      </c>
      <c r="D438">
        <v>6</v>
      </c>
      <c r="E438">
        <f>18/16</f>
        <v>1.125</v>
      </c>
      <c r="F438" t="s">
        <v>583</v>
      </c>
      <c r="G438" t="s">
        <v>907</v>
      </c>
      <c r="H438" s="9" t="s">
        <v>1071</v>
      </c>
      <c r="I438">
        <f t="shared" ref="I438:I501" si="27">C438*D438*E438</f>
        <v>13.5</v>
      </c>
      <c r="J438">
        <f t="shared" si="25"/>
        <v>6.1234969950000009</v>
      </c>
      <c r="K438">
        <v>0.87</v>
      </c>
      <c r="L438">
        <f t="shared" si="26"/>
        <v>5.3274423856500004</v>
      </c>
    </row>
    <row r="439" spans="1:12" x14ac:dyDescent="0.2">
      <c r="A439" s="4">
        <v>43437</v>
      </c>
      <c r="B439" t="s">
        <v>538</v>
      </c>
      <c r="C439">
        <v>1</v>
      </c>
      <c r="D439">
        <v>12</v>
      </c>
      <c r="E439">
        <v>3</v>
      </c>
      <c r="F439" t="s">
        <v>451</v>
      </c>
      <c r="G439" t="s">
        <v>907</v>
      </c>
      <c r="H439" s="9" t="s">
        <v>1071</v>
      </c>
      <c r="I439">
        <f t="shared" si="27"/>
        <v>36</v>
      </c>
      <c r="J439">
        <f t="shared" si="25"/>
        <v>16.329325319999999</v>
      </c>
      <c r="K439">
        <v>0.87</v>
      </c>
      <c r="L439">
        <f t="shared" si="26"/>
        <v>14.206513028399998</v>
      </c>
    </row>
    <row r="440" spans="1:12" x14ac:dyDescent="0.2">
      <c r="A440" s="4">
        <v>43439</v>
      </c>
      <c r="B440" t="s">
        <v>538</v>
      </c>
      <c r="C440">
        <v>2</v>
      </c>
      <c r="D440">
        <v>12</v>
      </c>
      <c r="E440">
        <v>3</v>
      </c>
      <c r="F440" t="s">
        <v>451</v>
      </c>
      <c r="G440" t="s">
        <v>907</v>
      </c>
      <c r="H440" s="9" t="s">
        <v>1071</v>
      </c>
      <c r="I440">
        <f t="shared" si="27"/>
        <v>72</v>
      </c>
      <c r="J440">
        <f t="shared" si="25"/>
        <v>32.658650639999998</v>
      </c>
      <c r="K440">
        <v>0.87</v>
      </c>
      <c r="L440">
        <f t="shared" si="26"/>
        <v>28.413026056799996</v>
      </c>
    </row>
    <row r="441" spans="1:12" x14ac:dyDescent="0.2">
      <c r="A441" s="4">
        <v>43343</v>
      </c>
      <c r="B441" s="6" t="s">
        <v>1074</v>
      </c>
      <c r="C441">
        <v>1</v>
      </c>
      <c r="D441" s="8">
        <v>1</v>
      </c>
      <c r="E441">
        <f>4*6</f>
        <v>24</v>
      </c>
      <c r="F441" t="s">
        <v>73</v>
      </c>
      <c r="G441" t="s">
        <v>763</v>
      </c>
      <c r="H441" s="8" t="s">
        <v>1071</v>
      </c>
      <c r="I441">
        <f t="shared" si="27"/>
        <v>24</v>
      </c>
      <c r="J441" s="8">
        <f t="shared" si="25"/>
        <v>10.886216880000001</v>
      </c>
      <c r="K441">
        <v>0.307</v>
      </c>
      <c r="L441">
        <f t="shared" si="26"/>
        <v>3.3420685821600005</v>
      </c>
    </row>
    <row r="442" spans="1:12" x14ac:dyDescent="0.2">
      <c r="A442" s="4">
        <v>43344</v>
      </c>
      <c r="B442" s="6" t="s">
        <v>1074</v>
      </c>
      <c r="C442">
        <v>5</v>
      </c>
      <c r="D442" s="8">
        <v>1</v>
      </c>
      <c r="E442">
        <f t="shared" ref="E442:E447" si="28">4*2.5</f>
        <v>10</v>
      </c>
      <c r="F442" t="s">
        <v>111</v>
      </c>
      <c r="G442" t="s">
        <v>763</v>
      </c>
      <c r="H442" s="8" t="s">
        <v>1071</v>
      </c>
      <c r="I442">
        <f t="shared" si="27"/>
        <v>50</v>
      </c>
      <c r="J442" s="8">
        <f t="shared" si="25"/>
        <v>22.6796185</v>
      </c>
      <c r="K442">
        <v>0.307</v>
      </c>
      <c r="L442">
        <f t="shared" si="26"/>
        <v>6.9626428794999997</v>
      </c>
    </row>
    <row r="443" spans="1:12" x14ac:dyDescent="0.2">
      <c r="A443" s="4">
        <v>43346</v>
      </c>
      <c r="B443" s="6" t="s">
        <v>1074</v>
      </c>
      <c r="C443">
        <v>1</v>
      </c>
      <c r="D443" s="8">
        <v>1</v>
      </c>
      <c r="E443">
        <f t="shared" si="28"/>
        <v>10</v>
      </c>
      <c r="F443" t="s">
        <v>111</v>
      </c>
      <c r="G443" t="s">
        <v>763</v>
      </c>
      <c r="H443" s="8" t="s">
        <v>1071</v>
      </c>
      <c r="I443">
        <f t="shared" si="27"/>
        <v>10</v>
      </c>
      <c r="J443" s="8">
        <f t="shared" si="25"/>
        <v>4.5359237000000006</v>
      </c>
      <c r="K443">
        <v>0.307</v>
      </c>
      <c r="L443">
        <f t="shared" si="26"/>
        <v>1.3925285759000001</v>
      </c>
    </row>
    <row r="444" spans="1:12" x14ac:dyDescent="0.2">
      <c r="A444" s="4">
        <v>43347</v>
      </c>
      <c r="B444" s="6" t="s">
        <v>1074</v>
      </c>
      <c r="C444">
        <v>3</v>
      </c>
      <c r="D444" s="8">
        <v>1</v>
      </c>
      <c r="E444">
        <f t="shared" si="28"/>
        <v>10</v>
      </c>
      <c r="F444" t="s">
        <v>111</v>
      </c>
      <c r="G444" t="s">
        <v>763</v>
      </c>
      <c r="H444" s="8" t="s">
        <v>1071</v>
      </c>
      <c r="I444">
        <f t="shared" si="27"/>
        <v>30</v>
      </c>
      <c r="J444" s="8">
        <f t="shared" si="25"/>
        <v>13.607771100000001</v>
      </c>
      <c r="K444">
        <v>0.307</v>
      </c>
      <c r="L444">
        <f t="shared" si="26"/>
        <v>4.1775857277000004</v>
      </c>
    </row>
    <row r="445" spans="1:12" x14ac:dyDescent="0.2">
      <c r="A445" s="4">
        <v>43347</v>
      </c>
      <c r="B445" s="6" t="s">
        <v>1074</v>
      </c>
      <c r="C445">
        <v>3</v>
      </c>
      <c r="D445" s="8">
        <v>1</v>
      </c>
      <c r="E445">
        <f t="shared" si="28"/>
        <v>10</v>
      </c>
      <c r="F445" t="s">
        <v>111</v>
      </c>
      <c r="G445" t="s">
        <v>763</v>
      </c>
      <c r="H445" s="8" t="s">
        <v>1071</v>
      </c>
      <c r="I445">
        <f t="shared" si="27"/>
        <v>30</v>
      </c>
      <c r="J445" s="8">
        <f t="shared" si="25"/>
        <v>13.607771100000001</v>
      </c>
      <c r="K445">
        <v>0.307</v>
      </c>
      <c r="L445">
        <f t="shared" si="26"/>
        <v>4.1775857277000004</v>
      </c>
    </row>
    <row r="446" spans="1:12" x14ac:dyDescent="0.2">
      <c r="A446" s="4">
        <v>43348</v>
      </c>
      <c r="B446" s="6" t="s">
        <v>1074</v>
      </c>
      <c r="C446">
        <v>1</v>
      </c>
      <c r="D446" s="8">
        <v>1</v>
      </c>
      <c r="E446">
        <f t="shared" si="28"/>
        <v>10</v>
      </c>
      <c r="F446" t="s">
        <v>73</v>
      </c>
      <c r="G446" t="s">
        <v>763</v>
      </c>
      <c r="H446" s="8" t="s">
        <v>1071</v>
      </c>
      <c r="I446">
        <f t="shared" si="27"/>
        <v>10</v>
      </c>
      <c r="J446" s="8">
        <f t="shared" si="25"/>
        <v>4.5359237000000006</v>
      </c>
      <c r="K446">
        <v>0.307</v>
      </c>
      <c r="L446">
        <f t="shared" si="26"/>
        <v>1.3925285759000001</v>
      </c>
    </row>
    <row r="447" spans="1:12" x14ac:dyDescent="0.2">
      <c r="A447" s="4">
        <v>43349</v>
      </c>
      <c r="B447" s="6" t="s">
        <v>1074</v>
      </c>
      <c r="C447">
        <v>4</v>
      </c>
      <c r="D447" s="8">
        <v>1</v>
      </c>
      <c r="E447">
        <f t="shared" si="28"/>
        <v>10</v>
      </c>
      <c r="F447" t="s">
        <v>73</v>
      </c>
      <c r="G447" t="s">
        <v>763</v>
      </c>
      <c r="H447" s="8" t="s">
        <v>1071</v>
      </c>
      <c r="I447">
        <f t="shared" si="27"/>
        <v>40</v>
      </c>
      <c r="J447" s="8">
        <f t="shared" si="25"/>
        <v>18.143694800000002</v>
      </c>
      <c r="K447">
        <v>0.307</v>
      </c>
      <c r="L447">
        <f t="shared" si="26"/>
        <v>5.5701143036000005</v>
      </c>
    </row>
    <row r="448" spans="1:12" x14ac:dyDescent="0.2">
      <c r="A448" s="4">
        <v>43343</v>
      </c>
      <c r="B448" s="6" t="s">
        <v>1074</v>
      </c>
      <c r="C448">
        <v>1</v>
      </c>
      <c r="D448" s="8">
        <v>1</v>
      </c>
      <c r="E448" s="6">
        <v>80</v>
      </c>
      <c r="F448" t="s">
        <v>99</v>
      </c>
      <c r="G448" t="s">
        <v>765</v>
      </c>
      <c r="H448" s="8" t="s">
        <v>1071</v>
      </c>
      <c r="I448">
        <f t="shared" si="27"/>
        <v>80</v>
      </c>
      <c r="J448" s="8">
        <f t="shared" si="25"/>
        <v>36.287389600000004</v>
      </c>
      <c r="K448">
        <v>1.2290000000000001</v>
      </c>
      <c r="L448">
        <f t="shared" si="26"/>
        <v>44.597201818400009</v>
      </c>
    </row>
    <row r="449" spans="1:12" x14ac:dyDescent="0.2">
      <c r="A449" s="4">
        <v>43343</v>
      </c>
      <c r="B449" s="6" t="s">
        <v>1074</v>
      </c>
      <c r="C449">
        <v>1</v>
      </c>
      <c r="D449" s="8">
        <v>1</v>
      </c>
      <c r="E449" s="6">
        <v>80</v>
      </c>
      <c r="F449" t="s">
        <v>100</v>
      </c>
      <c r="G449" t="s">
        <v>765</v>
      </c>
      <c r="H449" s="8" t="s">
        <v>1071</v>
      </c>
      <c r="I449">
        <f t="shared" si="27"/>
        <v>80</v>
      </c>
      <c r="J449" s="8">
        <f t="shared" si="25"/>
        <v>36.287389600000004</v>
      </c>
      <c r="K449">
        <v>1.2290000000000001</v>
      </c>
      <c r="L449">
        <f t="shared" si="26"/>
        <v>44.597201818400009</v>
      </c>
    </row>
    <row r="450" spans="1:12" x14ac:dyDescent="0.2">
      <c r="A450" s="4">
        <v>43346</v>
      </c>
      <c r="B450" s="6" t="s">
        <v>1074</v>
      </c>
      <c r="C450">
        <v>2</v>
      </c>
      <c r="D450" s="8">
        <v>1</v>
      </c>
      <c r="E450">
        <v>20</v>
      </c>
      <c r="F450" s="6" t="s">
        <v>136</v>
      </c>
      <c r="G450" s="6" t="s">
        <v>765</v>
      </c>
      <c r="H450" s="8" t="s">
        <v>1071</v>
      </c>
      <c r="I450">
        <f t="shared" si="27"/>
        <v>40</v>
      </c>
      <c r="J450" s="8">
        <f t="shared" si="25"/>
        <v>18.143694800000002</v>
      </c>
      <c r="K450">
        <v>1.2290000000000001</v>
      </c>
      <c r="L450">
        <f t="shared" si="26"/>
        <v>22.298600909200005</v>
      </c>
    </row>
    <row r="451" spans="1:12" x14ac:dyDescent="0.2">
      <c r="A451" s="4">
        <v>43346</v>
      </c>
      <c r="B451" s="6" t="s">
        <v>1074</v>
      </c>
      <c r="C451">
        <v>2</v>
      </c>
      <c r="D451" s="8">
        <v>1</v>
      </c>
      <c r="E451">
        <v>20</v>
      </c>
      <c r="F451" s="6" t="s">
        <v>143</v>
      </c>
      <c r="G451" s="6" t="s">
        <v>765</v>
      </c>
      <c r="H451" s="8" t="s">
        <v>1071</v>
      </c>
      <c r="I451">
        <f t="shared" si="27"/>
        <v>40</v>
      </c>
      <c r="J451" s="8">
        <f t="shared" ref="J451:J514" si="29">CONVERT(I451,"lbm","kg")</f>
        <v>18.143694800000002</v>
      </c>
      <c r="K451">
        <v>1.2290000000000001</v>
      </c>
      <c r="L451">
        <f t="shared" ref="L451:L514" si="30">J451*K451</f>
        <v>22.298600909200005</v>
      </c>
    </row>
    <row r="452" spans="1:12" x14ac:dyDescent="0.2">
      <c r="A452" s="4">
        <v>43347</v>
      </c>
      <c r="B452" s="6" t="s">
        <v>1074</v>
      </c>
      <c r="C452">
        <v>2</v>
      </c>
      <c r="D452" s="8">
        <v>1</v>
      </c>
      <c r="E452">
        <f>3/4*44</f>
        <v>33</v>
      </c>
      <c r="F452" t="s">
        <v>161</v>
      </c>
      <c r="G452" s="15" t="s">
        <v>765</v>
      </c>
      <c r="H452" s="8" t="s">
        <v>1071</v>
      </c>
      <c r="I452">
        <f t="shared" si="27"/>
        <v>66</v>
      </c>
      <c r="J452" s="8">
        <f t="shared" si="29"/>
        <v>29.937096420000003</v>
      </c>
      <c r="K452">
        <v>1.2290000000000001</v>
      </c>
      <c r="L452">
        <f t="shared" si="30"/>
        <v>36.792691500180005</v>
      </c>
    </row>
    <row r="453" spans="1:12" x14ac:dyDescent="0.2">
      <c r="A453" s="4">
        <v>43347</v>
      </c>
      <c r="B453" s="6" t="s">
        <v>1074</v>
      </c>
      <c r="C453">
        <v>2</v>
      </c>
      <c r="D453" s="8">
        <v>1</v>
      </c>
      <c r="E453">
        <f>1/2*44</f>
        <v>22</v>
      </c>
      <c r="F453" t="s">
        <v>162</v>
      </c>
      <c r="G453" s="15" t="s">
        <v>765</v>
      </c>
      <c r="H453" s="8" t="s">
        <v>1071</v>
      </c>
      <c r="I453">
        <f t="shared" si="27"/>
        <v>44</v>
      </c>
      <c r="J453" s="8">
        <f t="shared" si="29"/>
        <v>19.958064280000002</v>
      </c>
      <c r="K453">
        <v>1.2290000000000001</v>
      </c>
      <c r="L453">
        <f t="shared" si="30"/>
        <v>24.528461000120004</v>
      </c>
    </row>
    <row r="454" spans="1:12" x14ac:dyDescent="0.2">
      <c r="A454" s="4">
        <v>43347</v>
      </c>
      <c r="B454" s="6" t="s">
        <v>1074</v>
      </c>
      <c r="C454">
        <v>3</v>
      </c>
      <c r="D454" s="8">
        <v>1</v>
      </c>
      <c r="E454">
        <f>3/4*44</f>
        <v>33</v>
      </c>
      <c r="F454" t="s">
        <v>161</v>
      </c>
      <c r="G454" s="15" t="s">
        <v>765</v>
      </c>
      <c r="H454" s="8" t="s">
        <v>1071</v>
      </c>
      <c r="I454">
        <f t="shared" si="27"/>
        <v>99</v>
      </c>
      <c r="J454" s="8">
        <f t="shared" si="29"/>
        <v>44.905644630000005</v>
      </c>
      <c r="K454">
        <v>1.2290000000000001</v>
      </c>
      <c r="L454">
        <f t="shared" si="30"/>
        <v>55.189037250270012</v>
      </c>
    </row>
    <row r="455" spans="1:12" x14ac:dyDescent="0.2">
      <c r="A455" s="4">
        <v>43347</v>
      </c>
      <c r="B455" s="6" t="s">
        <v>1074</v>
      </c>
      <c r="C455">
        <v>3</v>
      </c>
      <c r="D455" s="8">
        <v>1</v>
      </c>
      <c r="E455">
        <f>1/2*44</f>
        <v>22</v>
      </c>
      <c r="F455" t="s">
        <v>162</v>
      </c>
      <c r="G455" s="15" t="s">
        <v>765</v>
      </c>
      <c r="H455" s="8" t="s">
        <v>1071</v>
      </c>
      <c r="I455">
        <f t="shared" si="27"/>
        <v>66</v>
      </c>
      <c r="J455" s="8">
        <f t="shared" si="29"/>
        <v>29.937096420000003</v>
      </c>
      <c r="K455">
        <v>1.2290000000000001</v>
      </c>
      <c r="L455">
        <f t="shared" si="30"/>
        <v>36.792691500180005</v>
      </c>
    </row>
    <row r="456" spans="1:12" x14ac:dyDescent="0.2">
      <c r="A456" s="4">
        <v>43348</v>
      </c>
      <c r="B456" s="6" t="s">
        <v>1074</v>
      </c>
      <c r="C456">
        <v>1</v>
      </c>
      <c r="D456" s="8">
        <v>1</v>
      </c>
      <c r="E456">
        <v>20</v>
      </c>
      <c r="F456" t="s">
        <v>99</v>
      </c>
      <c r="G456" t="s">
        <v>765</v>
      </c>
      <c r="H456" s="8" t="s">
        <v>1071</v>
      </c>
      <c r="I456">
        <f t="shared" si="27"/>
        <v>20</v>
      </c>
      <c r="J456" s="8">
        <f t="shared" si="29"/>
        <v>9.0718474000000011</v>
      </c>
      <c r="K456">
        <v>1.2290000000000001</v>
      </c>
      <c r="L456">
        <f t="shared" si="30"/>
        <v>11.149300454600002</v>
      </c>
    </row>
    <row r="457" spans="1:12" x14ac:dyDescent="0.2">
      <c r="A457" s="4">
        <v>43349</v>
      </c>
      <c r="B457" s="6" t="s">
        <v>1074</v>
      </c>
      <c r="C457">
        <v>5</v>
      </c>
      <c r="D457" s="8">
        <v>1</v>
      </c>
      <c r="E457">
        <v>20</v>
      </c>
      <c r="F457" t="s">
        <v>99</v>
      </c>
      <c r="G457" t="s">
        <v>765</v>
      </c>
      <c r="H457" s="8" t="s">
        <v>1071</v>
      </c>
      <c r="I457">
        <f t="shared" si="27"/>
        <v>100</v>
      </c>
      <c r="J457" s="8">
        <f t="shared" si="29"/>
        <v>45.359237</v>
      </c>
      <c r="K457">
        <v>1.2290000000000001</v>
      </c>
      <c r="L457">
        <f t="shared" si="30"/>
        <v>55.746502273000004</v>
      </c>
    </row>
    <row r="458" spans="1:12" x14ac:dyDescent="0.2">
      <c r="A458" s="4">
        <v>43349</v>
      </c>
      <c r="B458" s="6" t="s">
        <v>1074</v>
      </c>
      <c r="C458">
        <v>4</v>
      </c>
      <c r="D458" s="8">
        <v>1</v>
      </c>
      <c r="E458">
        <v>20</v>
      </c>
      <c r="F458" t="s">
        <v>100</v>
      </c>
      <c r="G458" t="s">
        <v>765</v>
      </c>
      <c r="H458" s="8" t="s">
        <v>1071</v>
      </c>
      <c r="I458">
        <f t="shared" si="27"/>
        <v>80</v>
      </c>
      <c r="J458" s="8">
        <f t="shared" si="29"/>
        <v>36.287389600000004</v>
      </c>
      <c r="K458">
        <v>1.2290000000000001</v>
      </c>
      <c r="L458">
        <f t="shared" si="30"/>
        <v>44.597201818400009</v>
      </c>
    </row>
    <row r="459" spans="1:12" x14ac:dyDescent="0.2">
      <c r="A459" s="4">
        <v>43343</v>
      </c>
      <c r="B459" s="6" t="s">
        <v>1074</v>
      </c>
      <c r="C459">
        <v>1</v>
      </c>
      <c r="D459" s="8">
        <v>1</v>
      </c>
      <c r="E459">
        <f>8*6</f>
        <v>48</v>
      </c>
      <c r="F459" t="s">
        <v>74</v>
      </c>
      <c r="G459" t="s">
        <v>248</v>
      </c>
      <c r="H459" s="8" t="s">
        <v>1071</v>
      </c>
      <c r="I459">
        <f t="shared" si="27"/>
        <v>48</v>
      </c>
      <c r="J459" s="8">
        <f t="shared" si="29"/>
        <v>21.772433760000002</v>
      </c>
      <c r="K459">
        <v>0.61399999999999999</v>
      </c>
      <c r="L459">
        <f t="shared" si="30"/>
        <v>13.368274328640002</v>
      </c>
    </row>
    <row r="460" spans="1:12" x14ac:dyDescent="0.2">
      <c r="A460" s="4">
        <v>43344</v>
      </c>
      <c r="B460" s="6" t="s">
        <v>1074</v>
      </c>
      <c r="C460">
        <v>5</v>
      </c>
      <c r="D460" s="8">
        <v>1</v>
      </c>
      <c r="E460">
        <v>8</v>
      </c>
      <c r="F460" t="s">
        <v>112</v>
      </c>
      <c r="G460" t="s">
        <v>248</v>
      </c>
      <c r="H460" s="8" t="s">
        <v>1071</v>
      </c>
      <c r="I460">
        <f t="shared" si="27"/>
        <v>40</v>
      </c>
      <c r="J460" s="8">
        <f t="shared" si="29"/>
        <v>18.143694800000002</v>
      </c>
      <c r="K460">
        <v>0.61399999999999999</v>
      </c>
      <c r="L460">
        <f t="shared" si="30"/>
        <v>11.140228607200001</v>
      </c>
    </row>
    <row r="461" spans="1:12" x14ac:dyDescent="0.2">
      <c r="A461" s="4">
        <v>43346</v>
      </c>
      <c r="B461" s="6" t="s">
        <v>1074</v>
      </c>
      <c r="C461">
        <v>4</v>
      </c>
      <c r="D461" s="8">
        <v>1</v>
      </c>
      <c r="E461">
        <v>10</v>
      </c>
      <c r="F461" t="s">
        <v>1029</v>
      </c>
      <c r="G461" t="s">
        <v>248</v>
      </c>
      <c r="H461" s="8" t="s">
        <v>1071</v>
      </c>
      <c r="I461">
        <f t="shared" si="27"/>
        <v>40</v>
      </c>
      <c r="J461" s="8">
        <f t="shared" si="29"/>
        <v>18.143694800000002</v>
      </c>
      <c r="K461">
        <v>0.61399999999999999</v>
      </c>
      <c r="L461">
        <f t="shared" si="30"/>
        <v>11.140228607200001</v>
      </c>
    </row>
    <row r="462" spans="1:12" x14ac:dyDescent="0.2">
      <c r="A462" s="4">
        <v>43346</v>
      </c>
      <c r="B462" s="6" t="s">
        <v>1074</v>
      </c>
      <c r="C462">
        <v>10</v>
      </c>
      <c r="D462" s="8">
        <v>1</v>
      </c>
      <c r="E462">
        <v>8</v>
      </c>
      <c r="F462" t="s">
        <v>112</v>
      </c>
      <c r="G462" t="s">
        <v>248</v>
      </c>
      <c r="H462" s="8" t="s">
        <v>1071</v>
      </c>
      <c r="I462">
        <f t="shared" si="27"/>
        <v>80</v>
      </c>
      <c r="J462" s="8">
        <f t="shared" si="29"/>
        <v>36.287389600000004</v>
      </c>
      <c r="K462">
        <v>0.61399999999999999</v>
      </c>
      <c r="L462">
        <f t="shared" si="30"/>
        <v>22.280457214400002</v>
      </c>
    </row>
    <row r="463" spans="1:12" x14ac:dyDescent="0.2">
      <c r="A463" s="4">
        <v>43347</v>
      </c>
      <c r="B463" s="6" t="s">
        <v>1074</v>
      </c>
      <c r="C463">
        <v>10</v>
      </c>
      <c r="D463" s="8">
        <v>1</v>
      </c>
      <c r="E463">
        <v>8</v>
      </c>
      <c r="F463" t="s">
        <v>112</v>
      </c>
      <c r="G463" t="s">
        <v>248</v>
      </c>
      <c r="H463" s="8" t="s">
        <v>1071</v>
      </c>
      <c r="I463">
        <f t="shared" si="27"/>
        <v>80</v>
      </c>
      <c r="J463" s="8">
        <f t="shared" si="29"/>
        <v>36.287389600000004</v>
      </c>
      <c r="K463">
        <v>0.61399999999999999</v>
      </c>
      <c r="L463">
        <f t="shared" si="30"/>
        <v>22.280457214400002</v>
      </c>
    </row>
    <row r="464" spans="1:12" x14ac:dyDescent="0.2">
      <c r="A464" s="4">
        <v>43348</v>
      </c>
      <c r="B464" s="6" t="s">
        <v>1074</v>
      </c>
      <c r="C464">
        <v>4</v>
      </c>
      <c r="D464" s="8">
        <v>1</v>
      </c>
      <c r="E464">
        <v>8</v>
      </c>
      <c r="F464" t="s">
        <v>74</v>
      </c>
      <c r="G464" t="s">
        <v>248</v>
      </c>
      <c r="H464" s="8" t="s">
        <v>1071</v>
      </c>
      <c r="I464">
        <f t="shared" si="27"/>
        <v>32</v>
      </c>
      <c r="J464" s="8">
        <f t="shared" si="29"/>
        <v>14.514955840000001</v>
      </c>
      <c r="K464">
        <v>0.61399999999999999</v>
      </c>
      <c r="L464">
        <f t="shared" si="30"/>
        <v>8.9121828857600001</v>
      </c>
    </row>
    <row r="465" spans="1:12" x14ac:dyDescent="0.2">
      <c r="A465" s="4">
        <v>43434</v>
      </c>
      <c r="B465" t="s">
        <v>538</v>
      </c>
      <c r="C465">
        <v>1</v>
      </c>
      <c r="D465">
        <v>1</v>
      </c>
      <c r="E465">
        <v>50</v>
      </c>
      <c r="F465" t="s">
        <v>425</v>
      </c>
      <c r="G465" t="s">
        <v>860</v>
      </c>
      <c r="H465" s="9" t="s">
        <v>1071</v>
      </c>
      <c r="I465">
        <f t="shared" si="27"/>
        <v>50</v>
      </c>
      <c r="J465">
        <f t="shared" si="29"/>
        <v>22.6796185</v>
      </c>
      <c r="K465">
        <v>0.7</v>
      </c>
      <c r="L465">
        <f t="shared" si="30"/>
        <v>15.87573295</v>
      </c>
    </row>
    <row r="466" spans="1:12" x14ac:dyDescent="0.2">
      <c r="A466" s="4">
        <v>43434</v>
      </c>
      <c r="B466" t="s">
        <v>538</v>
      </c>
      <c r="C466">
        <v>2</v>
      </c>
      <c r="D466">
        <v>1</v>
      </c>
      <c r="E466">
        <v>25</v>
      </c>
      <c r="F466" t="s">
        <v>443</v>
      </c>
      <c r="G466" t="s">
        <v>860</v>
      </c>
      <c r="H466" s="9" t="s">
        <v>1071</v>
      </c>
      <c r="I466">
        <f t="shared" si="27"/>
        <v>50</v>
      </c>
      <c r="J466">
        <f t="shared" si="29"/>
        <v>22.6796185</v>
      </c>
      <c r="K466">
        <v>0.7</v>
      </c>
      <c r="L466">
        <f t="shared" si="30"/>
        <v>15.87573295</v>
      </c>
    </row>
    <row r="467" spans="1:12" x14ac:dyDescent="0.2">
      <c r="A467" s="4">
        <v>43437</v>
      </c>
      <c r="B467" t="s">
        <v>538</v>
      </c>
      <c r="C467">
        <v>1</v>
      </c>
      <c r="D467">
        <v>1</v>
      </c>
      <c r="E467">
        <v>50</v>
      </c>
      <c r="F467" t="s">
        <v>434</v>
      </c>
      <c r="G467" t="s">
        <v>860</v>
      </c>
      <c r="H467" s="9" t="s">
        <v>1071</v>
      </c>
      <c r="I467">
        <f t="shared" si="27"/>
        <v>50</v>
      </c>
      <c r="J467">
        <f t="shared" si="29"/>
        <v>22.6796185</v>
      </c>
      <c r="K467">
        <v>0.7</v>
      </c>
      <c r="L467">
        <f t="shared" si="30"/>
        <v>15.87573295</v>
      </c>
    </row>
    <row r="468" spans="1:12" x14ac:dyDescent="0.2">
      <c r="A468" s="4">
        <v>43439</v>
      </c>
      <c r="B468" t="s">
        <v>538</v>
      </c>
      <c r="C468">
        <v>1</v>
      </c>
      <c r="D468">
        <v>1</v>
      </c>
      <c r="E468">
        <v>50</v>
      </c>
      <c r="F468" t="s">
        <v>434</v>
      </c>
      <c r="G468" t="s">
        <v>860</v>
      </c>
      <c r="H468" s="9" t="s">
        <v>1071</v>
      </c>
      <c r="I468">
        <f t="shared" si="27"/>
        <v>50</v>
      </c>
      <c r="J468">
        <f t="shared" si="29"/>
        <v>22.6796185</v>
      </c>
      <c r="K468">
        <v>0.7</v>
      </c>
      <c r="L468">
        <f t="shared" si="30"/>
        <v>15.87573295</v>
      </c>
    </row>
    <row r="469" spans="1:12" x14ac:dyDescent="0.2">
      <c r="A469" s="4">
        <v>43437</v>
      </c>
      <c r="B469" t="s">
        <v>531</v>
      </c>
      <c r="C469">
        <v>4</v>
      </c>
      <c r="D469">
        <v>5</v>
      </c>
      <c r="E469">
        <v>3</v>
      </c>
      <c r="F469" t="s">
        <v>416</v>
      </c>
      <c r="G469" t="s">
        <v>915</v>
      </c>
      <c r="H469" s="9" t="s">
        <v>1071</v>
      </c>
      <c r="I469">
        <f t="shared" si="27"/>
        <v>60</v>
      </c>
      <c r="J469">
        <f t="shared" si="29"/>
        <v>27.215542200000002</v>
      </c>
      <c r="K469">
        <v>0.30199999999999999</v>
      </c>
      <c r="L469">
        <f t="shared" si="30"/>
        <v>8.2190937444000003</v>
      </c>
    </row>
    <row r="470" spans="1:12" x14ac:dyDescent="0.2">
      <c r="A470" s="4">
        <v>43347</v>
      </c>
      <c r="B470" t="s">
        <v>22</v>
      </c>
      <c r="C470">
        <v>1</v>
      </c>
      <c r="D470">
        <v>1</v>
      </c>
      <c r="E470">
        <v>120</v>
      </c>
      <c r="F470" s="9" t="s">
        <v>24</v>
      </c>
      <c r="G470" s="9" t="s">
        <v>24</v>
      </c>
      <c r="H470" s="8" t="s">
        <v>1071</v>
      </c>
      <c r="I470">
        <f t="shared" si="27"/>
        <v>120</v>
      </c>
      <c r="J470" s="8">
        <f t="shared" si="29"/>
        <v>54.431084400000003</v>
      </c>
      <c r="K470">
        <v>0.30199999999999999</v>
      </c>
      <c r="L470">
        <f t="shared" si="30"/>
        <v>16.438187488800001</v>
      </c>
    </row>
    <row r="471" spans="1:12" x14ac:dyDescent="0.2">
      <c r="A471" s="4">
        <v>43343</v>
      </c>
      <c r="B471" t="s">
        <v>22</v>
      </c>
      <c r="C471">
        <v>1</v>
      </c>
      <c r="D471">
        <v>1</v>
      </c>
      <c r="E471">
        <v>120</v>
      </c>
      <c r="F471" s="9" t="s">
        <v>24</v>
      </c>
      <c r="G471" s="9" t="s">
        <v>24</v>
      </c>
      <c r="H471" s="8" t="s">
        <v>1071</v>
      </c>
      <c r="I471">
        <f t="shared" si="27"/>
        <v>120</v>
      </c>
      <c r="J471" s="8">
        <f t="shared" si="29"/>
        <v>54.431084400000003</v>
      </c>
      <c r="K471">
        <v>0.30199999999999999</v>
      </c>
      <c r="L471">
        <f t="shared" si="30"/>
        <v>16.438187488800001</v>
      </c>
    </row>
    <row r="472" spans="1:12" x14ac:dyDescent="0.2">
      <c r="A472" s="4">
        <v>43347</v>
      </c>
      <c r="B472" t="s">
        <v>22</v>
      </c>
      <c r="C472">
        <v>1</v>
      </c>
      <c r="D472">
        <v>1</v>
      </c>
      <c r="E472">
        <v>120</v>
      </c>
      <c r="F472" s="9" t="s">
        <v>24</v>
      </c>
      <c r="G472" s="9" t="s">
        <v>24</v>
      </c>
      <c r="H472" s="8" t="s">
        <v>1071</v>
      </c>
      <c r="I472">
        <f t="shared" si="27"/>
        <v>120</v>
      </c>
      <c r="J472" s="8">
        <f t="shared" si="29"/>
        <v>54.431084400000003</v>
      </c>
      <c r="K472">
        <v>0.30199999999999999</v>
      </c>
      <c r="L472">
        <f t="shared" si="30"/>
        <v>16.438187488800001</v>
      </c>
    </row>
    <row r="473" spans="1:12" x14ac:dyDescent="0.2">
      <c r="A473" s="4">
        <v>43347</v>
      </c>
      <c r="B473" s="6" t="s">
        <v>1074</v>
      </c>
      <c r="C473">
        <v>4</v>
      </c>
      <c r="D473" s="8">
        <v>1</v>
      </c>
      <c r="E473">
        <v>40</v>
      </c>
      <c r="F473" t="s">
        <v>160</v>
      </c>
      <c r="G473" t="s">
        <v>24</v>
      </c>
      <c r="H473" s="8" t="s">
        <v>1071</v>
      </c>
      <c r="I473">
        <f t="shared" si="27"/>
        <v>160</v>
      </c>
      <c r="J473" s="8">
        <f t="shared" si="29"/>
        <v>72.574779200000009</v>
      </c>
      <c r="K473">
        <v>0.30199999999999999</v>
      </c>
      <c r="L473">
        <f t="shared" si="30"/>
        <v>21.917583318400002</v>
      </c>
    </row>
    <row r="474" spans="1:12" x14ac:dyDescent="0.2">
      <c r="A474" s="4">
        <v>43346</v>
      </c>
      <c r="B474" s="6" t="s">
        <v>1074</v>
      </c>
      <c r="C474">
        <v>4</v>
      </c>
      <c r="D474" s="8">
        <v>1</v>
      </c>
      <c r="E474">
        <v>12</v>
      </c>
      <c r="F474" t="s">
        <v>133</v>
      </c>
      <c r="G474" t="s">
        <v>777</v>
      </c>
      <c r="H474" s="8" t="s">
        <v>1071</v>
      </c>
      <c r="I474">
        <f t="shared" si="27"/>
        <v>48</v>
      </c>
      <c r="J474" s="8">
        <f t="shared" si="29"/>
        <v>21.772433760000002</v>
      </c>
      <c r="K474">
        <v>0.19600000000000001</v>
      </c>
      <c r="L474">
        <f t="shared" si="30"/>
        <v>4.2673970169600004</v>
      </c>
    </row>
    <row r="475" spans="1:12" x14ac:dyDescent="0.2">
      <c r="A475" s="4">
        <v>43437</v>
      </c>
      <c r="B475" t="s">
        <v>538</v>
      </c>
      <c r="C475">
        <v>2</v>
      </c>
      <c r="D475">
        <v>4</v>
      </c>
      <c r="E475">
        <v>11.01</v>
      </c>
      <c r="F475" t="s">
        <v>435</v>
      </c>
      <c r="G475" s="6" t="s">
        <v>864</v>
      </c>
      <c r="H475" s="9" t="s">
        <v>1071</v>
      </c>
      <c r="I475">
        <f t="shared" si="27"/>
        <v>88.08</v>
      </c>
      <c r="J475">
        <f t="shared" si="29"/>
        <v>39.952415949600002</v>
      </c>
      <c r="K475">
        <v>6.7539999999999996</v>
      </c>
      <c r="L475">
        <f t="shared" si="30"/>
        <v>269.83861732359838</v>
      </c>
    </row>
    <row r="476" spans="1:12" x14ac:dyDescent="0.2">
      <c r="A476" s="4">
        <v>43434</v>
      </c>
      <c r="B476" t="s">
        <v>538</v>
      </c>
      <c r="C476">
        <v>1</v>
      </c>
      <c r="D476">
        <v>4</v>
      </c>
      <c r="E476">
        <v>11.01</v>
      </c>
      <c r="F476" t="s">
        <v>435</v>
      </c>
      <c r="G476" t="s">
        <v>902</v>
      </c>
      <c r="H476" s="9" t="s">
        <v>1071</v>
      </c>
      <c r="I476">
        <f t="shared" si="27"/>
        <v>44.04</v>
      </c>
      <c r="J476">
        <f t="shared" si="29"/>
        <v>19.976207974800001</v>
      </c>
      <c r="K476">
        <v>6.7539999999999996</v>
      </c>
      <c r="L476">
        <f t="shared" si="30"/>
        <v>134.91930866179919</v>
      </c>
    </row>
    <row r="477" spans="1:12" x14ac:dyDescent="0.2">
      <c r="A477" s="4">
        <v>43343</v>
      </c>
      <c r="B477" s="6" t="s">
        <v>1074</v>
      </c>
      <c r="C477">
        <v>1</v>
      </c>
      <c r="D477" s="8">
        <v>1</v>
      </c>
      <c r="E477">
        <f>5*8.35*6</f>
        <v>250.5</v>
      </c>
      <c r="F477" t="s">
        <v>75</v>
      </c>
      <c r="G477" t="s">
        <v>193</v>
      </c>
      <c r="H477" s="8" t="s">
        <v>1071</v>
      </c>
      <c r="I477">
        <f t="shared" si="27"/>
        <v>250.5</v>
      </c>
      <c r="J477" s="8">
        <f t="shared" si="29"/>
        <v>113.624888685</v>
      </c>
      <c r="K477">
        <v>1.6639999999999999</v>
      </c>
      <c r="L477">
        <f t="shared" si="30"/>
        <v>189.07181477184</v>
      </c>
    </row>
    <row r="478" spans="1:12" x14ac:dyDescent="0.2">
      <c r="A478" s="4">
        <v>43346</v>
      </c>
      <c r="B478" s="6" t="s">
        <v>1074</v>
      </c>
      <c r="C478">
        <v>4</v>
      </c>
      <c r="D478" s="8">
        <v>1</v>
      </c>
      <c r="E478">
        <v>4.172698091</v>
      </c>
      <c r="F478" t="s">
        <v>151</v>
      </c>
      <c r="G478" t="s">
        <v>193</v>
      </c>
      <c r="H478" s="8" t="s">
        <v>1071</v>
      </c>
      <c r="I478">
        <f t="shared" si="27"/>
        <v>16.690792364</v>
      </c>
      <c r="J478" s="8">
        <f t="shared" si="29"/>
        <v>7.5708160655646637</v>
      </c>
      <c r="K478">
        <v>1.6639999999999999</v>
      </c>
      <c r="L478">
        <f t="shared" si="30"/>
        <v>12.5978379330996</v>
      </c>
    </row>
    <row r="479" spans="1:12" x14ac:dyDescent="0.2">
      <c r="A479" s="4">
        <v>43347</v>
      </c>
      <c r="B479" s="6" t="s">
        <v>1074</v>
      </c>
      <c r="C479">
        <v>2</v>
      </c>
      <c r="D479" s="8">
        <v>1</v>
      </c>
      <c r="E479">
        <v>4.172698091</v>
      </c>
      <c r="F479" t="s">
        <v>151</v>
      </c>
      <c r="G479" t="s">
        <v>193</v>
      </c>
      <c r="H479" s="8" t="s">
        <v>1071</v>
      </c>
      <c r="I479">
        <f t="shared" si="27"/>
        <v>8.345396182</v>
      </c>
      <c r="J479" s="8">
        <f t="shared" si="29"/>
        <v>3.7854080327823318</v>
      </c>
      <c r="K479">
        <v>1.6639999999999999</v>
      </c>
      <c r="L479">
        <f t="shared" si="30"/>
        <v>6.2989189665497998</v>
      </c>
    </row>
    <row r="480" spans="1:12" x14ac:dyDescent="0.2">
      <c r="A480" s="4">
        <v>43347</v>
      </c>
      <c r="B480" s="6" t="s">
        <v>1074</v>
      </c>
      <c r="C480">
        <v>6</v>
      </c>
      <c r="D480" s="8">
        <v>1</v>
      </c>
      <c r="E480">
        <v>4.172698091</v>
      </c>
      <c r="F480" t="s">
        <v>151</v>
      </c>
      <c r="G480" t="s">
        <v>193</v>
      </c>
      <c r="H480" s="8" t="s">
        <v>1071</v>
      </c>
      <c r="I480">
        <f t="shared" si="27"/>
        <v>25.036188545999998</v>
      </c>
      <c r="J480" s="8">
        <f t="shared" si="29"/>
        <v>11.356224098346994</v>
      </c>
      <c r="K480">
        <v>1.6639999999999999</v>
      </c>
      <c r="L480">
        <f t="shared" si="30"/>
        <v>18.896756899649397</v>
      </c>
    </row>
    <row r="481" spans="1:12" x14ac:dyDescent="0.2">
      <c r="A481" s="4">
        <v>43344</v>
      </c>
      <c r="B481" s="6" t="s">
        <v>1074</v>
      </c>
      <c r="C481">
        <v>4</v>
      </c>
      <c r="D481" s="8">
        <v>1</v>
      </c>
      <c r="E481">
        <v>10</v>
      </c>
      <c r="F481" t="s">
        <v>1028</v>
      </c>
      <c r="G481" t="s">
        <v>194</v>
      </c>
      <c r="H481" s="8" t="s">
        <v>1071</v>
      </c>
      <c r="I481">
        <f t="shared" si="27"/>
        <v>40</v>
      </c>
      <c r="J481" s="8">
        <f t="shared" si="29"/>
        <v>18.143694800000002</v>
      </c>
      <c r="K481">
        <v>0.47</v>
      </c>
      <c r="L481">
        <f t="shared" si="30"/>
        <v>8.5275365560000012</v>
      </c>
    </row>
    <row r="482" spans="1:12" x14ac:dyDescent="0.2">
      <c r="A482" s="4">
        <v>43343</v>
      </c>
      <c r="B482" s="6" t="s">
        <v>1074</v>
      </c>
      <c r="C482">
        <v>1</v>
      </c>
      <c r="D482" s="8">
        <v>1</v>
      </c>
      <c r="E482">
        <f>5*4</f>
        <v>20</v>
      </c>
      <c r="F482" t="s">
        <v>70</v>
      </c>
      <c r="G482" t="s">
        <v>194</v>
      </c>
      <c r="H482" s="8" t="s">
        <v>1071</v>
      </c>
      <c r="I482">
        <f t="shared" si="27"/>
        <v>20</v>
      </c>
      <c r="J482" s="8">
        <f t="shared" si="29"/>
        <v>9.0718474000000011</v>
      </c>
      <c r="K482">
        <v>0.47</v>
      </c>
      <c r="L482">
        <f t="shared" si="30"/>
        <v>4.2637682780000006</v>
      </c>
    </row>
    <row r="483" spans="1:12" x14ac:dyDescent="0.2">
      <c r="A483" s="4">
        <v>43343</v>
      </c>
      <c r="B483" s="6" t="s">
        <v>1074</v>
      </c>
      <c r="C483">
        <v>1</v>
      </c>
      <c r="D483" s="8">
        <v>1</v>
      </c>
      <c r="E483">
        <f>23*2</f>
        <v>46</v>
      </c>
      <c r="F483" t="s">
        <v>76</v>
      </c>
      <c r="G483" t="s">
        <v>194</v>
      </c>
      <c r="H483" s="8" t="s">
        <v>1071</v>
      </c>
      <c r="I483">
        <f t="shared" si="27"/>
        <v>46</v>
      </c>
      <c r="J483" s="8">
        <f t="shared" si="29"/>
        <v>20.86524902</v>
      </c>
      <c r="K483">
        <v>0.47</v>
      </c>
      <c r="L483">
        <f t="shared" si="30"/>
        <v>9.8066670393999988</v>
      </c>
    </row>
    <row r="484" spans="1:12" x14ac:dyDescent="0.2">
      <c r="A484" s="4">
        <v>43343</v>
      </c>
      <c r="B484" s="6" t="s">
        <v>1074</v>
      </c>
      <c r="C484">
        <v>1</v>
      </c>
      <c r="D484" s="8">
        <v>1</v>
      </c>
      <c r="E484">
        <f>12*6</f>
        <v>72</v>
      </c>
      <c r="F484" t="s">
        <v>77</v>
      </c>
      <c r="G484" t="s">
        <v>194</v>
      </c>
      <c r="H484" s="8" t="s">
        <v>1071</v>
      </c>
      <c r="I484">
        <f t="shared" si="27"/>
        <v>72</v>
      </c>
      <c r="J484" s="8">
        <f t="shared" si="29"/>
        <v>32.658650639999998</v>
      </c>
      <c r="K484">
        <v>0.47</v>
      </c>
      <c r="L484">
        <f t="shared" si="30"/>
        <v>15.349565800799999</v>
      </c>
    </row>
    <row r="485" spans="1:12" x14ac:dyDescent="0.2">
      <c r="A485" s="4">
        <v>43344</v>
      </c>
      <c r="B485" s="6" t="s">
        <v>1074</v>
      </c>
      <c r="C485">
        <v>10</v>
      </c>
      <c r="D485" s="8">
        <v>1</v>
      </c>
      <c r="E485">
        <v>10</v>
      </c>
      <c r="F485" t="s">
        <v>114</v>
      </c>
      <c r="G485" t="s">
        <v>194</v>
      </c>
      <c r="H485" s="8" t="s">
        <v>1071</v>
      </c>
      <c r="I485">
        <f t="shared" si="27"/>
        <v>100</v>
      </c>
      <c r="J485" s="8">
        <f t="shared" si="29"/>
        <v>45.359237</v>
      </c>
      <c r="K485">
        <v>0.47</v>
      </c>
      <c r="L485">
        <f t="shared" si="30"/>
        <v>21.318841389999999</v>
      </c>
    </row>
    <row r="486" spans="1:12" x14ac:dyDescent="0.2">
      <c r="A486" s="4">
        <v>43346</v>
      </c>
      <c r="B486" s="6" t="s">
        <v>1074</v>
      </c>
      <c r="C486">
        <v>1</v>
      </c>
      <c r="D486" s="8">
        <v>1</v>
      </c>
      <c r="E486">
        <v>23</v>
      </c>
      <c r="F486" t="s">
        <v>152</v>
      </c>
      <c r="G486" t="s">
        <v>194</v>
      </c>
      <c r="H486" s="8" t="s">
        <v>1071</v>
      </c>
      <c r="I486">
        <f t="shared" si="27"/>
        <v>23</v>
      </c>
      <c r="J486" s="8">
        <f t="shared" si="29"/>
        <v>10.43262451</v>
      </c>
      <c r="K486">
        <v>0.47</v>
      </c>
      <c r="L486">
        <f t="shared" si="30"/>
        <v>4.9033335196999994</v>
      </c>
    </row>
    <row r="487" spans="1:12" x14ac:dyDescent="0.2">
      <c r="A487" s="4">
        <v>43346</v>
      </c>
      <c r="B487" s="6" t="s">
        <v>1074</v>
      </c>
      <c r="C487">
        <v>6</v>
      </c>
      <c r="D487" s="8">
        <v>1</v>
      </c>
      <c r="E487">
        <v>10</v>
      </c>
      <c r="F487" t="s">
        <v>153</v>
      </c>
      <c r="G487" t="s">
        <v>194</v>
      </c>
      <c r="H487" s="8" t="s">
        <v>1071</v>
      </c>
      <c r="I487">
        <f t="shared" si="27"/>
        <v>60</v>
      </c>
      <c r="J487" s="8">
        <f t="shared" si="29"/>
        <v>27.215542200000002</v>
      </c>
      <c r="K487">
        <v>0.47</v>
      </c>
      <c r="L487">
        <f t="shared" si="30"/>
        <v>12.791304834</v>
      </c>
    </row>
    <row r="488" spans="1:12" x14ac:dyDescent="0.2">
      <c r="A488" s="4">
        <v>43347</v>
      </c>
      <c r="B488" s="6" t="s">
        <v>1074</v>
      </c>
      <c r="C488">
        <v>6</v>
      </c>
      <c r="D488" s="8">
        <v>1</v>
      </c>
      <c r="E488">
        <v>10</v>
      </c>
      <c r="F488" t="s">
        <v>154</v>
      </c>
      <c r="G488" t="s">
        <v>194</v>
      </c>
      <c r="H488" s="8" t="s">
        <v>1071</v>
      </c>
      <c r="I488">
        <f t="shared" si="27"/>
        <v>60</v>
      </c>
      <c r="J488" s="8">
        <f t="shared" si="29"/>
        <v>27.215542200000002</v>
      </c>
      <c r="K488">
        <v>0.47</v>
      </c>
      <c r="L488">
        <f t="shared" si="30"/>
        <v>12.791304834</v>
      </c>
    </row>
    <row r="489" spans="1:12" x14ac:dyDescent="0.2">
      <c r="A489" s="4">
        <v>43347</v>
      </c>
      <c r="B489" s="6" t="s">
        <v>1074</v>
      </c>
      <c r="C489">
        <v>2</v>
      </c>
      <c r="D489" s="8">
        <v>1</v>
      </c>
      <c r="E489">
        <v>25</v>
      </c>
      <c r="F489" t="s">
        <v>1036</v>
      </c>
      <c r="G489" t="s">
        <v>194</v>
      </c>
      <c r="H489" s="8" t="s">
        <v>1071</v>
      </c>
      <c r="I489">
        <f t="shared" si="27"/>
        <v>50</v>
      </c>
      <c r="J489" s="8">
        <f t="shared" si="29"/>
        <v>22.6796185</v>
      </c>
      <c r="K489">
        <v>0.47</v>
      </c>
      <c r="L489">
        <f t="shared" si="30"/>
        <v>10.659420695</v>
      </c>
    </row>
    <row r="490" spans="1:12" x14ac:dyDescent="0.2">
      <c r="A490" s="4">
        <v>43347</v>
      </c>
      <c r="B490" s="6" t="s">
        <v>1074</v>
      </c>
      <c r="C490">
        <v>2</v>
      </c>
      <c r="D490" s="8">
        <v>1</v>
      </c>
      <c r="E490">
        <v>10</v>
      </c>
      <c r="F490" t="s">
        <v>1037</v>
      </c>
      <c r="G490" t="s">
        <v>194</v>
      </c>
      <c r="H490" s="8" t="s">
        <v>1071</v>
      </c>
      <c r="I490">
        <f t="shared" si="27"/>
        <v>20</v>
      </c>
      <c r="J490" s="8">
        <f t="shared" si="29"/>
        <v>9.0718474000000011</v>
      </c>
      <c r="K490">
        <v>0.47</v>
      </c>
      <c r="L490">
        <f t="shared" si="30"/>
        <v>4.2637682780000006</v>
      </c>
    </row>
    <row r="491" spans="1:12" x14ac:dyDescent="0.2">
      <c r="A491" s="4">
        <v>43347</v>
      </c>
      <c r="B491" s="6" t="s">
        <v>1074</v>
      </c>
      <c r="C491">
        <v>1</v>
      </c>
      <c r="D491" s="8">
        <v>1</v>
      </c>
      <c r="E491">
        <v>23</v>
      </c>
      <c r="F491" t="s">
        <v>152</v>
      </c>
      <c r="G491" t="s">
        <v>194</v>
      </c>
      <c r="H491" s="8" t="s">
        <v>1071</v>
      </c>
      <c r="I491">
        <f t="shared" si="27"/>
        <v>23</v>
      </c>
      <c r="J491" s="8">
        <f t="shared" si="29"/>
        <v>10.43262451</v>
      </c>
      <c r="K491">
        <v>0.47</v>
      </c>
      <c r="L491">
        <f t="shared" si="30"/>
        <v>4.9033335196999994</v>
      </c>
    </row>
    <row r="492" spans="1:12" x14ac:dyDescent="0.2">
      <c r="A492" s="4">
        <v>43347</v>
      </c>
      <c r="B492" s="6" t="s">
        <v>1074</v>
      </c>
      <c r="C492">
        <v>8</v>
      </c>
      <c r="D492" s="8">
        <v>1</v>
      </c>
      <c r="E492">
        <v>10</v>
      </c>
      <c r="F492" t="s">
        <v>154</v>
      </c>
      <c r="G492" t="s">
        <v>194</v>
      </c>
      <c r="H492" s="8" t="s">
        <v>1071</v>
      </c>
      <c r="I492">
        <f t="shared" si="27"/>
        <v>80</v>
      </c>
      <c r="J492" s="8">
        <f t="shared" si="29"/>
        <v>36.287389600000004</v>
      </c>
      <c r="K492">
        <v>0.47</v>
      </c>
      <c r="L492">
        <f t="shared" si="30"/>
        <v>17.055073112000002</v>
      </c>
    </row>
    <row r="493" spans="1:12" x14ac:dyDescent="0.2">
      <c r="A493" s="4">
        <v>43348</v>
      </c>
      <c r="B493" s="6" t="s">
        <v>1074</v>
      </c>
      <c r="C493">
        <v>4</v>
      </c>
      <c r="D493" s="8">
        <v>1</v>
      </c>
      <c r="E493">
        <v>10</v>
      </c>
      <c r="F493" t="s">
        <v>77</v>
      </c>
      <c r="G493" t="s">
        <v>194</v>
      </c>
      <c r="H493" s="8" t="s">
        <v>1071</v>
      </c>
      <c r="I493">
        <f t="shared" si="27"/>
        <v>40</v>
      </c>
      <c r="J493" s="8">
        <f t="shared" si="29"/>
        <v>18.143694800000002</v>
      </c>
      <c r="K493">
        <v>0.47</v>
      </c>
      <c r="L493">
        <f t="shared" si="30"/>
        <v>8.5275365560000012</v>
      </c>
    </row>
    <row r="494" spans="1:12" x14ac:dyDescent="0.2">
      <c r="A494" s="4">
        <v>43349</v>
      </c>
      <c r="B494" s="6" t="s">
        <v>1074</v>
      </c>
      <c r="C494">
        <v>6</v>
      </c>
      <c r="D494" s="8">
        <v>1</v>
      </c>
      <c r="E494">
        <v>10</v>
      </c>
      <c r="F494" t="s">
        <v>77</v>
      </c>
      <c r="G494" t="s">
        <v>194</v>
      </c>
      <c r="H494" s="8" t="s">
        <v>1071</v>
      </c>
      <c r="I494">
        <f t="shared" si="27"/>
        <v>60</v>
      </c>
      <c r="J494" s="8">
        <f t="shared" si="29"/>
        <v>27.215542200000002</v>
      </c>
      <c r="K494">
        <v>0.47</v>
      </c>
      <c r="L494">
        <f t="shared" si="30"/>
        <v>12.791304834</v>
      </c>
    </row>
    <row r="495" spans="1:12" x14ac:dyDescent="0.2">
      <c r="A495" s="4">
        <v>43434</v>
      </c>
      <c r="B495" t="s">
        <v>538</v>
      </c>
      <c r="C495">
        <v>4</v>
      </c>
      <c r="D495">
        <v>6</v>
      </c>
      <c r="E495">
        <v>10</v>
      </c>
      <c r="F495" t="s">
        <v>544</v>
      </c>
      <c r="G495" t="s">
        <v>857</v>
      </c>
      <c r="H495" s="9" t="s">
        <v>1071</v>
      </c>
      <c r="I495">
        <f t="shared" si="27"/>
        <v>240</v>
      </c>
      <c r="J495">
        <f t="shared" si="29"/>
        <v>108.86216880000001</v>
      </c>
      <c r="K495">
        <v>0.47</v>
      </c>
      <c r="L495">
        <f t="shared" si="30"/>
        <v>51.165219336</v>
      </c>
    </row>
    <row r="496" spans="1:12" x14ac:dyDescent="0.2">
      <c r="A496" s="4">
        <v>43434</v>
      </c>
      <c r="B496" t="s">
        <v>538</v>
      </c>
      <c r="C496">
        <v>4</v>
      </c>
      <c r="D496">
        <v>6</v>
      </c>
      <c r="E496">
        <v>10</v>
      </c>
      <c r="F496" t="s">
        <v>432</v>
      </c>
      <c r="G496" t="s">
        <v>857</v>
      </c>
      <c r="H496" s="9" t="s">
        <v>1071</v>
      </c>
      <c r="I496">
        <f t="shared" si="27"/>
        <v>240</v>
      </c>
      <c r="J496">
        <f t="shared" si="29"/>
        <v>108.86216880000001</v>
      </c>
      <c r="K496">
        <v>0.47</v>
      </c>
      <c r="L496">
        <f t="shared" si="30"/>
        <v>51.165219336</v>
      </c>
    </row>
    <row r="497" spans="1:12" x14ac:dyDescent="0.2">
      <c r="A497" s="4">
        <v>43434</v>
      </c>
      <c r="B497" t="s">
        <v>538</v>
      </c>
      <c r="C497">
        <v>8</v>
      </c>
      <c r="D497">
        <v>6</v>
      </c>
      <c r="E497">
        <v>10</v>
      </c>
      <c r="F497" t="s">
        <v>546</v>
      </c>
      <c r="G497" t="s">
        <v>857</v>
      </c>
      <c r="H497" s="9" t="s">
        <v>1071</v>
      </c>
      <c r="I497">
        <f t="shared" si="27"/>
        <v>480</v>
      </c>
      <c r="J497">
        <f t="shared" si="29"/>
        <v>217.72433760000001</v>
      </c>
      <c r="K497">
        <v>0.47</v>
      </c>
      <c r="L497">
        <f t="shared" si="30"/>
        <v>102.330438672</v>
      </c>
    </row>
    <row r="498" spans="1:12" x14ac:dyDescent="0.2">
      <c r="A498" s="4">
        <v>43437</v>
      </c>
      <c r="B498" t="s">
        <v>538</v>
      </c>
      <c r="C498">
        <v>2</v>
      </c>
      <c r="D498">
        <v>6</v>
      </c>
      <c r="E498">
        <v>10</v>
      </c>
      <c r="F498" t="s">
        <v>432</v>
      </c>
      <c r="G498" t="s">
        <v>857</v>
      </c>
      <c r="H498" s="9" t="s">
        <v>1071</v>
      </c>
      <c r="I498">
        <f t="shared" si="27"/>
        <v>120</v>
      </c>
      <c r="J498">
        <f t="shared" si="29"/>
        <v>54.431084400000003</v>
      </c>
      <c r="K498">
        <v>0.47</v>
      </c>
      <c r="L498">
        <f t="shared" si="30"/>
        <v>25.582609668</v>
      </c>
    </row>
    <row r="499" spans="1:12" x14ac:dyDescent="0.2">
      <c r="A499" s="4">
        <v>43439</v>
      </c>
      <c r="B499" t="s">
        <v>538</v>
      </c>
      <c r="C499">
        <v>6</v>
      </c>
      <c r="D499">
        <v>6</v>
      </c>
      <c r="E499">
        <v>10</v>
      </c>
      <c r="F499" t="s">
        <v>432</v>
      </c>
      <c r="G499" t="s">
        <v>857</v>
      </c>
      <c r="H499" s="9" t="s">
        <v>1071</v>
      </c>
      <c r="I499">
        <f t="shared" si="27"/>
        <v>360</v>
      </c>
      <c r="J499">
        <f t="shared" si="29"/>
        <v>163.29325320000001</v>
      </c>
      <c r="K499">
        <v>0.47</v>
      </c>
      <c r="L499">
        <f t="shared" si="30"/>
        <v>76.747829003999996</v>
      </c>
    </row>
    <row r="500" spans="1:12" x14ac:dyDescent="0.2">
      <c r="A500" s="4">
        <v>43439</v>
      </c>
      <c r="B500" t="s">
        <v>538</v>
      </c>
      <c r="C500">
        <v>1</v>
      </c>
      <c r="D500">
        <v>6</v>
      </c>
      <c r="E500">
        <v>10</v>
      </c>
      <c r="F500" t="s">
        <v>546</v>
      </c>
      <c r="G500" t="s">
        <v>857</v>
      </c>
      <c r="H500" s="9" t="s">
        <v>1071</v>
      </c>
      <c r="I500">
        <f t="shared" si="27"/>
        <v>60</v>
      </c>
      <c r="J500">
        <f t="shared" si="29"/>
        <v>27.215542200000002</v>
      </c>
      <c r="K500">
        <v>0.47</v>
      </c>
      <c r="L500">
        <f t="shared" si="30"/>
        <v>12.791304834</v>
      </c>
    </row>
    <row r="501" spans="1:12" x14ac:dyDescent="0.2">
      <c r="A501" s="4">
        <v>43437</v>
      </c>
      <c r="B501" t="s">
        <v>538</v>
      </c>
      <c r="C501">
        <v>1</v>
      </c>
      <c r="D501">
        <v>6</v>
      </c>
      <c r="E501">
        <v>10</v>
      </c>
      <c r="F501" t="s">
        <v>574</v>
      </c>
      <c r="G501" s="6" t="s">
        <v>917</v>
      </c>
      <c r="H501" s="9" t="s">
        <v>1071</v>
      </c>
      <c r="I501">
        <f t="shared" si="27"/>
        <v>60</v>
      </c>
      <c r="J501">
        <f t="shared" si="29"/>
        <v>27.215542200000002</v>
      </c>
      <c r="K501">
        <v>0.11799999999999999</v>
      </c>
      <c r="L501">
        <f t="shared" si="30"/>
        <v>3.2114339796000002</v>
      </c>
    </row>
    <row r="502" spans="1:12" x14ac:dyDescent="0.2">
      <c r="A502" s="4">
        <v>43434</v>
      </c>
      <c r="B502" t="s">
        <v>531</v>
      </c>
      <c r="C502">
        <v>2</v>
      </c>
      <c r="D502">
        <v>12</v>
      </c>
      <c r="E502">
        <f>60*0.0661387</f>
        <v>3.9683219999999997</v>
      </c>
      <c r="F502" t="s">
        <v>534</v>
      </c>
      <c r="G502" s="6" t="s">
        <v>892</v>
      </c>
      <c r="H502" s="9" t="s">
        <v>1071</v>
      </c>
      <c r="I502">
        <f t="shared" ref="I502:I525" si="31">C502*D502*E502</f>
        <v>95.239727999999985</v>
      </c>
      <c r="J502">
        <f t="shared" si="29"/>
        <v>43.200013941675351</v>
      </c>
      <c r="K502">
        <v>1.28</v>
      </c>
      <c r="L502">
        <f t="shared" si="30"/>
        <v>55.296017845344451</v>
      </c>
    </row>
    <row r="503" spans="1:12" x14ac:dyDescent="0.2">
      <c r="A503" s="4">
        <v>43434</v>
      </c>
      <c r="B503" t="s">
        <v>531</v>
      </c>
      <c r="C503">
        <v>2</v>
      </c>
      <c r="D503">
        <v>6</v>
      </c>
      <c r="E503">
        <f>12*0.0661387</f>
        <v>0.79366439999999994</v>
      </c>
      <c r="F503" t="s">
        <v>414</v>
      </c>
      <c r="G503" s="6" t="s">
        <v>894</v>
      </c>
      <c r="H503" s="9" t="s">
        <v>1071</v>
      </c>
      <c r="I503">
        <f t="shared" si="31"/>
        <v>9.5239727999999992</v>
      </c>
      <c r="J503">
        <f t="shared" si="29"/>
        <v>4.3200013941675364</v>
      </c>
      <c r="K503">
        <v>1.28</v>
      </c>
      <c r="L503">
        <f t="shared" si="30"/>
        <v>5.5296017845344467</v>
      </c>
    </row>
    <row r="504" spans="1:12" x14ac:dyDescent="0.2">
      <c r="A504" s="4">
        <v>43434</v>
      </c>
      <c r="B504" t="s">
        <v>531</v>
      </c>
      <c r="C504">
        <v>2</v>
      </c>
      <c r="D504">
        <v>6</v>
      </c>
      <c r="E504">
        <f>12*0.0661387</f>
        <v>0.79366439999999994</v>
      </c>
      <c r="F504" t="s">
        <v>415</v>
      </c>
      <c r="G504" s="6" t="s">
        <v>894</v>
      </c>
      <c r="H504" s="9" t="s">
        <v>1071</v>
      </c>
      <c r="I504">
        <f t="shared" si="31"/>
        <v>9.5239727999999992</v>
      </c>
      <c r="J504">
        <f t="shared" si="29"/>
        <v>4.3200013941675364</v>
      </c>
      <c r="K504">
        <v>1.28</v>
      </c>
      <c r="L504">
        <f t="shared" si="30"/>
        <v>5.5296017845344467</v>
      </c>
    </row>
    <row r="505" spans="1:12" x14ac:dyDescent="0.2">
      <c r="A505" s="4">
        <v>43437</v>
      </c>
      <c r="B505" t="s">
        <v>531</v>
      </c>
      <c r="C505">
        <v>1</v>
      </c>
      <c r="D505">
        <v>24</v>
      </c>
      <c r="E505">
        <f>12*0.0661387</f>
        <v>0.79366439999999994</v>
      </c>
      <c r="F505" t="s">
        <v>408</v>
      </c>
      <c r="G505" s="6" t="s">
        <v>913</v>
      </c>
      <c r="H505" s="9" t="s">
        <v>1071</v>
      </c>
      <c r="I505">
        <f t="shared" si="31"/>
        <v>19.047945599999998</v>
      </c>
      <c r="J505">
        <f t="shared" si="29"/>
        <v>8.6400027883350727</v>
      </c>
      <c r="K505">
        <v>1.28</v>
      </c>
      <c r="L505">
        <f t="shared" si="30"/>
        <v>11.059203569068893</v>
      </c>
    </row>
    <row r="506" spans="1:12" x14ac:dyDescent="0.2">
      <c r="A506" s="4">
        <v>43437</v>
      </c>
      <c r="B506" t="s">
        <v>531</v>
      </c>
      <c r="C506">
        <v>1</v>
      </c>
      <c r="D506">
        <v>6</v>
      </c>
      <c r="E506">
        <f>12*0.0661387</f>
        <v>0.79366439999999994</v>
      </c>
      <c r="F506" t="s">
        <v>415</v>
      </c>
      <c r="G506" s="6" t="s">
        <v>913</v>
      </c>
      <c r="H506" s="9" t="s">
        <v>1071</v>
      </c>
      <c r="I506">
        <f t="shared" si="31"/>
        <v>4.7619863999999996</v>
      </c>
      <c r="J506">
        <f t="shared" si="29"/>
        <v>2.1600006970837682</v>
      </c>
      <c r="K506">
        <v>1.28</v>
      </c>
      <c r="L506">
        <f t="shared" si="30"/>
        <v>2.7648008922672234</v>
      </c>
    </row>
    <row r="507" spans="1:12" x14ac:dyDescent="0.2">
      <c r="A507" s="4">
        <v>43434</v>
      </c>
      <c r="B507" t="s">
        <v>538</v>
      </c>
      <c r="C507">
        <v>1</v>
      </c>
      <c r="D507">
        <v>6</v>
      </c>
      <c r="E507">
        <f>66.5/16</f>
        <v>4.15625</v>
      </c>
      <c r="F507" t="s">
        <v>427</v>
      </c>
      <c r="G507" t="s">
        <v>862</v>
      </c>
      <c r="H507" s="9" t="s">
        <v>1072</v>
      </c>
      <c r="I507">
        <f t="shared" si="31"/>
        <v>24.9375</v>
      </c>
      <c r="J507">
        <f t="shared" si="29"/>
        <v>11.311459726875</v>
      </c>
      <c r="K507">
        <v>2.1480000000000001</v>
      </c>
      <c r="L507">
        <f t="shared" si="30"/>
        <v>24.297015493327503</v>
      </c>
    </row>
    <row r="508" spans="1:12" x14ac:dyDescent="0.2">
      <c r="A508" s="4">
        <v>43437</v>
      </c>
      <c r="B508" t="s">
        <v>538</v>
      </c>
      <c r="C508">
        <v>1</v>
      </c>
      <c r="D508">
        <v>6</v>
      </c>
      <c r="E508">
        <f>66.5/16</f>
        <v>4.15625</v>
      </c>
      <c r="F508" t="s">
        <v>427</v>
      </c>
      <c r="G508" t="s">
        <v>862</v>
      </c>
      <c r="H508" s="9" t="s">
        <v>1072</v>
      </c>
      <c r="I508">
        <f t="shared" si="31"/>
        <v>24.9375</v>
      </c>
      <c r="J508">
        <f t="shared" si="29"/>
        <v>11.311459726875</v>
      </c>
      <c r="K508">
        <v>2.1480000000000001</v>
      </c>
      <c r="L508">
        <f t="shared" si="30"/>
        <v>24.297015493327503</v>
      </c>
    </row>
    <row r="509" spans="1:12" x14ac:dyDescent="0.2">
      <c r="A509" s="4">
        <v>43434</v>
      </c>
      <c r="B509" t="s">
        <v>530</v>
      </c>
      <c r="C509">
        <v>1</v>
      </c>
      <c r="D509">
        <v>1</v>
      </c>
      <c r="E509">
        <v>72.5</v>
      </c>
      <c r="F509" t="s">
        <v>400</v>
      </c>
      <c r="G509" t="s">
        <v>852</v>
      </c>
      <c r="H509" s="9" t="s">
        <v>1072</v>
      </c>
      <c r="I509">
        <f t="shared" si="31"/>
        <v>72.5</v>
      </c>
      <c r="J509">
        <f t="shared" si="29"/>
        <v>32.885446825000002</v>
      </c>
      <c r="K509">
        <v>2.5710000000000002</v>
      </c>
      <c r="L509">
        <f t="shared" si="30"/>
        <v>84.548483787075014</v>
      </c>
    </row>
    <row r="510" spans="1:12" x14ac:dyDescent="0.2">
      <c r="A510" s="4">
        <v>43437</v>
      </c>
      <c r="B510" t="s">
        <v>530</v>
      </c>
      <c r="C510">
        <v>1</v>
      </c>
      <c r="D510">
        <v>1</v>
      </c>
      <c r="E510">
        <v>124.53</v>
      </c>
      <c r="F510" t="s">
        <v>568</v>
      </c>
      <c r="G510" t="s">
        <v>852</v>
      </c>
      <c r="H510" s="9" t="s">
        <v>1072</v>
      </c>
      <c r="I510">
        <f t="shared" si="31"/>
        <v>124.53</v>
      </c>
      <c r="J510">
        <f t="shared" si="29"/>
        <v>56.485857836100003</v>
      </c>
      <c r="K510">
        <v>2.5710000000000002</v>
      </c>
      <c r="L510">
        <f t="shared" si="30"/>
        <v>145.22514049661311</v>
      </c>
    </row>
    <row r="511" spans="1:12" x14ac:dyDescent="0.2">
      <c r="A511" s="4">
        <v>43437</v>
      </c>
      <c r="B511" t="s">
        <v>530</v>
      </c>
      <c r="C511">
        <v>4</v>
      </c>
      <c r="D511">
        <v>160</v>
      </c>
      <c r="E511">
        <f>1/16</f>
        <v>6.25E-2</v>
      </c>
      <c r="F511" t="s">
        <v>569</v>
      </c>
      <c r="G511" t="s">
        <v>852</v>
      </c>
      <c r="H511" s="9" t="s">
        <v>1072</v>
      </c>
      <c r="I511">
        <f t="shared" si="31"/>
        <v>40</v>
      </c>
      <c r="J511">
        <f t="shared" si="29"/>
        <v>18.143694800000002</v>
      </c>
      <c r="K511">
        <v>2.5710000000000002</v>
      </c>
      <c r="L511">
        <f t="shared" si="30"/>
        <v>46.647439330800012</v>
      </c>
    </row>
    <row r="512" spans="1:12" x14ac:dyDescent="0.2">
      <c r="A512" s="4">
        <v>43437</v>
      </c>
      <c r="B512" t="s">
        <v>530</v>
      </c>
      <c r="C512">
        <v>4</v>
      </c>
      <c r="D512">
        <v>2</v>
      </c>
      <c r="E512">
        <v>6</v>
      </c>
      <c r="F512" t="s">
        <v>402</v>
      </c>
      <c r="G512" t="s">
        <v>912</v>
      </c>
      <c r="H512" s="9" t="s">
        <v>1072</v>
      </c>
      <c r="I512">
        <f t="shared" si="31"/>
        <v>48</v>
      </c>
      <c r="J512">
        <f t="shared" si="29"/>
        <v>21.772433760000002</v>
      </c>
      <c r="K512">
        <v>2.5710000000000002</v>
      </c>
      <c r="L512">
        <f t="shared" si="30"/>
        <v>55.976927196960006</v>
      </c>
    </row>
    <row r="513" spans="1:12" x14ac:dyDescent="0.2">
      <c r="A513" s="4">
        <v>43439</v>
      </c>
      <c r="B513" t="s">
        <v>530</v>
      </c>
      <c r="C513">
        <v>3</v>
      </c>
      <c r="D513">
        <v>160</v>
      </c>
      <c r="E513">
        <f>1/16</f>
        <v>6.25E-2</v>
      </c>
      <c r="F513" t="s">
        <v>569</v>
      </c>
      <c r="G513" t="s">
        <v>852</v>
      </c>
      <c r="H513" s="9" t="s">
        <v>1072</v>
      </c>
      <c r="I513">
        <f t="shared" si="31"/>
        <v>30</v>
      </c>
      <c r="J513">
        <f t="shared" si="29"/>
        <v>13.607771100000001</v>
      </c>
      <c r="K513">
        <v>2.5710000000000002</v>
      </c>
      <c r="L513">
        <f t="shared" si="30"/>
        <v>34.985579498100002</v>
      </c>
    </row>
    <row r="514" spans="1:12" x14ac:dyDescent="0.2">
      <c r="A514" s="4">
        <v>43434</v>
      </c>
      <c r="B514" t="s">
        <v>538</v>
      </c>
      <c r="C514">
        <v>1</v>
      </c>
      <c r="D514">
        <v>4</v>
      </c>
      <c r="E514">
        <v>8.41</v>
      </c>
      <c r="F514" t="s">
        <v>558</v>
      </c>
      <c r="G514" t="s">
        <v>872</v>
      </c>
      <c r="H514" s="9" t="s">
        <v>1071</v>
      </c>
      <c r="I514">
        <f t="shared" si="31"/>
        <v>33.64</v>
      </c>
      <c r="J514">
        <f t="shared" si="29"/>
        <v>15.258847326800002</v>
      </c>
      <c r="K514">
        <v>0.34</v>
      </c>
      <c r="L514">
        <f t="shared" si="30"/>
        <v>5.1880080911120006</v>
      </c>
    </row>
    <row r="515" spans="1:12" x14ac:dyDescent="0.2">
      <c r="A515" s="4">
        <v>43437</v>
      </c>
      <c r="B515" t="s">
        <v>538</v>
      </c>
      <c r="C515">
        <v>1</v>
      </c>
      <c r="D515">
        <v>2</v>
      </c>
      <c r="E515" s="6">
        <f>5*2.39</f>
        <v>11.950000000000001</v>
      </c>
      <c r="F515" t="s">
        <v>450</v>
      </c>
      <c r="G515" t="s">
        <v>872</v>
      </c>
      <c r="H515" s="9" t="s">
        <v>1071</v>
      </c>
      <c r="I515">
        <f t="shared" si="31"/>
        <v>23.900000000000002</v>
      </c>
      <c r="J515">
        <f t="shared" ref="J515:J525" si="32">CONVERT(I515,"lbm","kg")</f>
        <v>10.840857643000001</v>
      </c>
      <c r="K515">
        <v>0.34</v>
      </c>
      <c r="L515">
        <f t="shared" ref="L515:L525" si="33">J515*K515</f>
        <v>3.6858915986200009</v>
      </c>
    </row>
    <row r="516" spans="1:12" x14ac:dyDescent="0.2">
      <c r="A516" s="4">
        <v>43439</v>
      </c>
      <c r="B516" t="s">
        <v>538</v>
      </c>
      <c r="C516">
        <v>1</v>
      </c>
      <c r="D516">
        <v>4</v>
      </c>
      <c r="E516">
        <v>8.41</v>
      </c>
      <c r="F516" t="s">
        <v>596</v>
      </c>
      <c r="G516" t="s">
        <v>872</v>
      </c>
      <c r="H516" s="9" t="s">
        <v>1071</v>
      </c>
      <c r="I516">
        <f t="shared" si="31"/>
        <v>33.64</v>
      </c>
      <c r="J516">
        <f t="shared" si="32"/>
        <v>15.258847326800002</v>
      </c>
      <c r="K516">
        <v>0.34</v>
      </c>
      <c r="L516">
        <f t="shared" si="33"/>
        <v>5.1880080911120006</v>
      </c>
    </row>
    <row r="517" spans="1:12" x14ac:dyDescent="0.2">
      <c r="A517" s="4">
        <v>43437</v>
      </c>
      <c r="B517" t="s">
        <v>538</v>
      </c>
      <c r="C517">
        <v>1</v>
      </c>
      <c r="D517">
        <v>6</v>
      </c>
      <c r="E517">
        <v>2</v>
      </c>
      <c r="F517" t="s">
        <v>570</v>
      </c>
      <c r="G517" s="6" t="s">
        <v>985</v>
      </c>
      <c r="H517" s="9" t="s">
        <v>1071</v>
      </c>
      <c r="I517">
        <f t="shared" si="31"/>
        <v>12</v>
      </c>
      <c r="J517">
        <f t="shared" si="32"/>
        <v>5.4431084400000005</v>
      </c>
      <c r="K517">
        <v>0.34699999999999998</v>
      </c>
      <c r="L517">
        <f t="shared" si="33"/>
        <v>1.88875862868</v>
      </c>
    </row>
    <row r="518" spans="1:12" x14ac:dyDescent="0.2">
      <c r="A518" s="4">
        <v>43437</v>
      </c>
      <c r="B518" t="s">
        <v>538</v>
      </c>
      <c r="C518">
        <v>1</v>
      </c>
      <c r="D518">
        <v>4</v>
      </c>
      <c r="E518">
        <v>8.41</v>
      </c>
      <c r="F518" t="s">
        <v>576</v>
      </c>
      <c r="G518" t="s">
        <v>873</v>
      </c>
      <c r="H518" s="9" t="s">
        <v>1071</v>
      </c>
      <c r="I518">
        <f t="shared" si="31"/>
        <v>33.64</v>
      </c>
      <c r="J518">
        <f t="shared" si="32"/>
        <v>15.258847326800002</v>
      </c>
      <c r="K518">
        <v>0.78</v>
      </c>
      <c r="L518">
        <f t="shared" si="33"/>
        <v>11.901900914904001</v>
      </c>
    </row>
    <row r="519" spans="1:12" x14ac:dyDescent="0.2">
      <c r="A519" s="4">
        <v>43437</v>
      </c>
      <c r="B519" t="s">
        <v>538</v>
      </c>
      <c r="C519">
        <v>1</v>
      </c>
      <c r="D519">
        <v>4</v>
      </c>
      <c r="E519">
        <v>8.41</v>
      </c>
      <c r="F519" t="s">
        <v>578</v>
      </c>
      <c r="G519" t="s">
        <v>873</v>
      </c>
      <c r="H519" s="9" t="s">
        <v>1071</v>
      </c>
      <c r="I519">
        <f t="shared" si="31"/>
        <v>33.64</v>
      </c>
      <c r="J519">
        <f t="shared" si="32"/>
        <v>15.258847326800002</v>
      </c>
      <c r="K519">
        <v>0.78</v>
      </c>
      <c r="L519">
        <f t="shared" si="33"/>
        <v>11.901900914904001</v>
      </c>
    </row>
    <row r="520" spans="1:12" x14ac:dyDescent="0.2">
      <c r="A520" s="4">
        <v>43439</v>
      </c>
      <c r="B520" t="s">
        <v>538</v>
      </c>
      <c r="C520">
        <v>1</v>
      </c>
      <c r="D520">
        <v>8</v>
      </c>
      <c r="E520">
        <f>12*0.0661387</f>
        <v>0.79366439999999994</v>
      </c>
      <c r="F520" t="s">
        <v>599</v>
      </c>
      <c r="G520" s="6" t="s">
        <v>856</v>
      </c>
      <c r="H520" s="9" t="s">
        <v>1071</v>
      </c>
      <c r="I520">
        <f t="shared" si="31"/>
        <v>6.3493151999999995</v>
      </c>
      <c r="J520">
        <f t="shared" si="32"/>
        <v>2.8800009294450239</v>
      </c>
      <c r="K520">
        <v>1.28</v>
      </c>
      <c r="L520">
        <f t="shared" si="33"/>
        <v>3.6864011896896307</v>
      </c>
    </row>
    <row r="521" spans="1:12" x14ac:dyDescent="0.2">
      <c r="A521" s="4">
        <v>43439</v>
      </c>
      <c r="B521" t="s">
        <v>531</v>
      </c>
      <c r="C521">
        <v>1</v>
      </c>
      <c r="D521">
        <v>6</v>
      </c>
      <c r="E521">
        <f>12*0.0661387</f>
        <v>0.79366439999999994</v>
      </c>
      <c r="F521" t="s">
        <v>415</v>
      </c>
      <c r="G521" s="6" t="s">
        <v>856</v>
      </c>
      <c r="H521" s="9" t="s">
        <v>1071</v>
      </c>
      <c r="I521">
        <f t="shared" si="31"/>
        <v>4.7619863999999996</v>
      </c>
      <c r="J521">
        <f t="shared" si="32"/>
        <v>2.1600006970837682</v>
      </c>
      <c r="K521">
        <v>1.28</v>
      </c>
      <c r="L521">
        <f t="shared" si="33"/>
        <v>2.7648008922672234</v>
      </c>
    </row>
    <row r="522" spans="1:12" x14ac:dyDescent="0.2">
      <c r="A522" s="4">
        <v>43434</v>
      </c>
      <c r="B522" t="s">
        <v>538</v>
      </c>
      <c r="C522">
        <v>2</v>
      </c>
      <c r="D522">
        <v>12</v>
      </c>
      <c r="E522">
        <v>2</v>
      </c>
      <c r="F522" t="s">
        <v>557</v>
      </c>
      <c r="G522" s="14" t="s">
        <v>871</v>
      </c>
      <c r="H522" s="9" t="s">
        <v>1071</v>
      </c>
      <c r="I522">
        <f t="shared" si="31"/>
        <v>48</v>
      </c>
      <c r="J522">
        <f t="shared" si="32"/>
        <v>21.772433760000002</v>
      </c>
      <c r="L522">
        <f t="shared" si="33"/>
        <v>0</v>
      </c>
    </row>
    <row r="523" spans="1:12" x14ac:dyDescent="0.2">
      <c r="A523" s="4">
        <v>43434</v>
      </c>
      <c r="B523" t="s">
        <v>517</v>
      </c>
      <c r="C523">
        <v>10</v>
      </c>
      <c r="D523">
        <v>2</v>
      </c>
      <c r="E523">
        <v>6</v>
      </c>
      <c r="F523" t="s">
        <v>383</v>
      </c>
      <c r="G523" t="s">
        <v>846</v>
      </c>
      <c r="H523" s="9" t="s">
        <v>1073</v>
      </c>
      <c r="I523">
        <f t="shared" si="31"/>
        <v>120</v>
      </c>
      <c r="J523">
        <f t="shared" si="32"/>
        <v>54.431084400000003</v>
      </c>
      <c r="K523">
        <v>1.33</v>
      </c>
      <c r="L523">
        <f t="shared" si="33"/>
        <v>72.393342252000011</v>
      </c>
    </row>
    <row r="524" spans="1:12" x14ac:dyDescent="0.2">
      <c r="A524" s="4">
        <v>43434</v>
      </c>
      <c r="B524" t="s">
        <v>517</v>
      </c>
      <c r="C524">
        <v>10</v>
      </c>
      <c r="D524">
        <v>2</v>
      </c>
      <c r="E524">
        <v>6</v>
      </c>
      <c r="F524" t="s">
        <v>384</v>
      </c>
      <c r="G524" t="s">
        <v>846</v>
      </c>
      <c r="H524" s="9" t="s">
        <v>1073</v>
      </c>
      <c r="I524">
        <f t="shared" si="31"/>
        <v>120</v>
      </c>
      <c r="J524">
        <f t="shared" si="32"/>
        <v>54.431084400000003</v>
      </c>
      <c r="K524">
        <v>1.33</v>
      </c>
      <c r="L524">
        <f t="shared" si="33"/>
        <v>72.393342252000011</v>
      </c>
    </row>
    <row r="525" spans="1:12" x14ac:dyDescent="0.2">
      <c r="A525" s="4">
        <v>43439</v>
      </c>
      <c r="B525" t="s">
        <v>517</v>
      </c>
      <c r="C525">
        <v>2</v>
      </c>
      <c r="D525">
        <v>2</v>
      </c>
      <c r="E525">
        <v>6</v>
      </c>
      <c r="F525" t="s">
        <v>384</v>
      </c>
      <c r="G525" t="s">
        <v>846</v>
      </c>
      <c r="H525" s="9" t="s">
        <v>1073</v>
      </c>
      <c r="I525">
        <f t="shared" si="31"/>
        <v>24</v>
      </c>
      <c r="J525">
        <f t="shared" si="32"/>
        <v>10.886216880000001</v>
      </c>
      <c r="K525">
        <v>1.33</v>
      </c>
      <c r="L525">
        <f t="shared" si="33"/>
        <v>14.478668450400002</v>
      </c>
    </row>
    <row r="526" spans="1:12" x14ac:dyDescent="0.2">
      <c r="L526" s="33">
        <f>SUM(L3:L525)</f>
        <v>49333.896665175067</v>
      </c>
    </row>
  </sheetData>
  <sortState ref="A3:L526">
    <sortCondition ref="G525"/>
  </sortState>
  <mergeCells count="1">
    <mergeCell ref="A1:L1"/>
  </mergeCells>
  <phoneticPr fontId="12" type="noConversion"/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G23"/>
  <sheetViews>
    <sheetView workbookViewId="0">
      <selection activeCell="C6" sqref="C6"/>
    </sheetView>
  </sheetViews>
  <sheetFormatPr baseColWidth="10" defaultRowHeight="16" x14ac:dyDescent="0.2"/>
  <cols>
    <col min="1" max="1" width="14.83203125" customWidth="1"/>
    <col min="2" max="2" width="20.6640625" bestFit="1" customWidth="1"/>
    <col min="3" max="3" width="29.1640625" bestFit="1" customWidth="1"/>
    <col min="4" max="4" width="21.83203125" bestFit="1" customWidth="1"/>
    <col min="5" max="5" width="29.1640625" bestFit="1" customWidth="1"/>
    <col min="6" max="6" width="35.5" bestFit="1" customWidth="1"/>
    <col min="7" max="7" width="36.83203125" customWidth="1"/>
    <col min="8" max="9" width="21.83203125" bestFit="1" customWidth="1"/>
    <col min="10" max="10" width="21" customWidth="1"/>
  </cols>
  <sheetData>
    <row r="1" spans="1:7" x14ac:dyDescent="0.2">
      <c r="A1" s="95" t="s">
        <v>1103</v>
      </c>
      <c r="B1" s="95"/>
      <c r="C1" s="95"/>
      <c r="D1" s="95"/>
      <c r="E1" s="95"/>
      <c r="F1" s="95"/>
    </row>
    <row r="2" spans="1:7" x14ac:dyDescent="0.2">
      <c r="A2" s="64" t="s">
        <v>1095</v>
      </c>
      <c r="B2" s="64" t="s">
        <v>6</v>
      </c>
      <c r="C2" s="64" t="s">
        <v>1096</v>
      </c>
      <c r="D2" s="64" t="s">
        <v>1097</v>
      </c>
      <c r="E2" s="64" t="s">
        <v>1098</v>
      </c>
      <c r="F2" s="64" t="s">
        <v>1099</v>
      </c>
    </row>
    <row r="3" spans="1:7" x14ac:dyDescent="0.2">
      <c r="A3" t="s">
        <v>1100</v>
      </c>
      <c r="B3">
        <v>2655.329733980001</v>
      </c>
      <c r="C3">
        <v>250</v>
      </c>
      <c r="D3">
        <v>1.7</v>
      </c>
      <c r="E3">
        <v>32.845999999999997</v>
      </c>
      <c r="F3" s="52">
        <f>B3*C3*D3*E3</f>
        <v>37067208.187980518</v>
      </c>
      <c r="G3" s="56"/>
    </row>
    <row r="4" spans="1:7" x14ac:dyDescent="0.2">
      <c r="A4" t="s">
        <v>1104</v>
      </c>
      <c r="B4">
        <v>2655.329733980001</v>
      </c>
      <c r="C4">
        <v>2173</v>
      </c>
      <c r="D4">
        <v>1.7</v>
      </c>
      <c r="E4">
        <v>3.5270000000000001</v>
      </c>
      <c r="F4" s="52">
        <f>B4*C4*D4*E4</f>
        <v>34596531.942432307</v>
      </c>
    </row>
    <row r="5" spans="1:7" x14ac:dyDescent="0.2">
      <c r="A5" t="s">
        <v>798</v>
      </c>
      <c r="B5">
        <v>2655.329733980001</v>
      </c>
      <c r="C5">
        <v>2173</v>
      </c>
      <c r="D5">
        <v>1.7</v>
      </c>
      <c r="E5">
        <v>1.6639999999999999</v>
      </c>
      <c r="F5" s="52">
        <f>B5*C5*D5*E5</f>
        <v>16322265.140971748</v>
      </c>
    </row>
    <row r="6" spans="1:7" x14ac:dyDescent="0.2">
      <c r="A6" t="s">
        <v>1105</v>
      </c>
      <c r="B6">
        <v>2655.329733980001</v>
      </c>
      <c r="C6">
        <v>2173</v>
      </c>
      <c r="D6">
        <v>1.7</v>
      </c>
      <c r="E6">
        <v>0.308</v>
      </c>
      <c r="F6" s="52">
        <f>B6*C6*D6*E6</f>
        <v>3021188.4996510209</v>
      </c>
    </row>
    <row r="8" spans="1:7" x14ac:dyDescent="0.2">
      <c r="A8" s="95" t="s">
        <v>1106</v>
      </c>
      <c r="B8" s="95"/>
      <c r="C8" s="95"/>
      <c r="D8" s="95"/>
    </row>
    <row r="9" spans="1:7" x14ac:dyDescent="0.2">
      <c r="A9" s="64" t="s">
        <v>1095</v>
      </c>
      <c r="B9" s="64" t="s">
        <v>6</v>
      </c>
      <c r="C9" s="64" t="s">
        <v>1107</v>
      </c>
      <c r="D9" s="64" t="s">
        <v>1099</v>
      </c>
    </row>
    <row r="10" spans="1:7" x14ac:dyDescent="0.2">
      <c r="A10" t="s">
        <v>1100</v>
      </c>
      <c r="B10">
        <v>2655.329733980001</v>
      </c>
      <c r="C10">
        <v>32.845999999999997</v>
      </c>
      <c r="D10" s="52">
        <f>B10*C10</f>
        <v>87216.9604423071</v>
      </c>
    </row>
    <row r="11" spans="1:7" x14ac:dyDescent="0.2">
      <c r="A11" t="s">
        <v>1104</v>
      </c>
      <c r="B11" s="45">
        <v>108.86216880000002</v>
      </c>
      <c r="C11">
        <v>3.5270000000000001</v>
      </c>
      <c r="D11" s="52">
        <f>B11*C11</f>
        <v>383.95686935760011</v>
      </c>
    </row>
    <row r="12" spans="1:7" x14ac:dyDescent="0.2">
      <c r="A12" t="s">
        <v>798</v>
      </c>
      <c r="B12" s="65">
        <v>336.93523310582844</v>
      </c>
      <c r="C12">
        <v>1.6639999999999999</v>
      </c>
      <c r="D12" s="52">
        <f>B12*C12</f>
        <v>560.66022788809846</v>
      </c>
    </row>
    <row r="13" spans="1:7" x14ac:dyDescent="0.2">
      <c r="A13" t="s">
        <v>1105</v>
      </c>
      <c r="B13">
        <v>671.31670760000009</v>
      </c>
      <c r="C13">
        <v>0.308</v>
      </c>
      <c r="D13" s="52">
        <f>B13*C13</f>
        <v>206.76554594080002</v>
      </c>
    </row>
    <row r="16" spans="1:7" x14ac:dyDescent="0.2">
      <c r="A16" s="95" t="s">
        <v>1108</v>
      </c>
      <c r="B16" s="95"/>
      <c r="C16" s="95"/>
      <c r="D16" s="95"/>
      <c r="E16" s="95"/>
      <c r="F16" s="95"/>
    </row>
    <row r="17" spans="1:6" x14ac:dyDescent="0.2">
      <c r="A17" s="64" t="s">
        <v>1095</v>
      </c>
      <c r="B17" s="64" t="s">
        <v>1109</v>
      </c>
      <c r="C17" s="64" t="s">
        <v>6</v>
      </c>
      <c r="D17" s="64" t="s">
        <v>1110</v>
      </c>
      <c r="E17" s="64" t="s">
        <v>1107</v>
      </c>
      <c r="F17" s="64" t="s">
        <v>1099</v>
      </c>
    </row>
    <row r="18" spans="1:6" x14ac:dyDescent="0.2">
      <c r="A18" t="s">
        <v>1100</v>
      </c>
      <c r="B18" s="55">
        <v>2506</v>
      </c>
      <c r="C18">
        <v>2655.329733980001</v>
      </c>
      <c r="D18" s="53">
        <f>C18*B18</f>
        <v>6654256.3133538822</v>
      </c>
      <c r="E18">
        <v>32.845999999999997</v>
      </c>
      <c r="F18" s="52">
        <f>C18*E18</f>
        <v>87216.9604423071</v>
      </c>
    </row>
    <row r="19" spans="1:6" x14ac:dyDescent="0.2">
      <c r="A19" t="s">
        <v>1104</v>
      </c>
      <c r="B19" s="66">
        <v>2389.38</v>
      </c>
      <c r="C19" s="56">
        <f>D19/B19</f>
        <v>2784.9301129807236</v>
      </c>
      <c r="D19" s="56">
        <v>6654256.3133538822</v>
      </c>
      <c r="E19">
        <v>3.5270000000000001</v>
      </c>
      <c r="F19" s="52">
        <f>C19*E19</f>
        <v>9822.4485084830121</v>
      </c>
    </row>
    <row r="20" spans="1:6" x14ac:dyDescent="0.2">
      <c r="A20" t="s">
        <v>798</v>
      </c>
      <c r="B20">
        <v>758</v>
      </c>
      <c r="C20" s="56">
        <f>D20/B20</f>
        <v>8778.7022603613223</v>
      </c>
      <c r="D20" s="56">
        <v>6654256.3133538822</v>
      </c>
      <c r="E20">
        <v>1.6639999999999999</v>
      </c>
      <c r="F20" s="52">
        <f>C20*E20</f>
        <v>14607.760561241239</v>
      </c>
    </row>
    <row r="21" spans="1:6" x14ac:dyDescent="0.2">
      <c r="A21" t="s">
        <v>1105</v>
      </c>
      <c r="B21" s="55">
        <v>3391</v>
      </c>
      <c r="C21" s="56">
        <f>D21/B21</f>
        <v>1962.3286090692663</v>
      </c>
      <c r="D21" s="56">
        <v>6654256.3133538822</v>
      </c>
      <c r="E21">
        <v>0.308</v>
      </c>
      <c r="F21" s="52">
        <f>C21*E21</f>
        <v>604.39721159333408</v>
      </c>
    </row>
    <row r="23" spans="1:6" x14ac:dyDescent="0.2">
      <c r="B23" s="56"/>
    </row>
  </sheetData>
  <mergeCells count="3">
    <mergeCell ref="A1:F1"/>
    <mergeCell ref="A8:D8"/>
    <mergeCell ref="A16:F16"/>
  </mergeCells>
  <phoneticPr fontId="12" type="noConversion"/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H11"/>
  <sheetViews>
    <sheetView workbookViewId="0">
      <selection activeCell="A31" sqref="A31"/>
    </sheetView>
  </sheetViews>
  <sheetFormatPr baseColWidth="10" defaultRowHeight="16" x14ac:dyDescent="0.2"/>
  <cols>
    <col min="1" max="1" width="15.5" customWidth="1"/>
    <col min="2" max="2" width="12.1640625" customWidth="1"/>
    <col min="3" max="3" width="15.83203125" customWidth="1"/>
    <col min="4" max="4" width="39.33203125" bestFit="1" customWidth="1"/>
    <col min="5" max="5" width="16.83203125" customWidth="1"/>
    <col min="6" max="6" width="15" bestFit="1" customWidth="1"/>
    <col min="7" max="7" width="23.5" customWidth="1"/>
    <col min="8" max="8" width="13" bestFit="1" customWidth="1"/>
  </cols>
  <sheetData>
    <row r="1" spans="1:8" x14ac:dyDescent="0.2">
      <c r="A1" s="95" t="s">
        <v>1111</v>
      </c>
      <c r="B1" s="95"/>
      <c r="C1" s="95"/>
      <c r="D1" s="95"/>
      <c r="E1" s="95"/>
      <c r="F1" s="95"/>
      <c r="G1" s="95"/>
      <c r="H1" s="95"/>
    </row>
    <row r="2" spans="1:8" x14ac:dyDescent="0.2">
      <c r="A2" s="67" t="s">
        <v>1095</v>
      </c>
      <c r="B2" s="67" t="s">
        <v>6</v>
      </c>
      <c r="C2" s="67" t="s">
        <v>1096</v>
      </c>
      <c r="D2" s="67" t="s">
        <v>1112</v>
      </c>
      <c r="E2" s="67" t="s">
        <v>1098</v>
      </c>
      <c r="F2" s="67" t="s">
        <v>1099</v>
      </c>
      <c r="G2" s="68" t="s">
        <v>1113</v>
      </c>
      <c r="H2" s="68" t="s">
        <v>1110</v>
      </c>
    </row>
    <row r="3" spans="1:8" x14ac:dyDescent="0.2">
      <c r="A3" t="s">
        <v>1114</v>
      </c>
      <c r="B3" s="66">
        <v>6587.7</v>
      </c>
      <c r="C3">
        <v>250</v>
      </c>
      <c r="D3">
        <v>1.7</v>
      </c>
      <c r="E3">
        <v>1.323</v>
      </c>
      <c r="F3" s="52">
        <f>B3*C3*D3*E3</f>
        <v>3704099.0175000001</v>
      </c>
      <c r="G3">
        <v>90</v>
      </c>
      <c r="H3" s="53">
        <f>D8</f>
        <v>2470387.5</v>
      </c>
    </row>
    <row r="4" spans="1:8" x14ac:dyDescent="0.2">
      <c r="A4" t="s">
        <v>1115</v>
      </c>
      <c r="B4" s="66">
        <v>6587.7</v>
      </c>
      <c r="C4">
        <v>1210</v>
      </c>
      <c r="D4">
        <v>1.7</v>
      </c>
      <c r="E4">
        <v>0.25800000000000001</v>
      </c>
      <c r="F4" s="52">
        <f t="shared" ref="F4" si="0">B4*C4*D4*E4</f>
        <v>3496131.9162000003</v>
      </c>
      <c r="G4">
        <v>100</v>
      </c>
      <c r="H4" s="53">
        <f>D11</f>
        <v>2744875</v>
      </c>
    </row>
    <row r="5" spans="1:8" x14ac:dyDescent="0.2">
      <c r="F5" s="56">
        <f>F3-F4</f>
        <v>207967.10129999975</v>
      </c>
    </row>
    <row r="7" spans="1:8" x14ac:dyDescent="0.2">
      <c r="A7" s="66" t="s">
        <v>1116</v>
      </c>
      <c r="B7" t="s">
        <v>1117</v>
      </c>
      <c r="C7" t="s">
        <v>1118</v>
      </c>
      <c r="D7">
        <f>6587.7*90*1000</f>
        <v>592893000</v>
      </c>
    </row>
    <row r="8" spans="1:8" x14ac:dyDescent="0.2">
      <c r="B8" t="s">
        <v>1119</v>
      </c>
      <c r="C8" t="s">
        <v>1120</v>
      </c>
      <c r="D8">
        <f>D7/240</f>
        <v>2470387.5</v>
      </c>
    </row>
    <row r="10" spans="1:8" x14ac:dyDescent="0.2">
      <c r="A10" s="66" t="s">
        <v>1116</v>
      </c>
      <c r="B10" t="s">
        <v>1121</v>
      </c>
      <c r="C10" t="s">
        <v>1118</v>
      </c>
      <c r="D10">
        <f>6587.7*100*1000</f>
        <v>658770000</v>
      </c>
    </row>
    <row r="11" spans="1:8" x14ac:dyDescent="0.2">
      <c r="B11" t="s">
        <v>1119</v>
      </c>
      <c r="C11" t="s">
        <v>1120</v>
      </c>
      <c r="D11">
        <f>D10/240</f>
        <v>2744875</v>
      </c>
    </row>
  </sheetData>
  <mergeCells count="1">
    <mergeCell ref="A1:H1"/>
  </mergeCells>
  <phoneticPr fontId="12" type="noConversion"/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F232"/>
  <sheetViews>
    <sheetView workbookViewId="0">
      <selection activeCell="H28" sqref="H28"/>
    </sheetView>
  </sheetViews>
  <sheetFormatPr baseColWidth="10" defaultRowHeight="16" x14ac:dyDescent="0.2"/>
  <cols>
    <col min="1" max="1" width="16.6640625" bestFit="1" customWidth="1"/>
    <col min="2" max="2" width="12.1640625" bestFit="1" customWidth="1"/>
    <col min="3" max="3" width="24.5" bestFit="1" customWidth="1"/>
    <col min="4" max="4" width="32" customWidth="1"/>
    <col min="5" max="5" width="19.5" customWidth="1"/>
    <col min="6" max="6" width="32.1640625" customWidth="1"/>
  </cols>
  <sheetData>
    <row r="1" spans="1:6" x14ac:dyDescent="0.2">
      <c r="A1" s="96" t="s">
        <v>1122</v>
      </c>
      <c r="B1" s="96"/>
      <c r="C1" s="96"/>
    </row>
    <row r="2" spans="1:6" x14ac:dyDescent="0.2">
      <c r="A2" t="s">
        <v>1069</v>
      </c>
      <c r="B2" t="s">
        <v>6</v>
      </c>
      <c r="C2" t="s">
        <v>1123</v>
      </c>
    </row>
    <row r="3" spans="1:6" x14ac:dyDescent="0.2">
      <c r="A3" t="s">
        <v>10</v>
      </c>
      <c r="B3">
        <v>2655.329733980001</v>
      </c>
      <c r="C3" s="50">
        <v>0.28455766106541491</v>
      </c>
    </row>
    <row r="4" spans="1:6" x14ac:dyDescent="0.2">
      <c r="A4" t="s">
        <v>755</v>
      </c>
      <c r="B4">
        <v>7370.8760124999981</v>
      </c>
      <c r="C4" s="50">
        <v>0.1007152219556864</v>
      </c>
    </row>
    <row r="5" spans="1:6" x14ac:dyDescent="0.2">
      <c r="A5" t="s">
        <v>773</v>
      </c>
      <c r="B5">
        <v>2989.6159708607479</v>
      </c>
      <c r="C5" s="50">
        <v>9.7286841540416447E-2</v>
      </c>
    </row>
    <row r="6" spans="1:6" x14ac:dyDescent="0.2">
      <c r="A6" t="s">
        <v>798</v>
      </c>
      <c r="B6" s="65">
        <v>336.93523310582844</v>
      </c>
      <c r="C6" s="69">
        <v>1.8292332396262956E-3</v>
      </c>
    </row>
    <row r="7" spans="1:6" x14ac:dyDescent="0.2">
      <c r="A7" t="s">
        <v>1101</v>
      </c>
      <c r="B7">
        <v>671.31670760000009</v>
      </c>
      <c r="C7" s="51">
        <v>6.3813685559168309E-4</v>
      </c>
      <c r="E7" s="45"/>
      <c r="F7" s="51"/>
    </row>
    <row r="8" spans="1:6" x14ac:dyDescent="0.2">
      <c r="A8" t="s">
        <v>1124</v>
      </c>
      <c r="B8" s="45">
        <v>1660.1480742000001</v>
      </c>
      <c r="C8" s="51">
        <v>2.6594856625918126E-3</v>
      </c>
      <c r="E8" s="45"/>
      <c r="F8" s="51"/>
    </row>
    <row r="9" spans="1:6" x14ac:dyDescent="0.2">
      <c r="A9" t="s">
        <v>1125</v>
      </c>
      <c r="B9" s="45">
        <v>21.772433760000002</v>
      </c>
      <c r="C9" s="51">
        <v>2.46493679655266E-5</v>
      </c>
    </row>
    <row r="10" spans="1:6" x14ac:dyDescent="0.2">
      <c r="A10" t="s">
        <v>1104</v>
      </c>
      <c r="B10" s="45">
        <v>108.86216880000002</v>
      </c>
      <c r="C10" s="51">
        <v>1.252713556403636E-3</v>
      </c>
      <c r="E10" s="45"/>
      <c r="F10" s="51"/>
    </row>
    <row r="11" spans="1:6" x14ac:dyDescent="0.2">
      <c r="A11" t="s">
        <v>313</v>
      </c>
      <c r="B11" s="45">
        <v>760.67440449000037</v>
      </c>
      <c r="C11" s="51">
        <v>7.6762314068105093E-3</v>
      </c>
    </row>
    <row r="12" spans="1:6" x14ac:dyDescent="0.2">
      <c r="A12" t="s">
        <v>1126</v>
      </c>
      <c r="B12">
        <v>815.33228507499996</v>
      </c>
      <c r="C12" s="50">
        <v>6.8631530024332332E-4</v>
      </c>
    </row>
    <row r="13" spans="1:6" x14ac:dyDescent="0.2">
      <c r="C13" s="50"/>
    </row>
    <row r="14" spans="1:6" x14ac:dyDescent="0.2">
      <c r="A14" s="96" t="s">
        <v>1127</v>
      </c>
      <c r="B14" s="96"/>
      <c r="C14" s="96"/>
      <c r="D14" s="96"/>
      <c r="E14" s="96"/>
      <c r="F14" s="96"/>
    </row>
    <row r="15" spans="1:6" x14ac:dyDescent="0.2">
      <c r="A15" s="70" t="s">
        <v>934</v>
      </c>
      <c r="B15" s="71" t="s">
        <v>6</v>
      </c>
      <c r="C15" s="41" t="s">
        <v>1128</v>
      </c>
      <c r="D15" s="41" t="s">
        <v>1129</v>
      </c>
      <c r="E15" s="41" t="s">
        <v>1130</v>
      </c>
      <c r="F15" s="41" t="s">
        <v>1131</v>
      </c>
    </row>
    <row r="16" spans="1:6" x14ac:dyDescent="0.2">
      <c r="A16" s="72" t="s">
        <v>10</v>
      </c>
      <c r="B16">
        <f t="shared" ref="B16:B25" si="0">B3*(29/6)</f>
        <v>12834.093714236671</v>
      </c>
      <c r="C16" s="30">
        <v>-0.1</v>
      </c>
      <c r="D16" s="43">
        <f>B16*0.9</f>
        <v>11550.684342813005</v>
      </c>
      <c r="E16">
        <f>D16-B16</f>
        <v>-1283.409371423666</v>
      </c>
      <c r="F16">
        <f>(E16*32.846)</f>
        <v>-42154.86421378173</v>
      </c>
    </row>
    <row r="17" spans="1:6" x14ac:dyDescent="0.2">
      <c r="A17" s="72" t="s">
        <v>755</v>
      </c>
      <c r="B17">
        <f t="shared" si="0"/>
        <v>35625.900727083324</v>
      </c>
      <c r="C17" s="50">
        <v>-0.05</v>
      </c>
      <c r="D17">
        <f>B17*0.95</f>
        <v>33844.605690729157</v>
      </c>
      <c r="E17">
        <f t="shared" ref="E17:E18" si="1">D17-B17</f>
        <v>-1781.2950363541677</v>
      </c>
      <c r="F17">
        <f>(E17*4.188)</f>
        <v>-7460.0636122512533</v>
      </c>
    </row>
    <row r="18" spans="1:6" x14ac:dyDescent="0.2">
      <c r="A18" s="72" t="s">
        <v>773</v>
      </c>
      <c r="B18">
        <f t="shared" si="0"/>
        <v>14449.810525826948</v>
      </c>
      <c r="C18" s="50">
        <v>-0.05</v>
      </c>
      <c r="D18">
        <f>B18*0.95</f>
        <v>13727.319999535599</v>
      </c>
      <c r="E18">
        <f t="shared" si="1"/>
        <v>-722.49052629134894</v>
      </c>
      <c r="F18">
        <f>(E18*9.974)</f>
        <v>-7206.1205092299142</v>
      </c>
    </row>
    <row r="19" spans="1:6" x14ac:dyDescent="0.2">
      <c r="A19" s="72" t="s">
        <v>798</v>
      </c>
      <c r="B19">
        <f t="shared" si="0"/>
        <v>1628.5202933448375</v>
      </c>
      <c r="C19" s="50">
        <v>0.3</v>
      </c>
      <c r="D19">
        <f t="shared" ref="D19:D25" si="2">B19*1.3</f>
        <v>2117.0763813482886</v>
      </c>
      <c r="E19">
        <f>D19-B19</f>
        <v>488.55608800345112</v>
      </c>
      <c r="F19">
        <f>E19*1.664</f>
        <v>812.9573304377426</v>
      </c>
    </row>
    <row r="20" spans="1:6" x14ac:dyDescent="0.2">
      <c r="A20" s="72" t="s">
        <v>1101</v>
      </c>
      <c r="B20">
        <f t="shared" si="0"/>
        <v>3244.6974200666668</v>
      </c>
      <c r="C20" s="50">
        <v>0.3</v>
      </c>
      <c r="D20">
        <f t="shared" si="2"/>
        <v>4218.1066460866668</v>
      </c>
      <c r="E20">
        <f t="shared" ref="E20:E25" si="3">D20-B20</f>
        <v>973.40922602000001</v>
      </c>
      <c r="F20">
        <f>E20*0.308</f>
        <v>299.81004161416001</v>
      </c>
    </row>
    <row r="21" spans="1:6" x14ac:dyDescent="0.2">
      <c r="A21" s="72" t="s">
        <v>1124</v>
      </c>
      <c r="B21">
        <f t="shared" si="0"/>
        <v>8024.0490252999998</v>
      </c>
      <c r="C21" s="50">
        <v>0.3</v>
      </c>
      <c r="D21">
        <f t="shared" si="2"/>
        <v>10431.26373289</v>
      </c>
      <c r="E21">
        <f t="shared" si="3"/>
        <v>2407.2147075900002</v>
      </c>
      <c r="F21">
        <f>E21*0.491</f>
        <v>1181.9424214266901</v>
      </c>
    </row>
    <row r="22" spans="1:6" x14ac:dyDescent="0.2">
      <c r="A22" s="72" t="s">
        <v>1125</v>
      </c>
      <c r="B22">
        <f t="shared" si="0"/>
        <v>105.23342984</v>
      </c>
      <c r="C22" s="50">
        <v>0.3</v>
      </c>
      <c r="D22">
        <f t="shared" si="2"/>
        <v>136.80345879200001</v>
      </c>
      <c r="E22">
        <f t="shared" si="3"/>
        <v>31.570028952000015</v>
      </c>
      <c r="F22">
        <f>E22*0.347</f>
        <v>10.954800046344005</v>
      </c>
    </row>
    <row r="23" spans="1:6" x14ac:dyDescent="0.2">
      <c r="A23" s="72" t="s">
        <v>1104</v>
      </c>
      <c r="B23">
        <f t="shared" si="0"/>
        <v>526.16714920000004</v>
      </c>
      <c r="C23" s="50">
        <v>0.3</v>
      </c>
      <c r="D23">
        <f t="shared" si="2"/>
        <v>684.01729396000007</v>
      </c>
      <c r="E23">
        <f t="shared" si="3"/>
        <v>157.85014476000003</v>
      </c>
      <c r="F23">
        <f>E23*3.527</f>
        <v>556.73746056852019</v>
      </c>
    </row>
    <row r="24" spans="1:6" x14ac:dyDescent="0.2">
      <c r="A24" s="72" t="s">
        <v>313</v>
      </c>
      <c r="B24">
        <f t="shared" si="0"/>
        <v>3676.5929550350015</v>
      </c>
      <c r="C24" s="50">
        <v>0.3</v>
      </c>
      <c r="D24">
        <f t="shared" si="2"/>
        <v>4779.5708415455019</v>
      </c>
      <c r="E24">
        <f t="shared" si="3"/>
        <v>1102.9778865105004</v>
      </c>
      <c r="F24">
        <f>E24*3.527</f>
        <v>3890.2030057225352</v>
      </c>
    </row>
    <row r="25" spans="1:6" x14ac:dyDescent="0.2">
      <c r="A25" s="70" t="s">
        <v>1126</v>
      </c>
      <c r="B25" s="41">
        <f t="shared" si="0"/>
        <v>3940.7727111958329</v>
      </c>
      <c r="C25" s="73">
        <v>0.3</v>
      </c>
      <c r="D25" s="41">
        <f t="shared" si="2"/>
        <v>5123.0045245545825</v>
      </c>
      <c r="E25" s="41">
        <f t="shared" si="3"/>
        <v>1182.2318133587496</v>
      </c>
      <c r="F25" s="41">
        <f>E25*0.258</f>
        <v>305.01580784655738</v>
      </c>
    </row>
    <row r="26" spans="1:6" x14ac:dyDescent="0.2">
      <c r="A26" s="74" t="s">
        <v>1132</v>
      </c>
      <c r="C26" s="50"/>
      <c r="F26" s="7">
        <f>SUM(F16:F25)</f>
        <v>-49763.427467600348</v>
      </c>
    </row>
    <row r="27" spans="1:6" x14ac:dyDescent="0.2">
      <c r="C27" s="50"/>
    </row>
    <row r="28" spans="1:6" x14ac:dyDescent="0.2">
      <c r="C28" s="50"/>
    </row>
    <row r="47" spans="3:3" x14ac:dyDescent="0.2">
      <c r="C47" s="50"/>
    </row>
    <row r="48" spans="3:3" x14ac:dyDescent="0.2">
      <c r="C48" s="50"/>
    </row>
    <row r="49" spans="3:3" x14ac:dyDescent="0.2">
      <c r="C49" s="50"/>
    </row>
    <row r="50" spans="3:3" x14ac:dyDescent="0.2">
      <c r="C50" s="50"/>
    </row>
    <row r="51" spans="3:3" x14ac:dyDescent="0.2">
      <c r="C51" s="50"/>
    </row>
    <row r="52" spans="3:3" x14ac:dyDescent="0.2">
      <c r="C52" s="50"/>
    </row>
    <row r="53" spans="3:3" x14ac:dyDescent="0.2">
      <c r="C53" s="50"/>
    </row>
    <row r="54" spans="3:3" x14ac:dyDescent="0.2">
      <c r="C54" s="50"/>
    </row>
    <row r="55" spans="3:3" x14ac:dyDescent="0.2">
      <c r="C55" s="50"/>
    </row>
    <row r="56" spans="3:3" x14ac:dyDescent="0.2">
      <c r="C56" s="50"/>
    </row>
    <row r="57" spans="3:3" x14ac:dyDescent="0.2">
      <c r="C57" s="50"/>
    </row>
    <row r="58" spans="3:3" x14ac:dyDescent="0.2">
      <c r="C58" s="50"/>
    </row>
    <row r="59" spans="3:3" x14ac:dyDescent="0.2">
      <c r="C59" s="50"/>
    </row>
    <row r="60" spans="3:3" x14ac:dyDescent="0.2">
      <c r="C60" s="50"/>
    </row>
    <row r="61" spans="3:3" x14ac:dyDescent="0.2">
      <c r="C61" s="50"/>
    </row>
    <row r="62" spans="3:3" x14ac:dyDescent="0.2">
      <c r="C62" s="50"/>
    </row>
    <row r="63" spans="3:3" x14ac:dyDescent="0.2">
      <c r="C63" s="50"/>
    </row>
    <row r="64" spans="3:3" x14ac:dyDescent="0.2">
      <c r="C64" s="50"/>
    </row>
    <row r="65" spans="3:3" x14ac:dyDescent="0.2">
      <c r="C65" s="50"/>
    </row>
    <row r="66" spans="3:3" x14ac:dyDescent="0.2">
      <c r="C66" s="50"/>
    </row>
    <row r="67" spans="3:3" x14ac:dyDescent="0.2">
      <c r="C67" s="50"/>
    </row>
    <row r="68" spans="3:3" x14ac:dyDescent="0.2">
      <c r="C68" s="50"/>
    </row>
    <row r="69" spans="3:3" x14ac:dyDescent="0.2">
      <c r="C69" s="50"/>
    </row>
    <row r="70" spans="3:3" x14ac:dyDescent="0.2">
      <c r="C70" s="50"/>
    </row>
    <row r="71" spans="3:3" x14ac:dyDescent="0.2">
      <c r="C71" s="50"/>
    </row>
    <row r="72" spans="3:3" x14ac:dyDescent="0.2">
      <c r="C72" s="50"/>
    </row>
    <row r="73" spans="3:3" x14ac:dyDescent="0.2">
      <c r="C73" s="50"/>
    </row>
    <row r="74" spans="3:3" x14ac:dyDescent="0.2">
      <c r="C74" s="50"/>
    </row>
    <row r="75" spans="3:3" x14ac:dyDescent="0.2">
      <c r="C75" s="50"/>
    </row>
    <row r="76" spans="3:3" x14ac:dyDescent="0.2">
      <c r="C76" s="50"/>
    </row>
    <row r="77" spans="3:3" x14ac:dyDescent="0.2">
      <c r="C77" s="50"/>
    </row>
    <row r="78" spans="3:3" x14ac:dyDescent="0.2">
      <c r="C78" s="50"/>
    </row>
    <row r="79" spans="3:3" x14ac:dyDescent="0.2">
      <c r="C79" s="50"/>
    </row>
    <row r="80" spans="3:3" x14ac:dyDescent="0.2">
      <c r="C80" s="50"/>
    </row>
    <row r="81" spans="3:3" x14ac:dyDescent="0.2">
      <c r="C81" s="50"/>
    </row>
    <row r="82" spans="3:3" x14ac:dyDescent="0.2">
      <c r="C82" s="50"/>
    </row>
    <row r="83" spans="3:3" x14ac:dyDescent="0.2">
      <c r="C83" s="50"/>
    </row>
    <row r="84" spans="3:3" x14ac:dyDescent="0.2">
      <c r="C84" s="50"/>
    </row>
    <row r="85" spans="3:3" x14ac:dyDescent="0.2">
      <c r="C85" s="50"/>
    </row>
    <row r="86" spans="3:3" x14ac:dyDescent="0.2">
      <c r="C86" s="50"/>
    </row>
    <row r="87" spans="3:3" x14ac:dyDescent="0.2">
      <c r="C87" s="50"/>
    </row>
    <row r="88" spans="3:3" x14ac:dyDescent="0.2">
      <c r="C88" s="50"/>
    </row>
    <row r="89" spans="3:3" x14ac:dyDescent="0.2">
      <c r="C89" s="50"/>
    </row>
    <row r="90" spans="3:3" x14ac:dyDescent="0.2">
      <c r="C90" s="50"/>
    </row>
    <row r="91" spans="3:3" x14ac:dyDescent="0.2">
      <c r="C91" s="50"/>
    </row>
    <row r="92" spans="3:3" x14ac:dyDescent="0.2">
      <c r="C92" s="50"/>
    </row>
    <row r="93" spans="3:3" x14ac:dyDescent="0.2">
      <c r="C93" s="50"/>
    </row>
    <row r="94" spans="3:3" x14ac:dyDescent="0.2">
      <c r="C94" s="50"/>
    </row>
    <row r="95" spans="3:3" x14ac:dyDescent="0.2">
      <c r="C95" s="50"/>
    </row>
    <row r="96" spans="3:3" x14ac:dyDescent="0.2">
      <c r="C96" s="50"/>
    </row>
    <row r="97" spans="3:3" x14ac:dyDescent="0.2">
      <c r="C97" s="50"/>
    </row>
    <row r="98" spans="3:3" x14ac:dyDescent="0.2">
      <c r="C98" s="50"/>
    </row>
    <row r="99" spans="3:3" x14ac:dyDescent="0.2">
      <c r="C99" s="50"/>
    </row>
    <row r="100" spans="3:3" x14ac:dyDescent="0.2">
      <c r="C100" s="50"/>
    </row>
    <row r="101" spans="3:3" x14ac:dyDescent="0.2">
      <c r="C101" s="50"/>
    </row>
    <row r="102" spans="3:3" x14ac:dyDescent="0.2">
      <c r="C102" s="50"/>
    </row>
    <row r="103" spans="3:3" x14ac:dyDescent="0.2">
      <c r="C103" s="50"/>
    </row>
    <row r="104" spans="3:3" x14ac:dyDescent="0.2">
      <c r="C104" s="50"/>
    </row>
    <row r="105" spans="3:3" x14ac:dyDescent="0.2">
      <c r="C105" s="50"/>
    </row>
    <row r="106" spans="3:3" x14ac:dyDescent="0.2">
      <c r="C106" s="50"/>
    </row>
    <row r="107" spans="3:3" x14ac:dyDescent="0.2">
      <c r="C107" s="50"/>
    </row>
    <row r="108" spans="3:3" x14ac:dyDescent="0.2">
      <c r="C108" s="50"/>
    </row>
    <row r="109" spans="3:3" x14ac:dyDescent="0.2">
      <c r="C109" s="50"/>
    </row>
    <row r="110" spans="3:3" x14ac:dyDescent="0.2">
      <c r="C110" s="50"/>
    </row>
    <row r="111" spans="3:3" x14ac:dyDescent="0.2">
      <c r="C111" s="50"/>
    </row>
    <row r="112" spans="3:3" x14ac:dyDescent="0.2">
      <c r="C112" s="50"/>
    </row>
    <row r="113" spans="3:3" x14ac:dyDescent="0.2">
      <c r="C113" s="50"/>
    </row>
    <row r="114" spans="3:3" x14ac:dyDescent="0.2">
      <c r="C114" s="50"/>
    </row>
    <row r="115" spans="3:3" x14ac:dyDescent="0.2">
      <c r="C115" s="50"/>
    </row>
    <row r="116" spans="3:3" x14ac:dyDescent="0.2">
      <c r="C116" s="50"/>
    </row>
    <row r="117" spans="3:3" x14ac:dyDescent="0.2">
      <c r="C117" s="50"/>
    </row>
    <row r="118" spans="3:3" x14ac:dyDescent="0.2">
      <c r="C118" s="50"/>
    </row>
    <row r="119" spans="3:3" x14ac:dyDescent="0.2">
      <c r="C119" s="50"/>
    </row>
    <row r="120" spans="3:3" x14ac:dyDescent="0.2">
      <c r="C120" s="50"/>
    </row>
    <row r="121" spans="3:3" x14ac:dyDescent="0.2">
      <c r="C121" s="50"/>
    </row>
    <row r="122" spans="3:3" x14ac:dyDescent="0.2">
      <c r="C122" s="50"/>
    </row>
    <row r="123" spans="3:3" x14ac:dyDescent="0.2">
      <c r="C123" s="50"/>
    </row>
    <row r="124" spans="3:3" x14ac:dyDescent="0.2">
      <c r="C124" s="50"/>
    </row>
    <row r="125" spans="3:3" x14ac:dyDescent="0.2">
      <c r="C125" s="50"/>
    </row>
    <row r="126" spans="3:3" x14ac:dyDescent="0.2">
      <c r="C126" s="50"/>
    </row>
    <row r="127" spans="3:3" x14ac:dyDescent="0.2">
      <c r="C127" s="50"/>
    </row>
    <row r="128" spans="3:3" x14ac:dyDescent="0.2">
      <c r="C128" s="50"/>
    </row>
    <row r="129" spans="3:3" x14ac:dyDescent="0.2">
      <c r="C129" s="50"/>
    </row>
    <row r="130" spans="3:3" x14ac:dyDescent="0.2">
      <c r="C130" s="50"/>
    </row>
    <row r="131" spans="3:3" x14ac:dyDescent="0.2">
      <c r="C131" s="50"/>
    </row>
    <row r="132" spans="3:3" x14ac:dyDescent="0.2">
      <c r="C132" s="50"/>
    </row>
    <row r="133" spans="3:3" x14ac:dyDescent="0.2">
      <c r="C133" s="50"/>
    </row>
    <row r="134" spans="3:3" x14ac:dyDescent="0.2">
      <c r="C134" s="50"/>
    </row>
    <row r="135" spans="3:3" x14ac:dyDescent="0.2">
      <c r="C135" s="50"/>
    </row>
    <row r="136" spans="3:3" x14ac:dyDescent="0.2">
      <c r="C136" s="50"/>
    </row>
    <row r="137" spans="3:3" x14ac:dyDescent="0.2">
      <c r="C137" s="50"/>
    </row>
    <row r="138" spans="3:3" x14ac:dyDescent="0.2">
      <c r="C138" s="50"/>
    </row>
    <row r="139" spans="3:3" x14ac:dyDescent="0.2">
      <c r="C139" s="50"/>
    </row>
    <row r="140" spans="3:3" x14ac:dyDescent="0.2">
      <c r="C140" s="50"/>
    </row>
    <row r="141" spans="3:3" x14ac:dyDescent="0.2">
      <c r="C141" s="50"/>
    </row>
    <row r="142" spans="3:3" x14ac:dyDescent="0.2">
      <c r="C142" s="50"/>
    </row>
    <row r="143" spans="3:3" x14ac:dyDescent="0.2">
      <c r="C143" s="50"/>
    </row>
    <row r="144" spans="3:3" x14ac:dyDescent="0.2">
      <c r="C144" s="50"/>
    </row>
    <row r="145" spans="3:3" x14ac:dyDescent="0.2">
      <c r="C145" s="50"/>
    </row>
    <row r="146" spans="3:3" x14ac:dyDescent="0.2">
      <c r="C146" s="50"/>
    </row>
    <row r="147" spans="3:3" x14ac:dyDescent="0.2">
      <c r="C147" s="50"/>
    </row>
    <row r="148" spans="3:3" x14ac:dyDescent="0.2">
      <c r="C148" s="50"/>
    </row>
    <row r="149" spans="3:3" x14ac:dyDescent="0.2">
      <c r="C149" s="50"/>
    </row>
    <row r="150" spans="3:3" x14ac:dyDescent="0.2">
      <c r="C150" s="50"/>
    </row>
    <row r="151" spans="3:3" x14ac:dyDescent="0.2">
      <c r="C151" s="50"/>
    </row>
    <row r="152" spans="3:3" x14ac:dyDescent="0.2">
      <c r="C152" s="50"/>
    </row>
    <row r="153" spans="3:3" x14ac:dyDescent="0.2">
      <c r="C153" s="50"/>
    </row>
    <row r="154" spans="3:3" x14ac:dyDescent="0.2">
      <c r="C154" s="50"/>
    </row>
    <row r="155" spans="3:3" x14ac:dyDescent="0.2">
      <c r="C155" s="50"/>
    </row>
    <row r="156" spans="3:3" x14ac:dyDescent="0.2">
      <c r="C156" s="50"/>
    </row>
    <row r="157" spans="3:3" x14ac:dyDescent="0.2">
      <c r="C157" s="50"/>
    </row>
    <row r="158" spans="3:3" x14ac:dyDescent="0.2">
      <c r="C158" s="50"/>
    </row>
    <row r="159" spans="3:3" x14ac:dyDescent="0.2">
      <c r="C159" s="50"/>
    </row>
    <row r="160" spans="3:3" x14ac:dyDescent="0.2">
      <c r="C160" s="50"/>
    </row>
    <row r="161" spans="3:3" x14ac:dyDescent="0.2">
      <c r="C161" s="50"/>
    </row>
    <row r="162" spans="3:3" x14ac:dyDescent="0.2">
      <c r="C162" s="50"/>
    </row>
    <row r="163" spans="3:3" x14ac:dyDescent="0.2">
      <c r="C163" s="50"/>
    </row>
    <row r="164" spans="3:3" x14ac:dyDescent="0.2">
      <c r="C164" s="50"/>
    </row>
    <row r="165" spans="3:3" x14ac:dyDescent="0.2">
      <c r="C165" s="50"/>
    </row>
    <row r="166" spans="3:3" x14ac:dyDescent="0.2">
      <c r="C166" s="50"/>
    </row>
    <row r="167" spans="3:3" x14ac:dyDescent="0.2">
      <c r="C167" s="50"/>
    </row>
    <row r="168" spans="3:3" x14ac:dyDescent="0.2">
      <c r="C168" s="50"/>
    </row>
    <row r="169" spans="3:3" x14ac:dyDescent="0.2">
      <c r="C169" s="50"/>
    </row>
    <row r="170" spans="3:3" x14ac:dyDescent="0.2">
      <c r="C170" s="50"/>
    </row>
    <row r="171" spans="3:3" x14ac:dyDescent="0.2">
      <c r="C171" s="50"/>
    </row>
    <row r="172" spans="3:3" x14ac:dyDescent="0.2">
      <c r="C172" s="50"/>
    </row>
    <row r="173" spans="3:3" x14ac:dyDescent="0.2">
      <c r="C173" s="50"/>
    </row>
    <row r="174" spans="3:3" x14ac:dyDescent="0.2">
      <c r="C174" s="50"/>
    </row>
    <row r="175" spans="3:3" x14ac:dyDescent="0.2">
      <c r="C175" s="50"/>
    </row>
    <row r="176" spans="3:3" x14ac:dyDescent="0.2">
      <c r="C176" s="50"/>
    </row>
    <row r="177" spans="3:3" x14ac:dyDescent="0.2">
      <c r="C177" s="50"/>
    </row>
    <row r="178" spans="3:3" x14ac:dyDescent="0.2">
      <c r="C178" s="50"/>
    </row>
    <row r="179" spans="3:3" x14ac:dyDescent="0.2">
      <c r="C179" s="50"/>
    </row>
    <row r="180" spans="3:3" x14ac:dyDescent="0.2">
      <c r="C180" s="50"/>
    </row>
    <row r="181" spans="3:3" x14ac:dyDescent="0.2">
      <c r="C181" s="50"/>
    </row>
    <row r="182" spans="3:3" x14ac:dyDescent="0.2">
      <c r="C182" s="50"/>
    </row>
    <row r="183" spans="3:3" x14ac:dyDescent="0.2">
      <c r="C183" s="50"/>
    </row>
    <row r="184" spans="3:3" x14ac:dyDescent="0.2">
      <c r="C184" s="50"/>
    </row>
    <row r="185" spans="3:3" x14ac:dyDescent="0.2">
      <c r="C185" s="50"/>
    </row>
    <row r="186" spans="3:3" x14ac:dyDescent="0.2">
      <c r="C186" s="50"/>
    </row>
    <row r="187" spans="3:3" x14ac:dyDescent="0.2">
      <c r="C187" s="50"/>
    </row>
    <row r="188" spans="3:3" x14ac:dyDescent="0.2">
      <c r="C188" s="50"/>
    </row>
    <row r="189" spans="3:3" x14ac:dyDescent="0.2">
      <c r="C189" s="50"/>
    </row>
    <row r="190" spans="3:3" x14ac:dyDescent="0.2">
      <c r="C190" s="50"/>
    </row>
    <row r="191" spans="3:3" x14ac:dyDescent="0.2">
      <c r="C191" s="50"/>
    </row>
    <row r="192" spans="3:3" x14ac:dyDescent="0.2">
      <c r="C192" s="50"/>
    </row>
    <row r="193" spans="3:3" x14ac:dyDescent="0.2">
      <c r="C193" s="50"/>
    </row>
    <row r="194" spans="3:3" x14ac:dyDescent="0.2">
      <c r="C194" s="50"/>
    </row>
    <row r="195" spans="3:3" x14ac:dyDescent="0.2">
      <c r="C195" s="50"/>
    </row>
    <row r="196" spans="3:3" x14ac:dyDescent="0.2">
      <c r="C196" s="50"/>
    </row>
    <row r="197" spans="3:3" x14ac:dyDescent="0.2">
      <c r="C197" s="50"/>
    </row>
    <row r="198" spans="3:3" x14ac:dyDescent="0.2">
      <c r="C198" s="50"/>
    </row>
    <row r="199" spans="3:3" x14ac:dyDescent="0.2">
      <c r="C199" s="50"/>
    </row>
    <row r="200" spans="3:3" x14ac:dyDescent="0.2">
      <c r="C200" s="50"/>
    </row>
    <row r="201" spans="3:3" x14ac:dyDescent="0.2">
      <c r="C201" s="50"/>
    </row>
    <row r="202" spans="3:3" x14ac:dyDescent="0.2">
      <c r="C202" s="50"/>
    </row>
    <row r="203" spans="3:3" x14ac:dyDescent="0.2">
      <c r="C203" s="50"/>
    </row>
    <row r="204" spans="3:3" x14ac:dyDescent="0.2">
      <c r="C204" s="50"/>
    </row>
    <row r="205" spans="3:3" x14ac:dyDescent="0.2">
      <c r="C205" s="50"/>
    </row>
    <row r="206" spans="3:3" x14ac:dyDescent="0.2">
      <c r="C206" s="50"/>
    </row>
    <row r="207" spans="3:3" x14ac:dyDescent="0.2">
      <c r="C207" s="50"/>
    </row>
    <row r="208" spans="3:3" x14ac:dyDescent="0.2">
      <c r="C208" s="50"/>
    </row>
    <row r="209" spans="3:3" x14ac:dyDescent="0.2">
      <c r="C209" s="50"/>
    </row>
    <row r="210" spans="3:3" x14ac:dyDescent="0.2">
      <c r="C210" s="50"/>
    </row>
    <row r="211" spans="3:3" x14ac:dyDescent="0.2">
      <c r="C211" s="50"/>
    </row>
    <row r="212" spans="3:3" x14ac:dyDescent="0.2">
      <c r="C212" s="50"/>
    </row>
    <row r="213" spans="3:3" x14ac:dyDescent="0.2">
      <c r="C213" s="50"/>
    </row>
    <row r="214" spans="3:3" x14ac:dyDescent="0.2">
      <c r="C214" s="50"/>
    </row>
    <row r="215" spans="3:3" x14ac:dyDescent="0.2">
      <c r="C215" s="50"/>
    </row>
    <row r="216" spans="3:3" x14ac:dyDescent="0.2">
      <c r="C216" s="50"/>
    </row>
    <row r="217" spans="3:3" x14ac:dyDescent="0.2">
      <c r="C217" s="50"/>
    </row>
    <row r="218" spans="3:3" x14ac:dyDescent="0.2">
      <c r="C218" s="50"/>
    </row>
    <row r="219" spans="3:3" x14ac:dyDescent="0.2">
      <c r="C219" s="50"/>
    </row>
    <row r="220" spans="3:3" x14ac:dyDescent="0.2">
      <c r="C220" s="50"/>
    </row>
    <row r="221" spans="3:3" x14ac:dyDescent="0.2">
      <c r="C221" s="50"/>
    </row>
    <row r="222" spans="3:3" x14ac:dyDescent="0.2">
      <c r="C222" s="50"/>
    </row>
    <row r="223" spans="3:3" x14ac:dyDescent="0.2">
      <c r="C223" s="50"/>
    </row>
    <row r="224" spans="3:3" x14ac:dyDescent="0.2">
      <c r="C224" s="50"/>
    </row>
    <row r="225" spans="3:3" x14ac:dyDescent="0.2">
      <c r="C225" s="50"/>
    </row>
    <row r="226" spans="3:3" x14ac:dyDescent="0.2">
      <c r="C226" s="50"/>
    </row>
    <row r="227" spans="3:3" x14ac:dyDescent="0.2">
      <c r="C227" s="50"/>
    </row>
    <row r="228" spans="3:3" x14ac:dyDescent="0.2">
      <c r="C228" s="50"/>
    </row>
    <row r="229" spans="3:3" x14ac:dyDescent="0.2">
      <c r="C229" s="50"/>
    </row>
    <row r="230" spans="3:3" x14ac:dyDescent="0.2">
      <c r="C230" s="50"/>
    </row>
    <row r="231" spans="3:3" x14ac:dyDescent="0.2">
      <c r="C231" s="50"/>
    </row>
    <row r="232" spans="3:3" x14ac:dyDescent="0.2">
      <c r="C232" s="50"/>
    </row>
  </sheetData>
  <mergeCells count="2">
    <mergeCell ref="A1:C1"/>
    <mergeCell ref="A14:F14"/>
  </mergeCells>
  <phoneticPr fontId="12" type="noConversion"/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F241"/>
  <sheetViews>
    <sheetView workbookViewId="0">
      <selection activeCell="D38" sqref="D38"/>
    </sheetView>
  </sheetViews>
  <sheetFormatPr baseColWidth="10" defaultRowHeight="16" x14ac:dyDescent="0.2"/>
  <cols>
    <col min="1" max="1" width="16.6640625" bestFit="1" customWidth="1"/>
    <col min="2" max="2" width="18.33203125" customWidth="1"/>
    <col min="3" max="3" width="24.5" bestFit="1" customWidth="1"/>
    <col min="4" max="4" width="32" customWidth="1"/>
    <col min="5" max="5" width="19.5" customWidth="1"/>
    <col min="6" max="6" width="32.1640625" customWidth="1"/>
  </cols>
  <sheetData>
    <row r="1" spans="1:6" x14ac:dyDescent="0.2">
      <c r="A1" s="96" t="s">
        <v>1122</v>
      </c>
      <c r="B1" s="96"/>
      <c r="C1" s="96"/>
    </row>
    <row r="2" spans="1:6" x14ac:dyDescent="0.2">
      <c r="A2" t="s">
        <v>1069</v>
      </c>
      <c r="B2" t="s">
        <v>1076</v>
      </c>
      <c r="C2" t="s">
        <v>1123</v>
      </c>
    </row>
    <row r="3" spans="1:6" x14ac:dyDescent="0.2">
      <c r="A3" t="s">
        <v>10</v>
      </c>
      <c r="B3">
        <v>2655.329733980001</v>
      </c>
      <c r="C3" s="50">
        <v>0.28455766106541491</v>
      </c>
    </row>
    <row r="4" spans="1:6" x14ac:dyDescent="0.2">
      <c r="A4" t="s">
        <v>755</v>
      </c>
      <c r="B4">
        <v>7370.8760124999981</v>
      </c>
      <c r="C4" s="50">
        <v>0.1007152219556864</v>
      </c>
    </row>
    <row r="5" spans="1:6" x14ac:dyDescent="0.2">
      <c r="A5" t="s">
        <v>773</v>
      </c>
      <c r="B5">
        <v>2989.6159708607479</v>
      </c>
      <c r="C5" s="50">
        <v>9.7286841540416447E-2</v>
      </c>
    </row>
    <row r="6" spans="1:6" x14ac:dyDescent="0.2">
      <c r="A6" t="s">
        <v>843</v>
      </c>
      <c r="B6">
        <v>4229.74885025</v>
      </c>
      <c r="C6" s="50">
        <v>5.1805776144910103E-2</v>
      </c>
    </row>
    <row r="7" spans="1:6" x14ac:dyDescent="0.2">
      <c r="A7" t="s">
        <v>756</v>
      </c>
      <c r="B7">
        <v>428.19573320370006</v>
      </c>
      <c r="C7" s="50">
        <v>4.8540471070319217E-2</v>
      </c>
    </row>
    <row r="8" spans="1:6" x14ac:dyDescent="0.2">
      <c r="A8" t="s">
        <v>15</v>
      </c>
      <c r="B8">
        <v>2489.7775907774012</v>
      </c>
      <c r="C8" s="50">
        <v>4.5165277260491694E-2</v>
      </c>
    </row>
    <row r="9" spans="1:6" x14ac:dyDescent="0.2">
      <c r="A9" t="s">
        <v>774</v>
      </c>
      <c r="B9">
        <v>6587.7034264579988</v>
      </c>
      <c r="C9" s="50">
        <v>2.643677568287409E-2</v>
      </c>
    </row>
    <row r="10" spans="1:6" x14ac:dyDescent="0.2">
      <c r="A10" t="s">
        <v>861</v>
      </c>
      <c r="B10">
        <v>4999.7218983249986</v>
      </c>
      <c r="C10" s="50">
        <v>2.6262801994718234E-2</v>
      </c>
    </row>
    <row r="11" spans="1:6" x14ac:dyDescent="0.2">
      <c r="A11" t="s">
        <v>875</v>
      </c>
      <c r="B11">
        <v>1336.2831220200001</v>
      </c>
      <c r="C11" s="50">
        <v>2.6115277244139277E-2</v>
      </c>
    </row>
    <row r="12" spans="1:6" x14ac:dyDescent="0.2">
      <c r="A12" t="s">
        <v>889</v>
      </c>
      <c r="B12">
        <v>217.72433760000001</v>
      </c>
      <c r="C12" s="50">
        <v>2.3332367152613449E-2</v>
      </c>
    </row>
    <row r="13" spans="1:6" x14ac:dyDescent="0.2">
      <c r="A13" t="s">
        <v>980</v>
      </c>
      <c r="B13">
        <v>2050.032162062254</v>
      </c>
      <c r="C13" s="50">
        <v>2.2272770564836022E-2</v>
      </c>
    </row>
    <row r="14" spans="1:6" x14ac:dyDescent="0.2">
      <c r="A14" s="41" t="s">
        <v>950</v>
      </c>
      <c r="B14" s="41">
        <v>1618.3177858386009</v>
      </c>
      <c r="C14" s="73">
        <v>2.0266284127400658E-2</v>
      </c>
    </row>
    <row r="15" spans="1:6" x14ac:dyDescent="0.2">
      <c r="A15" t="s">
        <v>798</v>
      </c>
      <c r="B15" s="65">
        <v>336.93523310582844</v>
      </c>
      <c r="C15" s="69">
        <v>1.8292332396262956E-3</v>
      </c>
    </row>
    <row r="16" spans="1:6" x14ac:dyDescent="0.2">
      <c r="A16" t="s">
        <v>1101</v>
      </c>
      <c r="B16">
        <v>671.31670760000009</v>
      </c>
      <c r="C16" s="51">
        <v>6.3813685559168309E-4</v>
      </c>
      <c r="E16" s="45"/>
      <c r="F16" s="51"/>
    </row>
    <row r="17" spans="1:6" x14ac:dyDescent="0.2">
      <c r="A17" t="s">
        <v>1124</v>
      </c>
      <c r="B17" s="45">
        <v>1660.1480742000001</v>
      </c>
      <c r="C17" s="51">
        <v>2.6594856625918126E-3</v>
      </c>
      <c r="E17" s="45"/>
      <c r="F17" s="51"/>
    </row>
    <row r="18" spans="1:6" x14ac:dyDescent="0.2">
      <c r="A18" t="s">
        <v>1125</v>
      </c>
      <c r="B18" s="45">
        <v>21.772433760000002</v>
      </c>
      <c r="C18" s="51">
        <v>2.46493679655266E-5</v>
      </c>
    </row>
    <row r="19" spans="1:6" x14ac:dyDescent="0.2">
      <c r="A19" t="s">
        <v>1104</v>
      </c>
      <c r="B19" s="45">
        <v>108.86216880000002</v>
      </c>
      <c r="C19" s="51">
        <v>1.252713556403636E-3</v>
      </c>
      <c r="E19" s="45"/>
      <c r="F19" s="51"/>
    </row>
    <row r="20" spans="1:6" x14ac:dyDescent="0.2">
      <c r="A20" t="s">
        <v>313</v>
      </c>
      <c r="B20" s="45">
        <v>760.67440449000037</v>
      </c>
      <c r="C20" s="51">
        <v>7.6762314068105093E-3</v>
      </c>
    </row>
    <row r="21" spans="1:6" x14ac:dyDescent="0.2">
      <c r="A21" t="s">
        <v>1126</v>
      </c>
      <c r="B21">
        <v>815.33228507499996</v>
      </c>
      <c r="C21" s="50">
        <v>6.8631530024332332E-4</v>
      </c>
    </row>
    <row r="22" spans="1:6" x14ac:dyDescent="0.2">
      <c r="C22" s="50"/>
    </row>
    <row r="23" spans="1:6" x14ac:dyDescent="0.2">
      <c r="A23" s="96" t="s">
        <v>1133</v>
      </c>
      <c r="B23" s="96"/>
      <c r="C23" s="96"/>
      <c r="D23" s="96"/>
      <c r="E23" s="96"/>
      <c r="F23" s="96"/>
    </row>
    <row r="24" spans="1:6" x14ac:dyDescent="0.2">
      <c r="A24" s="70" t="s">
        <v>934</v>
      </c>
      <c r="B24" s="41" t="s">
        <v>1076</v>
      </c>
      <c r="C24" s="41" t="s">
        <v>1134</v>
      </c>
      <c r="D24" s="41" t="s">
        <v>1129</v>
      </c>
      <c r="E24" s="41" t="s">
        <v>1130</v>
      </c>
      <c r="F24" s="41" t="s">
        <v>1131</v>
      </c>
    </row>
    <row r="25" spans="1:6" x14ac:dyDescent="0.2">
      <c r="A25" s="72" t="s">
        <v>10</v>
      </c>
      <c r="B25">
        <f>B3*(29/6)</f>
        <v>12834.093714236671</v>
      </c>
      <c r="C25" s="30">
        <v>-0.1</v>
      </c>
      <c r="D25" s="43">
        <f>B25*0.9</f>
        <v>11550.684342813005</v>
      </c>
      <c r="E25">
        <f>D25-B25</f>
        <v>-1283.409371423666</v>
      </c>
      <c r="F25">
        <f>(E25*32.846)</f>
        <v>-42154.86421378173</v>
      </c>
    </row>
    <row r="26" spans="1:6" x14ac:dyDescent="0.2">
      <c r="A26" s="72" t="s">
        <v>755</v>
      </c>
      <c r="B26">
        <f t="shared" ref="B26:B27" si="0">B4*(29/6)</f>
        <v>35625.900727083324</v>
      </c>
      <c r="C26" s="50">
        <v>-0.05</v>
      </c>
      <c r="D26">
        <f>B26*0.95</f>
        <v>33844.605690729157</v>
      </c>
      <c r="E26">
        <f t="shared" ref="E26:E27" si="1">D26-B26</f>
        <v>-1781.2950363541677</v>
      </c>
      <c r="F26">
        <f>(E26*4.188)</f>
        <v>-7460.0636122512533</v>
      </c>
    </row>
    <row r="27" spans="1:6" x14ac:dyDescent="0.2">
      <c r="A27" s="72" t="s">
        <v>773</v>
      </c>
      <c r="B27">
        <f t="shared" si="0"/>
        <v>14449.810525826948</v>
      </c>
      <c r="C27" s="50">
        <v>-0.05</v>
      </c>
      <c r="D27">
        <f>B27*0.95</f>
        <v>13727.319999535599</v>
      </c>
      <c r="E27">
        <f t="shared" si="1"/>
        <v>-722.49052629134894</v>
      </c>
      <c r="F27">
        <f>(E27*9.974)</f>
        <v>-7206.1205092299142</v>
      </c>
    </row>
    <row r="28" spans="1:6" x14ac:dyDescent="0.2">
      <c r="A28" s="72" t="s">
        <v>798</v>
      </c>
      <c r="B28">
        <f t="shared" ref="B28:B34" si="2">B15*(29/6)</f>
        <v>1628.5202933448375</v>
      </c>
      <c r="C28" s="50">
        <v>0.5</v>
      </c>
      <c r="D28">
        <f>B28*1.5</f>
        <v>2442.7804400172563</v>
      </c>
      <c r="E28">
        <f>D28-B28</f>
        <v>814.26014667241884</v>
      </c>
      <c r="F28">
        <f>E28*1.664</f>
        <v>1354.9288840629049</v>
      </c>
    </row>
    <row r="29" spans="1:6" x14ac:dyDescent="0.2">
      <c r="A29" s="72" t="s">
        <v>1101</v>
      </c>
      <c r="B29">
        <f t="shared" si="2"/>
        <v>3244.6974200666668</v>
      </c>
      <c r="C29" s="50">
        <v>1</v>
      </c>
      <c r="D29">
        <f>B29*2</f>
        <v>6489.3948401333337</v>
      </c>
      <c r="E29">
        <f t="shared" ref="E29:E34" si="3">D29-B29</f>
        <v>3244.6974200666668</v>
      </c>
      <c r="F29">
        <f>E29*0.308</f>
        <v>999.36680538053338</v>
      </c>
    </row>
    <row r="30" spans="1:6" x14ac:dyDescent="0.2">
      <c r="A30" s="72" t="s">
        <v>1124</v>
      </c>
      <c r="B30">
        <f t="shared" si="2"/>
        <v>8024.0490252999998</v>
      </c>
      <c r="C30" s="50">
        <v>0.75</v>
      </c>
      <c r="D30">
        <f>B30*1.75</f>
        <v>14042.085794274999</v>
      </c>
      <c r="E30">
        <f t="shared" si="3"/>
        <v>6018.0367689749992</v>
      </c>
      <c r="F30">
        <f>E30*0.491</f>
        <v>2954.8560535667248</v>
      </c>
    </row>
    <row r="31" spans="1:6" x14ac:dyDescent="0.2">
      <c r="A31" s="72" t="s">
        <v>1125</v>
      </c>
      <c r="B31">
        <f t="shared" si="2"/>
        <v>105.23342984</v>
      </c>
      <c r="C31" s="50">
        <v>0.5</v>
      </c>
      <c r="D31">
        <f>B31*1.5</f>
        <v>157.85014476000001</v>
      </c>
      <c r="E31">
        <f>D31-B31</f>
        <v>52.616714920000007</v>
      </c>
      <c r="F31">
        <f>E31*0.347</f>
        <v>18.258000077240002</v>
      </c>
    </row>
    <row r="32" spans="1:6" x14ac:dyDescent="0.2">
      <c r="A32" s="72" t="s">
        <v>1104</v>
      </c>
      <c r="B32">
        <f t="shared" si="2"/>
        <v>526.16714920000004</v>
      </c>
      <c r="C32" s="50">
        <v>0.5</v>
      </c>
      <c r="D32">
        <f>B32*1.5</f>
        <v>789.25072380000006</v>
      </c>
      <c r="E32">
        <f t="shared" si="3"/>
        <v>263.08357460000002</v>
      </c>
      <c r="F32">
        <f>E32*3.527</f>
        <v>927.89576761420005</v>
      </c>
    </row>
    <row r="33" spans="1:6" x14ac:dyDescent="0.2">
      <c r="A33" s="72" t="s">
        <v>313</v>
      </c>
      <c r="B33">
        <f t="shared" si="2"/>
        <v>3676.5929550350015</v>
      </c>
      <c r="C33" s="50">
        <v>0.5</v>
      </c>
      <c r="D33">
        <f>B33*1.5</f>
        <v>5514.8894325525025</v>
      </c>
      <c r="E33">
        <f t="shared" si="3"/>
        <v>1838.296477517501</v>
      </c>
      <c r="F33">
        <f>E33*3.527</f>
        <v>6483.6716762042261</v>
      </c>
    </row>
    <row r="34" spans="1:6" x14ac:dyDescent="0.2">
      <c r="A34" s="70" t="s">
        <v>1126</v>
      </c>
      <c r="B34" s="41">
        <f t="shared" si="2"/>
        <v>3940.7727111958329</v>
      </c>
      <c r="C34" s="73">
        <v>0.4</v>
      </c>
      <c r="D34" s="41">
        <f>B34*1.4</f>
        <v>5517.0817956741657</v>
      </c>
      <c r="E34" s="41">
        <f t="shared" si="3"/>
        <v>1576.3090844783328</v>
      </c>
      <c r="F34" s="41">
        <f>E34*0.258</f>
        <v>406.68774379540986</v>
      </c>
    </row>
    <row r="35" spans="1:6" x14ac:dyDescent="0.2">
      <c r="A35" s="74" t="s">
        <v>1132</v>
      </c>
      <c r="C35" s="50"/>
      <c r="F35" s="7">
        <f>SUM(F25:F34)</f>
        <v>-43675.383404561653</v>
      </c>
    </row>
    <row r="36" spans="1:6" x14ac:dyDescent="0.2">
      <c r="C36" s="50"/>
    </row>
    <row r="37" spans="1:6" x14ac:dyDescent="0.2">
      <c r="C37" s="50"/>
    </row>
    <row r="38" spans="1:6" x14ac:dyDescent="0.2">
      <c r="C38" s="50"/>
    </row>
    <row r="41" spans="1:6" x14ac:dyDescent="0.2">
      <c r="C41" s="30"/>
    </row>
    <row r="42" spans="1:6" x14ac:dyDescent="0.2">
      <c r="C42" s="50"/>
    </row>
    <row r="43" spans="1:6" x14ac:dyDescent="0.2">
      <c r="C43" s="50"/>
    </row>
    <row r="44" spans="1:6" x14ac:dyDescent="0.2">
      <c r="C44" s="50"/>
    </row>
    <row r="45" spans="1:6" x14ac:dyDescent="0.2">
      <c r="C45" s="50"/>
    </row>
    <row r="46" spans="1:6" x14ac:dyDescent="0.2">
      <c r="C46" s="50"/>
    </row>
    <row r="47" spans="1:6" x14ac:dyDescent="0.2">
      <c r="C47" s="50"/>
    </row>
    <row r="48" spans="1:6" x14ac:dyDescent="0.2">
      <c r="C48" s="50"/>
    </row>
    <row r="49" spans="3:3" x14ac:dyDescent="0.2">
      <c r="C49" s="50"/>
    </row>
    <row r="50" spans="3:3" x14ac:dyDescent="0.2">
      <c r="C50" s="50"/>
    </row>
    <row r="51" spans="3:3" x14ac:dyDescent="0.2">
      <c r="C51" s="50"/>
    </row>
    <row r="52" spans="3:3" x14ac:dyDescent="0.2">
      <c r="C52" s="50"/>
    </row>
    <row r="53" spans="3:3" x14ac:dyDescent="0.2">
      <c r="C53" s="50"/>
    </row>
    <row r="54" spans="3:3" x14ac:dyDescent="0.2">
      <c r="C54" s="50"/>
    </row>
    <row r="55" spans="3:3" x14ac:dyDescent="0.2">
      <c r="C55" s="50"/>
    </row>
    <row r="56" spans="3:3" x14ac:dyDescent="0.2">
      <c r="C56" s="50"/>
    </row>
    <row r="57" spans="3:3" x14ac:dyDescent="0.2">
      <c r="C57" s="50"/>
    </row>
    <row r="58" spans="3:3" x14ac:dyDescent="0.2">
      <c r="C58" s="50"/>
    </row>
    <row r="59" spans="3:3" x14ac:dyDescent="0.2">
      <c r="C59" s="50"/>
    </row>
    <row r="60" spans="3:3" x14ac:dyDescent="0.2">
      <c r="C60" s="50"/>
    </row>
    <row r="61" spans="3:3" x14ac:dyDescent="0.2">
      <c r="C61" s="50"/>
    </row>
    <row r="62" spans="3:3" x14ac:dyDescent="0.2">
      <c r="C62" s="50"/>
    </row>
    <row r="63" spans="3:3" x14ac:dyDescent="0.2">
      <c r="C63" s="50"/>
    </row>
    <row r="64" spans="3:3" x14ac:dyDescent="0.2">
      <c r="C64" s="50"/>
    </row>
    <row r="65" spans="3:3" x14ac:dyDescent="0.2">
      <c r="C65" s="50"/>
    </row>
    <row r="66" spans="3:3" x14ac:dyDescent="0.2">
      <c r="C66" s="50"/>
    </row>
    <row r="67" spans="3:3" x14ac:dyDescent="0.2">
      <c r="C67" s="50"/>
    </row>
    <row r="68" spans="3:3" x14ac:dyDescent="0.2">
      <c r="C68" s="50"/>
    </row>
    <row r="69" spans="3:3" x14ac:dyDescent="0.2">
      <c r="C69" s="50"/>
    </row>
    <row r="70" spans="3:3" x14ac:dyDescent="0.2">
      <c r="C70" s="50"/>
    </row>
    <row r="71" spans="3:3" x14ac:dyDescent="0.2">
      <c r="C71" s="50"/>
    </row>
    <row r="72" spans="3:3" x14ac:dyDescent="0.2">
      <c r="C72" s="50"/>
    </row>
    <row r="73" spans="3:3" x14ac:dyDescent="0.2">
      <c r="C73" s="50"/>
    </row>
    <row r="74" spans="3:3" x14ac:dyDescent="0.2">
      <c r="C74" s="50"/>
    </row>
    <row r="75" spans="3:3" x14ac:dyDescent="0.2">
      <c r="C75" s="50"/>
    </row>
    <row r="76" spans="3:3" x14ac:dyDescent="0.2">
      <c r="C76" s="50"/>
    </row>
    <row r="77" spans="3:3" x14ac:dyDescent="0.2">
      <c r="C77" s="50"/>
    </row>
    <row r="78" spans="3:3" x14ac:dyDescent="0.2">
      <c r="C78" s="50"/>
    </row>
    <row r="79" spans="3:3" x14ac:dyDescent="0.2">
      <c r="C79" s="50"/>
    </row>
    <row r="80" spans="3:3" x14ac:dyDescent="0.2">
      <c r="C80" s="50"/>
    </row>
    <row r="81" spans="3:3" x14ac:dyDescent="0.2">
      <c r="C81" s="50"/>
    </row>
    <row r="82" spans="3:3" x14ac:dyDescent="0.2">
      <c r="C82" s="50"/>
    </row>
    <row r="83" spans="3:3" x14ac:dyDescent="0.2">
      <c r="C83" s="50"/>
    </row>
    <row r="84" spans="3:3" x14ac:dyDescent="0.2">
      <c r="C84" s="50"/>
    </row>
    <row r="85" spans="3:3" x14ac:dyDescent="0.2">
      <c r="C85" s="50"/>
    </row>
    <row r="86" spans="3:3" x14ac:dyDescent="0.2">
      <c r="C86" s="50"/>
    </row>
    <row r="87" spans="3:3" x14ac:dyDescent="0.2">
      <c r="C87" s="50"/>
    </row>
    <row r="88" spans="3:3" x14ac:dyDescent="0.2">
      <c r="C88" s="50"/>
    </row>
    <row r="89" spans="3:3" x14ac:dyDescent="0.2">
      <c r="C89" s="50"/>
    </row>
    <row r="90" spans="3:3" x14ac:dyDescent="0.2">
      <c r="C90" s="50"/>
    </row>
    <row r="91" spans="3:3" x14ac:dyDescent="0.2">
      <c r="C91" s="50"/>
    </row>
    <row r="92" spans="3:3" x14ac:dyDescent="0.2">
      <c r="C92" s="50"/>
    </row>
    <row r="93" spans="3:3" x14ac:dyDescent="0.2">
      <c r="C93" s="50"/>
    </row>
    <row r="94" spans="3:3" x14ac:dyDescent="0.2">
      <c r="C94" s="50"/>
    </row>
    <row r="95" spans="3:3" x14ac:dyDescent="0.2">
      <c r="C95" s="50"/>
    </row>
    <row r="96" spans="3:3" x14ac:dyDescent="0.2">
      <c r="C96" s="50"/>
    </row>
    <row r="97" spans="3:3" x14ac:dyDescent="0.2">
      <c r="C97" s="50"/>
    </row>
    <row r="98" spans="3:3" x14ac:dyDescent="0.2">
      <c r="C98" s="50"/>
    </row>
    <row r="99" spans="3:3" x14ac:dyDescent="0.2">
      <c r="C99" s="50"/>
    </row>
    <row r="100" spans="3:3" x14ac:dyDescent="0.2">
      <c r="C100" s="50"/>
    </row>
    <row r="101" spans="3:3" x14ac:dyDescent="0.2">
      <c r="C101" s="50"/>
    </row>
    <row r="102" spans="3:3" x14ac:dyDescent="0.2">
      <c r="C102" s="50"/>
    </row>
    <row r="103" spans="3:3" x14ac:dyDescent="0.2">
      <c r="C103" s="50"/>
    </row>
    <row r="104" spans="3:3" x14ac:dyDescent="0.2">
      <c r="C104" s="50"/>
    </row>
    <row r="105" spans="3:3" x14ac:dyDescent="0.2">
      <c r="C105" s="50"/>
    </row>
    <row r="106" spans="3:3" x14ac:dyDescent="0.2">
      <c r="C106" s="50"/>
    </row>
    <row r="107" spans="3:3" x14ac:dyDescent="0.2">
      <c r="C107" s="50"/>
    </row>
    <row r="108" spans="3:3" x14ac:dyDescent="0.2">
      <c r="C108" s="50"/>
    </row>
    <row r="109" spans="3:3" x14ac:dyDescent="0.2">
      <c r="C109" s="50"/>
    </row>
    <row r="110" spans="3:3" x14ac:dyDescent="0.2">
      <c r="C110" s="50"/>
    </row>
    <row r="111" spans="3:3" x14ac:dyDescent="0.2">
      <c r="C111" s="50"/>
    </row>
    <row r="112" spans="3:3" x14ac:dyDescent="0.2">
      <c r="C112" s="50"/>
    </row>
    <row r="113" spans="3:3" x14ac:dyDescent="0.2">
      <c r="C113" s="50"/>
    </row>
    <row r="114" spans="3:3" x14ac:dyDescent="0.2">
      <c r="C114" s="50"/>
    </row>
    <row r="115" spans="3:3" x14ac:dyDescent="0.2">
      <c r="C115" s="50"/>
    </row>
    <row r="116" spans="3:3" x14ac:dyDescent="0.2">
      <c r="C116" s="50"/>
    </row>
    <row r="117" spans="3:3" x14ac:dyDescent="0.2">
      <c r="C117" s="50"/>
    </row>
    <row r="118" spans="3:3" x14ac:dyDescent="0.2">
      <c r="C118" s="50"/>
    </row>
    <row r="119" spans="3:3" x14ac:dyDescent="0.2">
      <c r="C119" s="50"/>
    </row>
    <row r="120" spans="3:3" x14ac:dyDescent="0.2">
      <c r="C120" s="50"/>
    </row>
    <row r="121" spans="3:3" x14ac:dyDescent="0.2">
      <c r="C121" s="50"/>
    </row>
    <row r="122" spans="3:3" x14ac:dyDescent="0.2">
      <c r="C122" s="50"/>
    </row>
    <row r="123" spans="3:3" x14ac:dyDescent="0.2">
      <c r="C123" s="50"/>
    </row>
    <row r="124" spans="3:3" x14ac:dyDescent="0.2">
      <c r="C124" s="50"/>
    </row>
    <row r="125" spans="3:3" x14ac:dyDescent="0.2">
      <c r="C125" s="50"/>
    </row>
    <row r="126" spans="3:3" x14ac:dyDescent="0.2">
      <c r="C126" s="50"/>
    </row>
    <row r="127" spans="3:3" x14ac:dyDescent="0.2">
      <c r="C127" s="50"/>
    </row>
    <row r="128" spans="3:3" x14ac:dyDescent="0.2">
      <c r="C128" s="50"/>
    </row>
    <row r="129" spans="3:3" x14ac:dyDescent="0.2">
      <c r="C129" s="50"/>
    </row>
    <row r="130" spans="3:3" x14ac:dyDescent="0.2">
      <c r="C130" s="50"/>
    </row>
    <row r="131" spans="3:3" x14ac:dyDescent="0.2">
      <c r="C131" s="50"/>
    </row>
    <row r="132" spans="3:3" x14ac:dyDescent="0.2">
      <c r="C132" s="50"/>
    </row>
    <row r="133" spans="3:3" x14ac:dyDescent="0.2">
      <c r="C133" s="50"/>
    </row>
    <row r="134" spans="3:3" x14ac:dyDescent="0.2">
      <c r="C134" s="50"/>
    </row>
    <row r="135" spans="3:3" x14ac:dyDescent="0.2">
      <c r="C135" s="50"/>
    </row>
    <row r="136" spans="3:3" x14ac:dyDescent="0.2">
      <c r="C136" s="50"/>
    </row>
    <row r="137" spans="3:3" x14ac:dyDescent="0.2">
      <c r="C137" s="50"/>
    </row>
    <row r="138" spans="3:3" x14ac:dyDescent="0.2">
      <c r="C138" s="50"/>
    </row>
    <row r="139" spans="3:3" x14ac:dyDescent="0.2">
      <c r="C139" s="50"/>
    </row>
    <row r="140" spans="3:3" x14ac:dyDescent="0.2">
      <c r="C140" s="50"/>
    </row>
    <row r="141" spans="3:3" x14ac:dyDescent="0.2">
      <c r="C141" s="50"/>
    </row>
    <row r="142" spans="3:3" x14ac:dyDescent="0.2">
      <c r="C142" s="50"/>
    </row>
    <row r="143" spans="3:3" x14ac:dyDescent="0.2">
      <c r="C143" s="50"/>
    </row>
    <row r="144" spans="3:3" x14ac:dyDescent="0.2">
      <c r="C144" s="50"/>
    </row>
    <row r="145" spans="3:3" x14ac:dyDescent="0.2">
      <c r="C145" s="50"/>
    </row>
    <row r="146" spans="3:3" x14ac:dyDescent="0.2">
      <c r="C146" s="50"/>
    </row>
    <row r="147" spans="3:3" x14ac:dyDescent="0.2">
      <c r="C147" s="50"/>
    </row>
    <row r="148" spans="3:3" x14ac:dyDescent="0.2">
      <c r="C148" s="50"/>
    </row>
    <row r="149" spans="3:3" x14ac:dyDescent="0.2">
      <c r="C149" s="50"/>
    </row>
    <row r="150" spans="3:3" x14ac:dyDescent="0.2">
      <c r="C150" s="50"/>
    </row>
    <row r="151" spans="3:3" x14ac:dyDescent="0.2">
      <c r="C151" s="50"/>
    </row>
    <row r="152" spans="3:3" x14ac:dyDescent="0.2">
      <c r="C152" s="50"/>
    </row>
    <row r="153" spans="3:3" x14ac:dyDescent="0.2">
      <c r="C153" s="50"/>
    </row>
    <row r="154" spans="3:3" x14ac:dyDescent="0.2">
      <c r="C154" s="50"/>
    </row>
    <row r="155" spans="3:3" x14ac:dyDescent="0.2">
      <c r="C155" s="50"/>
    </row>
    <row r="156" spans="3:3" x14ac:dyDescent="0.2">
      <c r="C156" s="50"/>
    </row>
    <row r="157" spans="3:3" x14ac:dyDescent="0.2">
      <c r="C157" s="50"/>
    </row>
    <row r="158" spans="3:3" x14ac:dyDescent="0.2">
      <c r="C158" s="50"/>
    </row>
    <row r="159" spans="3:3" x14ac:dyDescent="0.2">
      <c r="C159" s="50"/>
    </row>
    <row r="160" spans="3:3" x14ac:dyDescent="0.2">
      <c r="C160" s="50"/>
    </row>
    <row r="161" spans="3:3" x14ac:dyDescent="0.2">
      <c r="C161" s="50"/>
    </row>
    <row r="162" spans="3:3" x14ac:dyDescent="0.2">
      <c r="C162" s="50"/>
    </row>
    <row r="163" spans="3:3" x14ac:dyDescent="0.2">
      <c r="C163" s="50"/>
    </row>
    <row r="164" spans="3:3" x14ac:dyDescent="0.2">
      <c r="C164" s="50"/>
    </row>
    <row r="165" spans="3:3" x14ac:dyDescent="0.2">
      <c r="C165" s="50"/>
    </row>
    <row r="166" spans="3:3" x14ac:dyDescent="0.2">
      <c r="C166" s="50"/>
    </row>
    <row r="167" spans="3:3" x14ac:dyDescent="0.2">
      <c r="C167" s="50"/>
    </row>
    <row r="168" spans="3:3" x14ac:dyDescent="0.2">
      <c r="C168" s="50"/>
    </row>
    <row r="169" spans="3:3" x14ac:dyDescent="0.2">
      <c r="C169" s="50"/>
    </row>
    <row r="170" spans="3:3" x14ac:dyDescent="0.2">
      <c r="C170" s="50"/>
    </row>
    <row r="171" spans="3:3" x14ac:dyDescent="0.2">
      <c r="C171" s="50"/>
    </row>
    <row r="172" spans="3:3" x14ac:dyDescent="0.2">
      <c r="C172" s="50"/>
    </row>
    <row r="173" spans="3:3" x14ac:dyDescent="0.2">
      <c r="C173" s="50"/>
    </row>
    <row r="174" spans="3:3" x14ac:dyDescent="0.2">
      <c r="C174" s="50"/>
    </row>
    <row r="175" spans="3:3" x14ac:dyDescent="0.2">
      <c r="C175" s="50"/>
    </row>
    <row r="176" spans="3:3" x14ac:dyDescent="0.2">
      <c r="C176" s="50"/>
    </row>
    <row r="177" spans="3:3" x14ac:dyDescent="0.2">
      <c r="C177" s="50"/>
    </row>
    <row r="178" spans="3:3" x14ac:dyDescent="0.2">
      <c r="C178" s="50"/>
    </row>
    <row r="179" spans="3:3" x14ac:dyDescent="0.2">
      <c r="C179" s="50"/>
    </row>
    <row r="180" spans="3:3" x14ac:dyDescent="0.2">
      <c r="C180" s="50"/>
    </row>
    <row r="181" spans="3:3" x14ac:dyDescent="0.2">
      <c r="C181" s="50"/>
    </row>
    <row r="182" spans="3:3" x14ac:dyDescent="0.2">
      <c r="C182" s="50"/>
    </row>
    <row r="183" spans="3:3" x14ac:dyDescent="0.2">
      <c r="C183" s="50"/>
    </row>
    <row r="184" spans="3:3" x14ac:dyDescent="0.2">
      <c r="C184" s="50"/>
    </row>
    <row r="185" spans="3:3" x14ac:dyDescent="0.2">
      <c r="C185" s="50"/>
    </row>
    <row r="186" spans="3:3" x14ac:dyDescent="0.2">
      <c r="C186" s="50"/>
    </row>
    <row r="187" spans="3:3" x14ac:dyDescent="0.2">
      <c r="C187" s="50"/>
    </row>
    <row r="188" spans="3:3" x14ac:dyDescent="0.2">
      <c r="C188" s="50"/>
    </row>
    <row r="189" spans="3:3" x14ac:dyDescent="0.2">
      <c r="C189" s="50"/>
    </row>
    <row r="190" spans="3:3" x14ac:dyDescent="0.2">
      <c r="C190" s="50"/>
    </row>
    <row r="191" spans="3:3" x14ac:dyDescent="0.2">
      <c r="C191" s="50"/>
    </row>
    <row r="192" spans="3:3" x14ac:dyDescent="0.2">
      <c r="C192" s="50"/>
    </row>
    <row r="193" spans="3:3" x14ac:dyDescent="0.2">
      <c r="C193" s="50"/>
    </row>
    <row r="194" spans="3:3" x14ac:dyDescent="0.2">
      <c r="C194" s="50"/>
    </row>
    <row r="195" spans="3:3" x14ac:dyDescent="0.2">
      <c r="C195" s="50"/>
    </row>
    <row r="196" spans="3:3" x14ac:dyDescent="0.2">
      <c r="C196" s="50"/>
    </row>
    <row r="197" spans="3:3" x14ac:dyDescent="0.2">
      <c r="C197" s="50"/>
    </row>
    <row r="198" spans="3:3" x14ac:dyDescent="0.2">
      <c r="C198" s="50"/>
    </row>
    <row r="199" spans="3:3" x14ac:dyDescent="0.2">
      <c r="C199" s="50"/>
    </row>
    <row r="200" spans="3:3" x14ac:dyDescent="0.2">
      <c r="C200" s="50"/>
    </row>
    <row r="201" spans="3:3" x14ac:dyDescent="0.2">
      <c r="C201" s="50"/>
    </row>
    <row r="202" spans="3:3" x14ac:dyDescent="0.2">
      <c r="C202" s="50"/>
    </row>
    <row r="203" spans="3:3" x14ac:dyDescent="0.2">
      <c r="C203" s="50"/>
    </row>
    <row r="204" spans="3:3" x14ac:dyDescent="0.2">
      <c r="C204" s="50"/>
    </row>
    <row r="205" spans="3:3" x14ac:dyDescent="0.2">
      <c r="C205" s="50"/>
    </row>
    <row r="206" spans="3:3" x14ac:dyDescent="0.2">
      <c r="C206" s="50"/>
    </row>
    <row r="207" spans="3:3" x14ac:dyDescent="0.2">
      <c r="C207" s="50"/>
    </row>
    <row r="208" spans="3:3" x14ac:dyDescent="0.2">
      <c r="C208" s="50"/>
    </row>
    <row r="209" spans="3:3" x14ac:dyDescent="0.2">
      <c r="C209" s="50"/>
    </row>
    <row r="210" spans="3:3" x14ac:dyDescent="0.2">
      <c r="C210" s="50"/>
    </row>
    <row r="211" spans="3:3" x14ac:dyDescent="0.2">
      <c r="C211" s="50"/>
    </row>
    <row r="212" spans="3:3" x14ac:dyDescent="0.2">
      <c r="C212" s="50"/>
    </row>
    <row r="213" spans="3:3" x14ac:dyDescent="0.2">
      <c r="C213" s="50"/>
    </row>
    <row r="214" spans="3:3" x14ac:dyDescent="0.2">
      <c r="C214" s="50"/>
    </row>
    <row r="215" spans="3:3" x14ac:dyDescent="0.2">
      <c r="C215" s="50"/>
    </row>
    <row r="216" spans="3:3" x14ac:dyDescent="0.2">
      <c r="C216" s="50"/>
    </row>
    <row r="217" spans="3:3" x14ac:dyDescent="0.2">
      <c r="C217" s="50"/>
    </row>
    <row r="218" spans="3:3" x14ac:dyDescent="0.2">
      <c r="C218" s="50"/>
    </row>
    <row r="219" spans="3:3" x14ac:dyDescent="0.2">
      <c r="C219" s="50"/>
    </row>
    <row r="220" spans="3:3" x14ac:dyDescent="0.2">
      <c r="C220" s="50"/>
    </row>
    <row r="221" spans="3:3" x14ac:dyDescent="0.2">
      <c r="C221" s="50"/>
    </row>
    <row r="222" spans="3:3" x14ac:dyDescent="0.2">
      <c r="C222" s="50"/>
    </row>
    <row r="223" spans="3:3" x14ac:dyDescent="0.2">
      <c r="C223" s="50"/>
    </row>
    <row r="224" spans="3:3" x14ac:dyDescent="0.2">
      <c r="C224" s="50"/>
    </row>
    <row r="225" spans="3:3" x14ac:dyDescent="0.2">
      <c r="C225" s="50"/>
    </row>
    <row r="226" spans="3:3" x14ac:dyDescent="0.2">
      <c r="C226" s="50"/>
    </row>
    <row r="227" spans="3:3" x14ac:dyDescent="0.2">
      <c r="C227" s="50"/>
    </row>
    <row r="228" spans="3:3" x14ac:dyDescent="0.2">
      <c r="C228" s="50"/>
    </row>
    <row r="229" spans="3:3" x14ac:dyDescent="0.2">
      <c r="C229" s="50"/>
    </row>
    <row r="230" spans="3:3" x14ac:dyDescent="0.2">
      <c r="C230" s="50"/>
    </row>
    <row r="231" spans="3:3" x14ac:dyDescent="0.2">
      <c r="C231" s="50"/>
    </row>
    <row r="232" spans="3:3" x14ac:dyDescent="0.2">
      <c r="C232" s="50"/>
    </row>
    <row r="233" spans="3:3" x14ac:dyDescent="0.2">
      <c r="C233" s="50"/>
    </row>
    <row r="234" spans="3:3" x14ac:dyDescent="0.2">
      <c r="C234" s="50"/>
    </row>
    <row r="235" spans="3:3" x14ac:dyDescent="0.2">
      <c r="C235" s="50"/>
    </row>
    <row r="236" spans="3:3" x14ac:dyDescent="0.2">
      <c r="C236" s="50"/>
    </row>
    <row r="237" spans="3:3" x14ac:dyDescent="0.2">
      <c r="C237" s="50"/>
    </row>
    <row r="238" spans="3:3" x14ac:dyDescent="0.2">
      <c r="C238" s="50"/>
    </row>
    <row r="239" spans="3:3" x14ac:dyDescent="0.2">
      <c r="C239" s="50"/>
    </row>
    <row r="240" spans="3:3" x14ac:dyDescent="0.2">
      <c r="C240" s="50"/>
    </row>
    <row r="241" spans="3:3" x14ac:dyDescent="0.2">
      <c r="C241" s="50"/>
    </row>
  </sheetData>
  <mergeCells count="2">
    <mergeCell ref="A1:C1"/>
    <mergeCell ref="A23:F23"/>
  </mergeCells>
  <phoneticPr fontId="12" type="noConversion"/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M34"/>
  <sheetViews>
    <sheetView workbookViewId="0">
      <selection activeCell="E30" sqref="E30"/>
    </sheetView>
  </sheetViews>
  <sheetFormatPr baseColWidth="10" defaultRowHeight="16" x14ac:dyDescent="0.2"/>
  <cols>
    <col min="1" max="1" width="25.33203125" customWidth="1"/>
    <col min="2" max="2" width="23.83203125" customWidth="1"/>
    <col min="3" max="3" width="19.5" customWidth="1"/>
    <col min="4" max="4" width="19.1640625" bestFit="1" customWidth="1"/>
    <col min="5" max="5" width="19" bestFit="1" customWidth="1"/>
    <col min="6" max="6" width="18.83203125" customWidth="1"/>
    <col min="7" max="7" width="19" customWidth="1"/>
    <col min="8" max="8" width="17.1640625" customWidth="1"/>
    <col min="9" max="9" width="13.33203125" customWidth="1"/>
    <col min="10" max="10" width="13.5" customWidth="1"/>
    <col min="11" max="11" width="14.83203125" bestFit="1" customWidth="1"/>
    <col min="12" max="12" width="21" customWidth="1"/>
    <col min="13" max="13" width="17.1640625" customWidth="1"/>
  </cols>
  <sheetData>
    <row r="1" spans="1:13" x14ac:dyDescent="0.2">
      <c r="A1" s="94" t="s">
        <v>1135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x14ac:dyDescent="0.2">
      <c r="A2" s="61" t="s">
        <v>0</v>
      </c>
      <c r="B2" s="61" t="s">
        <v>1063</v>
      </c>
      <c r="C2" s="61" t="s">
        <v>1</v>
      </c>
      <c r="D2" s="61" t="s">
        <v>2</v>
      </c>
      <c r="E2" s="2" t="s">
        <v>280</v>
      </c>
      <c r="F2" s="2" t="s">
        <v>3</v>
      </c>
      <c r="G2" s="31" t="s">
        <v>1090</v>
      </c>
      <c r="H2" s="31" t="s">
        <v>780</v>
      </c>
      <c r="I2" s="31" t="s">
        <v>934</v>
      </c>
      <c r="J2" s="31" t="s">
        <v>938</v>
      </c>
      <c r="K2" s="31" t="s">
        <v>6</v>
      </c>
      <c r="L2" s="61" t="s">
        <v>7</v>
      </c>
      <c r="M2" s="61" t="s">
        <v>8</v>
      </c>
    </row>
    <row r="3" spans="1:13" x14ac:dyDescent="0.2">
      <c r="A3" s="4">
        <v>43350</v>
      </c>
      <c r="B3" s="4" t="s">
        <v>1136</v>
      </c>
      <c r="C3" t="s">
        <v>9</v>
      </c>
      <c r="D3">
        <v>1</v>
      </c>
      <c r="E3">
        <v>1</v>
      </c>
      <c r="F3">
        <v>120</v>
      </c>
      <c r="G3" t="s">
        <v>12</v>
      </c>
      <c r="H3" t="s">
        <v>10</v>
      </c>
      <c r="I3" s="8" t="s">
        <v>1072</v>
      </c>
      <c r="J3">
        <f t="shared" ref="J3:J12" si="0">D3*E3*F3</f>
        <v>120</v>
      </c>
      <c r="K3" s="8">
        <f t="shared" ref="K3:K12" si="1">CONVERT(J3,"lbm","kg")</f>
        <v>54.431084400000003</v>
      </c>
      <c r="L3">
        <v>32.845999999999997</v>
      </c>
      <c r="M3">
        <f t="shared" ref="M3:M12" si="2">K3*L3</f>
        <v>1787.8433982023998</v>
      </c>
    </row>
    <row r="4" spans="1:13" x14ac:dyDescent="0.2">
      <c r="A4" s="10">
        <v>43371</v>
      </c>
      <c r="B4" s="10" t="s">
        <v>1137</v>
      </c>
      <c r="C4" s="8" t="s">
        <v>9</v>
      </c>
      <c r="D4">
        <v>1</v>
      </c>
      <c r="E4">
        <v>1</v>
      </c>
      <c r="F4" s="9">
        <v>120</v>
      </c>
      <c r="G4" s="9" t="s">
        <v>12</v>
      </c>
      <c r="H4" s="9" t="s">
        <v>10</v>
      </c>
      <c r="I4" s="8" t="s">
        <v>1072</v>
      </c>
      <c r="J4">
        <f t="shared" si="0"/>
        <v>120</v>
      </c>
      <c r="K4">
        <f t="shared" si="1"/>
        <v>54.431084400000003</v>
      </c>
      <c r="L4">
        <v>32.845999999999997</v>
      </c>
      <c r="M4" s="8">
        <f t="shared" si="2"/>
        <v>1787.8433982023998</v>
      </c>
    </row>
    <row r="5" spans="1:13" x14ac:dyDescent="0.2">
      <c r="A5" s="10">
        <v>43371</v>
      </c>
      <c r="B5" s="10" t="s">
        <v>1137</v>
      </c>
      <c r="C5" s="8" t="s">
        <v>9</v>
      </c>
      <c r="D5">
        <v>1</v>
      </c>
      <c r="E5">
        <v>1</v>
      </c>
      <c r="F5" s="9">
        <v>90</v>
      </c>
      <c r="G5" s="9" t="s">
        <v>12</v>
      </c>
      <c r="H5" s="9" t="s">
        <v>10</v>
      </c>
      <c r="I5" s="8" t="s">
        <v>1072</v>
      </c>
      <c r="J5">
        <f t="shared" si="0"/>
        <v>90</v>
      </c>
      <c r="K5">
        <f t="shared" si="1"/>
        <v>40.823313300000002</v>
      </c>
      <c r="L5">
        <v>32.845999999999997</v>
      </c>
      <c r="M5" s="8">
        <f t="shared" si="2"/>
        <v>1340.8825486517999</v>
      </c>
    </row>
    <row r="6" spans="1:13" x14ac:dyDescent="0.2">
      <c r="A6" s="4">
        <v>43376</v>
      </c>
      <c r="B6" s="10" t="s">
        <v>1137</v>
      </c>
      <c r="C6" t="s">
        <v>9</v>
      </c>
      <c r="D6">
        <v>1</v>
      </c>
      <c r="E6">
        <v>1</v>
      </c>
      <c r="F6">
        <v>96</v>
      </c>
      <c r="G6" t="s">
        <v>12</v>
      </c>
      <c r="H6" t="s">
        <v>10</v>
      </c>
      <c r="I6" s="8" t="s">
        <v>1072</v>
      </c>
      <c r="J6">
        <f t="shared" si="0"/>
        <v>96</v>
      </c>
      <c r="K6">
        <f t="shared" si="1"/>
        <v>43.544867520000004</v>
      </c>
      <c r="L6">
        <v>32.845999999999997</v>
      </c>
      <c r="M6" s="8">
        <f t="shared" si="2"/>
        <v>1430.2747185619201</v>
      </c>
    </row>
    <row r="7" spans="1:13" x14ac:dyDescent="0.2">
      <c r="A7" s="4">
        <v>43399</v>
      </c>
      <c r="B7" s="4" t="s">
        <v>1138</v>
      </c>
      <c r="C7" t="s">
        <v>283</v>
      </c>
      <c r="D7" s="28">
        <v>1</v>
      </c>
      <c r="E7">
        <v>1</v>
      </c>
      <c r="F7">
        <v>120</v>
      </c>
      <c r="G7" t="s">
        <v>12</v>
      </c>
      <c r="H7" t="s">
        <v>10</v>
      </c>
      <c r="I7" t="s">
        <v>1072</v>
      </c>
      <c r="J7">
        <f t="shared" si="0"/>
        <v>120</v>
      </c>
      <c r="K7">
        <f t="shared" si="1"/>
        <v>54.431084400000003</v>
      </c>
      <c r="L7">
        <v>32.845999999999997</v>
      </c>
      <c r="M7">
        <f t="shared" si="2"/>
        <v>1787.8433982023998</v>
      </c>
    </row>
    <row r="8" spans="1:13" x14ac:dyDescent="0.2">
      <c r="A8" s="4">
        <v>43399</v>
      </c>
      <c r="B8" s="4" t="s">
        <v>1138</v>
      </c>
      <c r="C8" t="s">
        <v>283</v>
      </c>
      <c r="D8" s="28">
        <v>1</v>
      </c>
      <c r="E8">
        <v>1</v>
      </c>
      <c r="F8">
        <v>240</v>
      </c>
      <c r="G8" t="s">
        <v>12</v>
      </c>
      <c r="H8" t="s">
        <v>10</v>
      </c>
      <c r="I8" t="s">
        <v>1072</v>
      </c>
      <c r="J8">
        <f t="shared" si="0"/>
        <v>240</v>
      </c>
      <c r="K8">
        <f t="shared" si="1"/>
        <v>108.86216880000001</v>
      </c>
      <c r="L8">
        <v>32.845999999999997</v>
      </c>
      <c r="M8">
        <f t="shared" si="2"/>
        <v>3575.6867964047997</v>
      </c>
    </row>
    <row r="9" spans="1:13" x14ac:dyDescent="0.2">
      <c r="A9" s="4">
        <v>43399</v>
      </c>
      <c r="B9" s="4" t="s">
        <v>1139</v>
      </c>
      <c r="C9" t="s">
        <v>283</v>
      </c>
      <c r="D9" s="37">
        <v>1</v>
      </c>
      <c r="E9" s="37">
        <v>1</v>
      </c>
      <c r="F9">
        <v>120</v>
      </c>
      <c r="G9" t="s">
        <v>12</v>
      </c>
      <c r="H9" t="s">
        <v>10</v>
      </c>
      <c r="I9" s="9" t="s">
        <v>1072</v>
      </c>
      <c r="J9">
        <f t="shared" si="0"/>
        <v>120</v>
      </c>
      <c r="K9">
        <f t="shared" si="1"/>
        <v>54.431084400000003</v>
      </c>
      <c r="L9">
        <v>32.845999999999997</v>
      </c>
      <c r="M9">
        <f t="shared" si="2"/>
        <v>1787.8433982023998</v>
      </c>
    </row>
    <row r="10" spans="1:13" x14ac:dyDescent="0.2">
      <c r="A10" s="4">
        <v>43399</v>
      </c>
      <c r="B10" s="4" t="s">
        <v>1139</v>
      </c>
      <c r="C10" t="s">
        <v>283</v>
      </c>
      <c r="D10" s="37">
        <v>1</v>
      </c>
      <c r="E10" s="37">
        <v>1</v>
      </c>
      <c r="F10">
        <v>240</v>
      </c>
      <c r="G10" t="s">
        <v>12</v>
      </c>
      <c r="H10" t="s">
        <v>10</v>
      </c>
      <c r="I10" s="9" t="s">
        <v>1072</v>
      </c>
      <c r="J10">
        <f t="shared" si="0"/>
        <v>240</v>
      </c>
      <c r="K10">
        <f t="shared" si="1"/>
        <v>108.86216880000001</v>
      </c>
      <c r="L10">
        <v>32.845999999999997</v>
      </c>
      <c r="M10">
        <f t="shared" si="2"/>
        <v>3575.6867964047997</v>
      </c>
    </row>
    <row r="11" spans="1:13" x14ac:dyDescent="0.2">
      <c r="A11" s="4">
        <v>43484</v>
      </c>
      <c r="B11" s="4" t="s">
        <v>1064</v>
      </c>
      <c r="C11" t="s">
        <v>9</v>
      </c>
      <c r="D11" s="6">
        <v>1</v>
      </c>
      <c r="E11" s="6">
        <v>1</v>
      </c>
      <c r="F11" s="6">
        <v>150</v>
      </c>
      <c r="G11" s="6" t="s">
        <v>12</v>
      </c>
      <c r="H11" s="6" t="s">
        <v>10</v>
      </c>
      <c r="I11" s="6" t="s">
        <v>1072</v>
      </c>
      <c r="J11">
        <f t="shared" si="0"/>
        <v>150</v>
      </c>
      <c r="K11">
        <f t="shared" si="1"/>
        <v>68.038855500000011</v>
      </c>
      <c r="L11">
        <v>32.845999999999997</v>
      </c>
      <c r="M11">
        <f t="shared" si="2"/>
        <v>2234.8042477530003</v>
      </c>
    </row>
    <row r="12" spans="1:13" x14ac:dyDescent="0.2">
      <c r="A12" s="75">
        <v>43497</v>
      </c>
      <c r="B12" s="75" t="s">
        <v>1065</v>
      </c>
      <c r="C12" s="41" t="s">
        <v>9</v>
      </c>
      <c r="D12" s="76">
        <v>1</v>
      </c>
      <c r="E12" s="76">
        <v>1</v>
      </c>
      <c r="F12" s="41">
        <v>300</v>
      </c>
      <c r="G12" s="41" t="s">
        <v>12</v>
      </c>
      <c r="H12" s="41" t="s">
        <v>10</v>
      </c>
      <c r="I12" s="41" t="s">
        <v>1072</v>
      </c>
      <c r="J12" s="41">
        <f t="shared" si="0"/>
        <v>300</v>
      </c>
      <c r="K12" s="41">
        <f t="shared" si="1"/>
        <v>136.07771100000002</v>
      </c>
      <c r="L12" s="41">
        <v>32.845999999999997</v>
      </c>
      <c r="M12" s="41">
        <f t="shared" si="2"/>
        <v>4469.6084955060005</v>
      </c>
    </row>
    <row r="13" spans="1:13" x14ac:dyDescent="0.2">
      <c r="A13" s="7" t="s">
        <v>1132</v>
      </c>
      <c r="J13" s="7">
        <f t="shared" ref="J13:K13" si="3">SUM(J3:J12)</f>
        <v>1596</v>
      </c>
      <c r="K13" s="7">
        <f t="shared" si="3"/>
        <v>723.93342251999991</v>
      </c>
      <c r="L13" s="7"/>
      <c r="M13" s="7">
        <f>SUM(M3:M12)</f>
        <v>23778.317196091917</v>
      </c>
    </row>
    <row r="15" spans="1:13" x14ac:dyDescent="0.2">
      <c r="A15" s="70" t="s">
        <v>1140</v>
      </c>
      <c r="B15" s="77" t="s">
        <v>1141</v>
      </c>
    </row>
    <row r="16" spans="1:13" x14ac:dyDescent="0.2">
      <c r="A16" s="72" t="s">
        <v>1142</v>
      </c>
      <c r="B16" s="78" t="s">
        <v>1143</v>
      </c>
    </row>
    <row r="20" spans="1:11" x14ac:dyDescent="0.2">
      <c r="A20" s="97" t="s">
        <v>1144</v>
      </c>
      <c r="B20" s="97"/>
      <c r="C20" s="97"/>
      <c r="D20" s="97"/>
      <c r="E20" s="79"/>
      <c r="F20" s="79"/>
      <c r="G20" s="79"/>
      <c r="H20" s="79"/>
      <c r="I20" s="79"/>
      <c r="J20" s="79"/>
      <c r="K20" s="79"/>
    </row>
    <row r="21" spans="1:11" x14ac:dyDescent="0.2">
      <c r="A21" s="70"/>
      <c r="B21" s="41" t="s">
        <v>6</v>
      </c>
      <c r="C21" s="41" t="s">
        <v>1099</v>
      </c>
      <c r="D21" s="8"/>
    </row>
    <row r="22" spans="1:11" x14ac:dyDescent="0.2">
      <c r="A22" s="72" t="s">
        <v>1145</v>
      </c>
      <c r="B22" s="8">
        <f>K13</f>
        <v>723.93342251999991</v>
      </c>
      <c r="C22" s="8">
        <f>B22*32.846</f>
        <v>23778.317196091914</v>
      </c>
      <c r="D22" s="8"/>
    </row>
    <row r="23" spans="1:11" x14ac:dyDescent="0.2">
      <c r="A23" s="72" t="s">
        <v>1146</v>
      </c>
      <c r="B23" s="8">
        <f>B22*(29/6)</f>
        <v>3499.0115421799992</v>
      </c>
      <c r="C23" s="8">
        <f>C22*(29/6)</f>
        <v>114928.53311444425</v>
      </c>
      <c r="D23" s="8"/>
    </row>
    <row r="26" spans="1:11" x14ac:dyDescent="0.2">
      <c r="A26" s="79"/>
      <c r="B26" s="79"/>
      <c r="C26" s="79"/>
    </row>
    <row r="27" spans="1:11" x14ac:dyDescent="0.2">
      <c r="A27" s="97" t="s">
        <v>1147</v>
      </c>
      <c r="B27" s="97"/>
      <c r="C27" s="97"/>
      <c r="D27" s="97"/>
      <c r="E27" s="97"/>
      <c r="F27" s="97"/>
      <c r="G27" s="80"/>
    </row>
    <row r="28" spans="1:11" x14ac:dyDescent="0.2">
      <c r="A28" s="70"/>
      <c r="B28" s="41" t="s">
        <v>1148</v>
      </c>
      <c r="C28" s="41" t="s">
        <v>1149</v>
      </c>
      <c r="D28" s="41" t="s">
        <v>1150</v>
      </c>
      <c r="E28" s="41" t="s">
        <v>1099</v>
      </c>
      <c r="F28" s="41" t="s">
        <v>1182</v>
      </c>
      <c r="G28" s="41"/>
    </row>
    <row r="29" spans="1:11" x14ac:dyDescent="0.2">
      <c r="A29" s="72" t="s">
        <v>1151</v>
      </c>
      <c r="B29" s="8">
        <f>B23</f>
        <v>3499.0115421799992</v>
      </c>
      <c r="C29" s="8">
        <v>0</v>
      </c>
      <c r="D29" s="8">
        <f>B29</f>
        <v>3499.0115421799992</v>
      </c>
      <c r="E29" s="8">
        <f>D29*32.846</f>
        <v>114928.53311444425</v>
      </c>
      <c r="F29" s="8"/>
      <c r="G29" s="8"/>
    </row>
    <row r="30" spans="1:11" x14ac:dyDescent="0.2">
      <c r="A30" s="72" t="s">
        <v>1152</v>
      </c>
      <c r="B30" s="8">
        <f>B23*0.75</f>
        <v>2624.2586566349992</v>
      </c>
      <c r="C30" s="8">
        <f>B23*0.25</f>
        <v>874.7528855449998</v>
      </c>
      <c r="D30" s="8">
        <f>SUM(B30:C30)</f>
        <v>3499.0115421799992</v>
      </c>
      <c r="E30" s="8">
        <f>(B30*32.846)+(C30*3.093)</f>
        <v>88902.010510823864</v>
      </c>
      <c r="F30" s="81">
        <f>E29-E30</f>
        <v>26026.522603620382</v>
      </c>
      <c r="G30" s="8"/>
    </row>
    <row r="31" spans="1:11" x14ac:dyDescent="0.2">
      <c r="A31" s="72" t="s">
        <v>1153</v>
      </c>
      <c r="B31" s="8">
        <f>B29*0.5</f>
        <v>1749.5057710899996</v>
      </c>
      <c r="C31" s="8">
        <f>B29*0.5</f>
        <v>1749.5057710899996</v>
      </c>
      <c r="D31" s="8">
        <f>SUM(B31:C31)</f>
        <v>3499.0115421799992</v>
      </c>
      <c r="E31" s="8">
        <f>(B31*32.846)+(C31*3.093)</f>
        <v>62875.487907203489</v>
      </c>
      <c r="F31" s="81">
        <f>E29-E31</f>
        <v>52053.045207240757</v>
      </c>
      <c r="G31" s="82"/>
      <c r="H31" s="56"/>
    </row>
    <row r="32" spans="1:11" x14ac:dyDescent="0.2">
      <c r="E32" s="7"/>
    </row>
    <row r="34" spans="13:13" x14ac:dyDescent="0.2">
      <c r="M34" s="53"/>
    </row>
  </sheetData>
  <mergeCells count="3">
    <mergeCell ref="A1:M1"/>
    <mergeCell ref="A20:D20"/>
    <mergeCell ref="A27:F27"/>
  </mergeCells>
  <phoneticPr fontId="12" type="noConversion"/>
  <pageMargins left="0.7" right="0.7" top="0.75" bottom="0.75" header="0.3" footer="0.3"/>
  <pageSetup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S27"/>
  <sheetViews>
    <sheetView tabSelected="1" workbookViewId="0">
      <selection activeCell="D2" sqref="D2"/>
    </sheetView>
  </sheetViews>
  <sheetFormatPr baseColWidth="10" defaultRowHeight="16" x14ac:dyDescent="0.2"/>
  <cols>
    <col min="1" max="1" width="29.5" customWidth="1"/>
    <col min="2" max="2" width="30.5" customWidth="1"/>
    <col min="3" max="3" width="26.6640625" customWidth="1"/>
    <col min="4" max="4" width="20.6640625" customWidth="1"/>
    <col min="5" max="10" width="11.83203125" bestFit="1" customWidth="1"/>
    <col min="11" max="11" width="12.33203125" bestFit="1" customWidth="1"/>
    <col min="12" max="12" width="18.83203125" customWidth="1"/>
  </cols>
  <sheetData>
    <row r="1" spans="1:15" x14ac:dyDescent="0.2">
      <c r="A1" s="96" t="s">
        <v>1154</v>
      </c>
      <c r="B1" s="96"/>
      <c r="C1" s="96"/>
      <c r="D1" s="96"/>
    </row>
    <row r="2" spans="1:15" x14ac:dyDescent="0.2">
      <c r="A2" t="s">
        <v>1155</v>
      </c>
      <c r="B2" t="s">
        <v>1156</v>
      </c>
      <c r="C2" t="s">
        <v>1157</v>
      </c>
      <c r="D2" t="s">
        <v>1158</v>
      </c>
    </row>
    <row r="3" spans="1:15" x14ac:dyDescent="0.2">
      <c r="A3" s="56">
        <v>1484146.0956005433</v>
      </c>
      <c r="B3" s="56">
        <f>A3*0.75</f>
        <v>1113109.5717004074</v>
      </c>
      <c r="C3" s="56">
        <f>A3-B3</f>
        <v>371036.52390013589</v>
      </c>
      <c r="D3" s="56">
        <f>C3/10</f>
        <v>37103.652390013587</v>
      </c>
    </row>
    <row r="4" spans="1:15" x14ac:dyDescent="0.2">
      <c r="A4" s="56"/>
      <c r="B4" s="56"/>
      <c r="C4" s="56"/>
      <c r="D4" s="56"/>
    </row>
    <row r="5" spans="1:15" x14ac:dyDescent="0.2">
      <c r="A5" s="56"/>
      <c r="B5" s="56"/>
      <c r="C5" s="56"/>
      <c r="D5" s="56"/>
    </row>
    <row r="6" spans="1:15" x14ac:dyDescent="0.2">
      <c r="A6" s="96" t="s">
        <v>1159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5" x14ac:dyDescent="0.2">
      <c r="A7" s="41" t="s">
        <v>1155</v>
      </c>
      <c r="B7" s="41" t="s">
        <v>1183</v>
      </c>
      <c r="C7" s="41" t="s">
        <v>1184</v>
      </c>
      <c r="D7" s="41" t="s">
        <v>1185</v>
      </c>
      <c r="E7" s="41" t="s">
        <v>1186</v>
      </c>
      <c r="F7" s="41" t="s">
        <v>1187</v>
      </c>
      <c r="G7" s="41" t="s">
        <v>1188</v>
      </c>
      <c r="H7" s="41" t="s">
        <v>1189</v>
      </c>
      <c r="I7" s="41" t="s">
        <v>1190</v>
      </c>
      <c r="J7" s="41" t="s">
        <v>1191</v>
      </c>
      <c r="K7" s="70" t="s">
        <v>1192</v>
      </c>
      <c r="L7" s="41" t="s">
        <v>1160</v>
      </c>
    </row>
    <row r="8" spans="1:15" x14ac:dyDescent="0.2">
      <c r="A8" s="56">
        <f>A3</f>
        <v>1484146.0956005433</v>
      </c>
      <c r="B8" s="56">
        <f>D3</f>
        <v>37103.652390013587</v>
      </c>
      <c r="C8" s="56">
        <f>B8</f>
        <v>37103.652390013587</v>
      </c>
      <c r="D8" s="56">
        <f t="shared" ref="D8:K8" si="0">C8</f>
        <v>37103.652390013587</v>
      </c>
      <c r="E8" s="56">
        <f t="shared" si="0"/>
        <v>37103.652390013587</v>
      </c>
      <c r="F8" s="56">
        <f t="shared" si="0"/>
        <v>37103.652390013587</v>
      </c>
      <c r="G8" s="56">
        <f t="shared" si="0"/>
        <v>37103.652390013587</v>
      </c>
      <c r="H8" s="56">
        <f t="shared" si="0"/>
        <v>37103.652390013587</v>
      </c>
      <c r="I8" s="56">
        <f t="shared" si="0"/>
        <v>37103.652390013587</v>
      </c>
      <c r="J8" s="56">
        <f t="shared" si="0"/>
        <v>37103.652390013587</v>
      </c>
      <c r="K8" s="83">
        <f t="shared" si="0"/>
        <v>37103.652390013587</v>
      </c>
      <c r="L8" s="56">
        <f>A8-(SUM(B8:K8))</f>
        <v>1113109.5717004074</v>
      </c>
    </row>
    <row r="13" spans="1:15" x14ac:dyDescent="0.2">
      <c r="I13" s="64"/>
      <c r="J13" s="64"/>
      <c r="K13" s="64"/>
      <c r="L13" s="64"/>
      <c r="M13" s="64"/>
      <c r="N13" s="64"/>
      <c r="O13" s="64"/>
    </row>
    <row r="27" spans="16:19" x14ac:dyDescent="0.2">
      <c r="P27" s="64"/>
      <c r="Q27" s="64"/>
      <c r="R27" s="64"/>
      <c r="S27" s="64"/>
    </row>
  </sheetData>
  <mergeCells count="2">
    <mergeCell ref="A1:D1"/>
    <mergeCell ref="A6:L6"/>
  </mergeCells>
  <phoneticPr fontId="12" type="noConversion"/>
  <pageMargins left="0.7" right="0.7" top="0.75" bottom="0.75" header="0.3" footer="0.3"/>
  <pageSetup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S24"/>
  <sheetViews>
    <sheetView workbookViewId="0">
      <selection activeCell="D20" sqref="D20"/>
    </sheetView>
  </sheetViews>
  <sheetFormatPr baseColWidth="10" defaultRowHeight="16" x14ac:dyDescent="0.2"/>
  <cols>
    <col min="1" max="1" width="15.33203125" customWidth="1"/>
    <col min="2" max="2" width="20.33203125" customWidth="1"/>
    <col min="3" max="3" width="17.33203125" bestFit="1" customWidth="1"/>
    <col min="4" max="4" width="19.1640625" bestFit="1" customWidth="1"/>
    <col min="5" max="5" width="19" bestFit="1" customWidth="1"/>
    <col min="6" max="6" width="17" bestFit="1" customWidth="1"/>
    <col min="7" max="7" width="18" bestFit="1" customWidth="1"/>
    <col min="8" max="8" width="16" bestFit="1" customWidth="1"/>
    <col min="9" max="9" width="14.5" bestFit="1" customWidth="1"/>
    <col min="10" max="10" width="14.5" customWidth="1"/>
    <col min="11" max="11" width="14.83203125" bestFit="1" customWidth="1"/>
  </cols>
  <sheetData>
    <row r="1" spans="1:13" x14ac:dyDescent="0.2">
      <c r="A1" s="96" t="s">
        <v>1161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3" x14ac:dyDescent="0.2">
      <c r="A2" s="84" t="s">
        <v>1063</v>
      </c>
      <c r="B2" s="85" t="s">
        <v>1162</v>
      </c>
      <c r="C2" s="85" t="s">
        <v>1163</v>
      </c>
      <c r="D2" s="85" t="s">
        <v>1164</v>
      </c>
      <c r="E2" s="85" t="s">
        <v>1165</v>
      </c>
      <c r="F2" s="85" t="s">
        <v>1166</v>
      </c>
      <c r="G2" s="85" t="s">
        <v>1167</v>
      </c>
      <c r="H2" s="85" t="s">
        <v>1168</v>
      </c>
      <c r="I2" s="85" t="s">
        <v>1169</v>
      </c>
      <c r="J2" s="85" t="s">
        <v>1170</v>
      </c>
      <c r="K2" s="86" t="s">
        <v>1171</v>
      </c>
    </row>
    <row r="3" spans="1:13" x14ac:dyDescent="0.2">
      <c r="A3" s="72" t="s">
        <v>1172</v>
      </c>
      <c r="B3" s="40">
        <v>49333.896665175067</v>
      </c>
      <c r="C3" s="40">
        <v>51844.127880296954</v>
      </c>
      <c r="D3" s="40">
        <v>58305.56060342506</v>
      </c>
      <c r="E3" s="40">
        <v>55324.596149525249</v>
      </c>
      <c r="F3" s="6"/>
      <c r="G3" s="40">
        <v>47704.715328800768</v>
      </c>
      <c r="H3" s="87">
        <f>AVERAGE(B3,C3,D3,E3,F6,G3)</f>
        <v>51083.355195192715</v>
      </c>
      <c r="I3" s="87">
        <v>51083.355195192715</v>
      </c>
      <c r="J3" s="87">
        <v>51083.355195192715</v>
      </c>
      <c r="K3">
        <f>SUM(B3:J3)</f>
        <v>415762.96221280133</v>
      </c>
    </row>
    <row r="4" spans="1:13" x14ac:dyDescent="0.2">
      <c r="A4" s="72" t="s">
        <v>1173</v>
      </c>
      <c r="B4">
        <v>49333.896665175067</v>
      </c>
      <c r="C4">
        <v>51844.127880296954</v>
      </c>
      <c r="D4">
        <v>58305.56060342506</v>
      </c>
      <c r="E4">
        <v>55324.596149525249</v>
      </c>
      <c r="G4">
        <v>47704.715328800768</v>
      </c>
      <c r="I4">
        <v>51083.355195192715</v>
      </c>
      <c r="J4">
        <v>51083.355195192715</v>
      </c>
      <c r="K4">
        <f t="shared" ref="K4:K6" si="0">SUM(B4:J4)</f>
        <v>364679.60701760859</v>
      </c>
    </row>
    <row r="5" spans="1:13" x14ac:dyDescent="0.2">
      <c r="A5" s="72" t="s">
        <v>1174</v>
      </c>
      <c r="B5">
        <v>49333.896665175067</v>
      </c>
      <c r="C5">
        <v>51844.127880296954</v>
      </c>
      <c r="E5">
        <v>55324.596149525249</v>
      </c>
      <c r="F5">
        <v>43987.234543933206</v>
      </c>
      <c r="G5">
        <v>47704.715328800768</v>
      </c>
      <c r="H5">
        <v>51083.355195192715</v>
      </c>
      <c r="I5">
        <v>51083.355195192715</v>
      </c>
      <c r="K5">
        <f t="shared" si="0"/>
        <v>350361.28095811675</v>
      </c>
    </row>
    <row r="6" spans="1:13" x14ac:dyDescent="0.2">
      <c r="A6" s="70" t="s">
        <v>1175</v>
      </c>
      <c r="B6" s="41">
        <v>49333.896665175067</v>
      </c>
      <c r="C6" s="41">
        <v>51844.127880296954</v>
      </c>
      <c r="D6" s="41">
        <v>58305.56060342506</v>
      </c>
      <c r="E6" s="41"/>
      <c r="F6" s="88">
        <v>43987.234543933206</v>
      </c>
      <c r="G6" s="41">
        <v>47704.715328800768</v>
      </c>
      <c r="H6" s="41">
        <v>51083.355195192715</v>
      </c>
      <c r="I6" s="41">
        <v>51083.355195192715</v>
      </c>
      <c r="J6" s="41"/>
      <c r="K6" s="41">
        <f t="shared" si="0"/>
        <v>353342.24541201652</v>
      </c>
    </row>
    <row r="7" spans="1:13" x14ac:dyDescent="0.2">
      <c r="A7" s="72" t="s">
        <v>1132</v>
      </c>
      <c r="B7" s="53">
        <f>SUM(B3:B6)</f>
        <v>197335.58666070027</v>
      </c>
      <c r="C7" s="53">
        <f t="shared" ref="C7:J7" si="1">SUM(C3:C6)</f>
        <v>207376.51152118781</v>
      </c>
      <c r="D7" s="53">
        <f t="shared" si="1"/>
        <v>174916.68181027519</v>
      </c>
      <c r="E7" s="53">
        <f t="shared" si="1"/>
        <v>165973.78844857574</v>
      </c>
      <c r="F7" s="53">
        <f t="shared" si="1"/>
        <v>87974.469087866411</v>
      </c>
      <c r="G7" s="53">
        <f t="shared" si="1"/>
        <v>190818.86131520307</v>
      </c>
      <c r="H7" s="53">
        <f t="shared" si="1"/>
        <v>153250.06558557815</v>
      </c>
      <c r="I7" s="53">
        <f t="shared" si="1"/>
        <v>204333.42078077086</v>
      </c>
      <c r="J7" s="53">
        <f t="shared" si="1"/>
        <v>102166.71039038543</v>
      </c>
      <c r="K7" s="89">
        <f>SUM(K3:K6)</f>
        <v>1484146.0956005433</v>
      </c>
      <c r="M7" s="56"/>
    </row>
    <row r="8" spans="1:13" x14ac:dyDescent="0.2">
      <c r="A8" s="8"/>
      <c r="B8" s="53"/>
      <c r="C8" s="53"/>
      <c r="D8" s="53"/>
      <c r="E8" s="53"/>
      <c r="F8" s="53"/>
      <c r="G8" s="53"/>
      <c r="H8" s="53"/>
      <c r="I8" s="53"/>
      <c r="J8" s="53"/>
      <c r="K8" s="90"/>
    </row>
    <row r="9" spans="1:13" x14ac:dyDescent="0.2">
      <c r="A9" s="8"/>
    </row>
    <row r="10" spans="1:13" x14ac:dyDescent="0.2">
      <c r="A10" s="70" t="s">
        <v>1140</v>
      </c>
      <c r="B10" s="41" t="s">
        <v>1141</v>
      </c>
    </row>
    <row r="11" spans="1:13" x14ac:dyDescent="0.2">
      <c r="A11" s="91"/>
      <c r="B11" t="s">
        <v>1176</v>
      </c>
      <c r="K11" s="53"/>
    </row>
    <row r="12" spans="1:13" x14ac:dyDescent="0.2">
      <c r="A12" s="92"/>
      <c r="B12" t="s">
        <v>1177</v>
      </c>
      <c r="K12" s="53"/>
    </row>
    <row r="13" spans="1:13" x14ac:dyDescent="0.2">
      <c r="A13" s="93"/>
      <c r="B13" t="s">
        <v>1178</v>
      </c>
    </row>
    <row r="24" spans="9:19" x14ac:dyDescent="0.2"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</sheetData>
  <mergeCells count="2">
    <mergeCell ref="A1:K1"/>
    <mergeCell ref="I24:S24"/>
  </mergeCells>
  <phoneticPr fontId="12" type="noConversion"/>
  <pageMargins left="0.7" right="0.7" top="0.75" bottom="0.75" header="0.3" footer="0.3"/>
  <pageSetup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K17"/>
  <sheetViews>
    <sheetView workbookViewId="0">
      <selection activeCell="A18" sqref="A18"/>
    </sheetView>
  </sheetViews>
  <sheetFormatPr baseColWidth="10" defaultRowHeight="16" x14ac:dyDescent="0.2"/>
  <cols>
    <col min="1" max="1" width="15.33203125" customWidth="1"/>
    <col min="2" max="2" width="20.33203125" customWidth="1"/>
    <col min="3" max="3" width="17.33203125" bestFit="1" customWidth="1"/>
    <col min="4" max="4" width="19.1640625" bestFit="1" customWidth="1"/>
    <col min="5" max="5" width="19" bestFit="1" customWidth="1"/>
    <col min="6" max="6" width="17" bestFit="1" customWidth="1"/>
    <col min="7" max="7" width="18" bestFit="1" customWidth="1"/>
    <col min="8" max="8" width="16" bestFit="1" customWidth="1"/>
    <col min="9" max="9" width="14.5" bestFit="1" customWidth="1"/>
    <col min="10" max="10" width="14.1640625" bestFit="1" customWidth="1"/>
    <col min="11" max="11" width="14.83203125" bestFit="1" customWidth="1"/>
  </cols>
  <sheetData>
    <row r="1" spans="1:11" x14ac:dyDescent="0.2">
      <c r="A1" s="96" t="s">
        <v>1179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">
      <c r="A2" s="84" t="s">
        <v>1063</v>
      </c>
      <c r="B2" s="85" t="s">
        <v>1162</v>
      </c>
      <c r="C2" s="85" t="s">
        <v>1163</v>
      </c>
      <c r="D2" s="85" t="s">
        <v>1164</v>
      </c>
      <c r="E2" s="85" t="s">
        <v>1165</v>
      </c>
      <c r="F2" s="85" t="s">
        <v>1166</v>
      </c>
      <c r="G2" s="85" t="s">
        <v>1167</v>
      </c>
      <c r="H2" s="85" t="s">
        <v>1168</v>
      </c>
      <c r="I2" s="85" t="s">
        <v>1169</v>
      </c>
      <c r="J2" s="85" t="s">
        <v>1170</v>
      </c>
      <c r="K2" s="86" t="s">
        <v>1171</v>
      </c>
    </row>
    <row r="3" spans="1:11" x14ac:dyDescent="0.2">
      <c r="A3" s="72" t="s">
        <v>1172</v>
      </c>
      <c r="B3" s="40">
        <v>49333.896665175067</v>
      </c>
      <c r="C3" s="40">
        <v>51844.127880296954</v>
      </c>
      <c r="D3" s="40">
        <v>58305.56060342506</v>
      </c>
      <c r="E3" s="40">
        <v>55324.596149525249</v>
      </c>
      <c r="F3" s="6">
        <v>43987.234543933206</v>
      </c>
      <c r="G3" s="40">
        <v>47704.715328800768</v>
      </c>
      <c r="H3" s="87">
        <f>AVERAGE(B3:G3)</f>
        <v>51083.355195192715</v>
      </c>
      <c r="I3" s="87">
        <v>51083.355195192715</v>
      </c>
      <c r="J3" s="87">
        <v>51083.355195192715</v>
      </c>
      <c r="K3">
        <f>SUM(B3:J3)</f>
        <v>459750.19675673451</v>
      </c>
    </row>
    <row r="4" spans="1:11" x14ac:dyDescent="0.2">
      <c r="A4" s="72" t="s">
        <v>1173</v>
      </c>
      <c r="B4">
        <v>49333.896665175067</v>
      </c>
      <c r="C4">
        <v>51844.127880296954</v>
      </c>
      <c r="D4">
        <v>58305.56060342506</v>
      </c>
      <c r="E4">
        <v>55324.596149525249</v>
      </c>
      <c r="F4">
        <v>43987.234543933206</v>
      </c>
      <c r="G4">
        <v>47704.715328800768</v>
      </c>
      <c r="H4">
        <f t="shared" ref="H4:H6" si="0">AVERAGE(B4:G4)</f>
        <v>51083.355195192715</v>
      </c>
      <c r="I4">
        <v>51083.355195192715</v>
      </c>
      <c r="J4">
        <v>51083.355195192715</v>
      </c>
      <c r="K4">
        <f t="shared" ref="K4:K6" si="1">SUM(B4:J4)</f>
        <v>459750.19675673451</v>
      </c>
    </row>
    <row r="5" spans="1:11" x14ac:dyDescent="0.2">
      <c r="A5" s="72" t="s">
        <v>1174</v>
      </c>
      <c r="B5">
        <v>49333.896665175067</v>
      </c>
      <c r="C5">
        <v>51844.127880296954</v>
      </c>
      <c r="D5">
        <v>58305.56060342506</v>
      </c>
      <c r="E5">
        <v>55324.596149525249</v>
      </c>
      <c r="F5">
        <v>43987.234543933206</v>
      </c>
      <c r="G5">
        <v>47704.715328800768</v>
      </c>
      <c r="H5">
        <f t="shared" si="0"/>
        <v>51083.355195192715</v>
      </c>
      <c r="I5">
        <v>51083.355195192715</v>
      </c>
      <c r="K5">
        <f t="shared" si="1"/>
        <v>408666.84156154178</v>
      </c>
    </row>
    <row r="6" spans="1:11" x14ac:dyDescent="0.2">
      <c r="A6" s="70" t="s">
        <v>1175</v>
      </c>
      <c r="B6" s="41">
        <v>49333.896665175067</v>
      </c>
      <c r="C6" s="41">
        <v>51844.127880296954</v>
      </c>
      <c r="D6" s="41">
        <v>58305.56060342506</v>
      </c>
      <c r="E6" s="41">
        <v>55324.596149525249</v>
      </c>
      <c r="F6" s="88">
        <v>43987.234543933206</v>
      </c>
      <c r="G6" s="41">
        <v>47704.715328800768</v>
      </c>
      <c r="H6" s="41">
        <f t="shared" si="0"/>
        <v>51083.355195192715</v>
      </c>
      <c r="I6" s="41">
        <v>51083.355195192715</v>
      </c>
      <c r="J6" s="41"/>
      <c r="K6" s="41">
        <f t="shared" si="1"/>
        <v>408666.84156154178</v>
      </c>
    </row>
    <row r="7" spans="1:11" x14ac:dyDescent="0.2">
      <c r="A7" s="72" t="s">
        <v>1132</v>
      </c>
      <c r="B7" s="53">
        <f>SUM(B3:B6)</f>
        <v>197335.58666070027</v>
      </c>
      <c r="C7" s="53">
        <f t="shared" ref="C7:J7" si="2">SUM(C3:C6)</f>
        <v>207376.51152118781</v>
      </c>
      <c r="D7" s="53">
        <f t="shared" si="2"/>
        <v>233222.24241370024</v>
      </c>
      <c r="E7" s="53">
        <f t="shared" si="2"/>
        <v>221298.38459810099</v>
      </c>
      <c r="F7" s="53">
        <f t="shared" si="2"/>
        <v>175948.93817573282</v>
      </c>
      <c r="G7" s="53">
        <f t="shared" si="2"/>
        <v>190818.86131520307</v>
      </c>
      <c r="H7" s="53">
        <f t="shared" si="2"/>
        <v>204333.42078077086</v>
      </c>
      <c r="I7" s="53">
        <f t="shared" si="2"/>
        <v>204333.42078077086</v>
      </c>
      <c r="J7" s="53">
        <f t="shared" si="2"/>
        <v>102166.71039038543</v>
      </c>
      <c r="K7" s="89">
        <f>SUM(K3:K6)</f>
        <v>1736834.0766365528</v>
      </c>
    </row>
    <row r="8" spans="1:11" x14ac:dyDescent="0.2">
      <c r="A8" s="8"/>
    </row>
    <row r="9" spans="1:11" x14ac:dyDescent="0.2">
      <c r="A9" s="70" t="s">
        <v>1140</v>
      </c>
      <c r="B9" s="41" t="s">
        <v>1141</v>
      </c>
    </row>
    <row r="10" spans="1:11" x14ac:dyDescent="0.2">
      <c r="A10" s="91"/>
      <c r="B10" t="s">
        <v>1180</v>
      </c>
      <c r="K10" s="53"/>
    </row>
    <row r="11" spans="1:11" x14ac:dyDescent="0.2">
      <c r="A11" s="92"/>
      <c r="B11" t="s">
        <v>1181</v>
      </c>
      <c r="K11" s="53"/>
    </row>
    <row r="12" spans="1:11" x14ac:dyDescent="0.2">
      <c r="A12" s="93"/>
      <c r="B12" t="s">
        <v>1178</v>
      </c>
    </row>
    <row r="16" spans="1:11" x14ac:dyDescent="0.2">
      <c r="A16" s="84" t="s">
        <v>1063</v>
      </c>
      <c r="B16" s="85" t="s">
        <v>1162</v>
      </c>
      <c r="C16" s="85" t="s">
        <v>1163</v>
      </c>
      <c r="D16" s="85" t="s">
        <v>1164</v>
      </c>
      <c r="E16" s="85" t="s">
        <v>1165</v>
      </c>
      <c r="F16" s="85" t="s">
        <v>1166</v>
      </c>
      <c r="G16" s="85" t="s">
        <v>1167</v>
      </c>
    </row>
    <row r="17" spans="1:7" x14ac:dyDescent="0.2">
      <c r="A17" s="72" t="s">
        <v>1099</v>
      </c>
      <c r="B17" s="53">
        <v>197335.58666070027</v>
      </c>
      <c r="C17" s="53">
        <v>207376.51152118781</v>
      </c>
      <c r="D17" s="53">
        <v>233222.24241370024</v>
      </c>
      <c r="E17" s="53">
        <v>221298.38459810099</v>
      </c>
      <c r="F17" s="53">
        <v>175948.93817573282</v>
      </c>
      <c r="G17" s="53">
        <v>190818.86131520307</v>
      </c>
    </row>
  </sheetData>
  <mergeCells count="1">
    <mergeCell ref="A1:K1"/>
  </mergeCells>
  <phoneticPr fontId="12" type="noConversion"/>
  <pageMargins left="0.7" right="0.7" top="0.75" bottom="0.75" header="0.3" footer="0.3"/>
  <pageSetup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8"/>
  <sheetViews>
    <sheetView topLeftCell="A19" workbookViewId="0">
      <selection activeCell="A31" sqref="A31"/>
    </sheetView>
  </sheetViews>
  <sheetFormatPr baseColWidth="10" defaultRowHeight="16" x14ac:dyDescent="0.2"/>
  <cols>
    <col min="1" max="1" width="24.33203125" bestFit="1" customWidth="1"/>
    <col min="2" max="2" width="16.6640625" bestFit="1" customWidth="1"/>
    <col min="3" max="3" width="22" bestFit="1" customWidth="1"/>
    <col min="4" max="4" width="20.33203125" bestFit="1" customWidth="1"/>
  </cols>
  <sheetData>
    <row r="3" spans="1:3" x14ac:dyDescent="0.2">
      <c r="A3" s="42" t="s">
        <v>1069</v>
      </c>
      <c r="B3" t="s">
        <v>1076</v>
      </c>
      <c r="C3" t="s">
        <v>1068</v>
      </c>
    </row>
    <row r="4" spans="1:3" x14ac:dyDescent="0.2">
      <c r="A4" s="44" t="s">
        <v>1073</v>
      </c>
      <c r="B4" s="50">
        <v>0.20915171709132246</v>
      </c>
      <c r="C4" s="50">
        <v>0.35490807538715596</v>
      </c>
    </row>
    <row r="5" spans="1:3" x14ac:dyDescent="0.2">
      <c r="A5" s="47" t="s">
        <v>845</v>
      </c>
      <c r="B5" s="50">
        <v>3.7968905707782964E-3</v>
      </c>
      <c r="C5" s="50">
        <v>1.3446321247134128E-2</v>
      </c>
    </row>
    <row r="6" spans="1:3" x14ac:dyDescent="0.2">
      <c r="A6" s="47" t="s">
        <v>847</v>
      </c>
      <c r="B6" s="50">
        <v>6.0539310767409524E-2</v>
      </c>
      <c r="C6" s="50">
        <v>0.1856221331506985</v>
      </c>
    </row>
    <row r="7" spans="1:3" x14ac:dyDescent="0.2">
      <c r="A7" s="47" t="s">
        <v>841</v>
      </c>
      <c r="B7" s="50">
        <v>2.1093836504323873E-4</v>
      </c>
      <c r="C7" s="50">
        <v>3.4497699187284713E-4</v>
      </c>
    </row>
    <row r="8" spans="1:3" x14ac:dyDescent="0.2">
      <c r="A8" s="47" t="s">
        <v>843</v>
      </c>
      <c r="B8" s="50">
        <v>8.4639018973599531E-2</v>
      </c>
      <c r="C8" s="50">
        <v>9.7675987881697471E-2</v>
      </c>
    </row>
    <row r="9" spans="1:3" x14ac:dyDescent="0.2">
      <c r="A9" s="47" t="s">
        <v>888</v>
      </c>
      <c r="B9" s="50">
        <v>3.4013811363222242E-2</v>
      </c>
      <c r="C9" s="50">
        <v>4.0152209279636634E-2</v>
      </c>
    </row>
    <row r="10" spans="1:3" x14ac:dyDescent="0.2">
      <c r="A10" s="47" t="s">
        <v>774</v>
      </c>
      <c r="B10" s="50">
        <v>5.2734591260809687E-4</v>
      </c>
      <c r="C10" s="50">
        <v>1.9939929511447461E-4</v>
      </c>
    </row>
    <row r="11" spans="1:3" x14ac:dyDescent="0.2">
      <c r="A11" s="47" t="s">
        <v>846</v>
      </c>
      <c r="B11" s="50">
        <v>1.3921932092853757E-2</v>
      </c>
      <c r="C11" s="50">
        <v>5.6921203659019773E-3</v>
      </c>
    </row>
    <row r="12" spans="1:3" x14ac:dyDescent="0.2">
      <c r="A12" s="47" t="s">
        <v>1089</v>
      </c>
      <c r="B12" s="50">
        <v>1.1502469045807807E-2</v>
      </c>
      <c r="C12" s="50">
        <v>1.1774927175099951E-2</v>
      </c>
    </row>
    <row r="13" spans="1:3" x14ac:dyDescent="0.2">
      <c r="A13" s="44" t="s">
        <v>1072</v>
      </c>
      <c r="B13" s="50">
        <v>8.0035552829487155E-2</v>
      </c>
      <c r="C13" s="50">
        <v>0.33739571767966081</v>
      </c>
    </row>
    <row r="14" spans="1:3" x14ac:dyDescent="0.2">
      <c r="A14" s="47" t="s">
        <v>890</v>
      </c>
      <c r="B14" s="50">
        <v>1.5820377378242905E-3</v>
      </c>
      <c r="C14" s="50">
        <v>9.3391821075201366E-3</v>
      </c>
    </row>
    <row r="15" spans="1:3" x14ac:dyDescent="0.2">
      <c r="A15" s="47" t="s">
        <v>850</v>
      </c>
      <c r="B15" s="50">
        <v>2.1299501410241027E-2</v>
      </c>
      <c r="C15" s="50">
        <v>0.21506753081273167</v>
      </c>
    </row>
    <row r="16" spans="1:3" x14ac:dyDescent="0.2">
      <c r="A16" s="47" t="s">
        <v>889</v>
      </c>
      <c r="B16" s="50">
        <v>6.328150951297162E-3</v>
      </c>
      <c r="C16" s="50">
        <v>6.3897260949561288E-2</v>
      </c>
    </row>
    <row r="17" spans="1:3" x14ac:dyDescent="0.2">
      <c r="A17" s="47" t="s">
        <v>884</v>
      </c>
      <c r="B17" s="50">
        <v>2.5312603805188651E-2</v>
      </c>
      <c r="C17" s="50">
        <v>2.3507717874764012E-2</v>
      </c>
    </row>
    <row r="18" spans="1:3" x14ac:dyDescent="0.2">
      <c r="A18" s="47" t="s">
        <v>15</v>
      </c>
      <c r="B18" s="50">
        <v>6.2701429009102711E-3</v>
      </c>
      <c r="C18" s="50">
        <v>1.0717047448085959E-2</v>
      </c>
    </row>
    <row r="19" spans="1:3" x14ac:dyDescent="0.2">
      <c r="A19" s="47" t="s">
        <v>862</v>
      </c>
      <c r="B19" s="50">
        <v>2.6301377391328828E-3</v>
      </c>
      <c r="C19" s="50">
        <v>1.7367435434598648E-3</v>
      </c>
    </row>
    <row r="20" spans="1:3" x14ac:dyDescent="0.2">
      <c r="A20" s="47" t="s">
        <v>852</v>
      </c>
      <c r="B20" s="50">
        <v>1.6612978284892874E-2</v>
      </c>
      <c r="C20" s="50">
        <v>1.3130234943537898E-2</v>
      </c>
    </row>
    <row r="21" spans="1:3" x14ac:dyDescent="0.2">
      <c r="A21" s="44" t="s">
        <v>1071</v>
      </c>
      <c r="B21" s="50">
        <v>0.71081273007919066</v>
      </c>
      <c r="C21" s="50">
        <v>0.30769620693318317</v>
      </c>
    </row>
    <row r="22" spans="1:3" x14ac:dyDescent="0.2">
      <c r="A22" s="47" t="s">
        <v>918</v>
      </c>
      <c r="B22" s="50">
        <v>3.164075475648581E-3</v>
      </c>
      <c r="C22" s="50">
        <v>3.1612083371806948E-3</v>
      </c>
    </row>
    <row r="23" spans="1:3" x14ac:dyDescent="0.2">
      <c r="A23" s="47" t="s">
        <v>870</v>
      </c>
      <c r="B23" s="50">
        <v>4.1853567732255768E-3</v>
      </c>
      <c r="C23" s="50">
        <v>1.0884933263590629E-3</v>
      </c>
    </row>
    <row r="24" spans="1:3" x14ac:dyDescent="0.2">
      <c r="A24" s="47" t="s">
        <v>858</v>
      </c>
      <c r="B24" s="50">
        <v>1.1390671712334891E-2</v>
      </c>
      <c r="C24" s="50">
        <v>1.3096156631323345E-3</v>
      </c>
    </row>
    <row r="25" spans="1:3" x14ac:dyDescent="0.2">
      <c r="A25" s="47" t="s">
        <v>898</v>
      </c>
      <c r="B25" s="50">
        <v>1.2656301902594324E-2</v>
      </c>
      <c r="C25" s="50">
        <v>1.1983411296635743E-3</v>
      </c>
    </row>
    <row r="26" spans="1:3" x14ac:dyDescent="0.2">
      <c r="A26" s="47" t="s">
        <v>935</v>
      </c>
      <c r="B26" s="50">
        <v>6.328150951297162E-3</v>
      </c>
      <c r="C26" s="50">
        <v>5.9917056483178713E-4</v>
      </c>
    </row>
    <row r="27" spans="1:3" x14ac:dyDescent="0.2">
      <c r="A27" s="47" t="s">
        <v>897</v>
      </c>
      <c r="B27" s="50">
        <v>1.2656301902594324E-2</v>
      </c>
      <c r="C27" s="50">
        <v>1.1983411296635743E-3</v>
      </c>
    </row>
    <row r="28" spans="1:3" x14ac:dyDescent="0.2">
      <c r="A28" s="47" t="s">
        <v>920</v>
      </c>
      <c r="B28" s="50">
        <v>1.0546918252161937E-3</v>
      </c>
      <c r="C28" s="50">
        <v>9.9861760805297842E-5</v>
      </c>
    </row>
    <row r="29" spans="1:3" x14ac:dyDescent="0.2">
      <c r="A29" s="47" t="s">
        <v>893</v>
      </c>
      <c r="B29" s="50">
        <v>2.1093836504323875E-3</v>
      </c>
      <c r="C29" s="50">
        <v>2.2870937036382176E-3</v>
      </c>
    </row>
    <row r="30" spans="1:3" x14ac:dyDescent="0.2">
      <c r="A30" s="47" t="s">
        <v>1087</v>
      </c>
      <c r="B30" s="50">
        <v>1.0546918252161937E-3</v>
      </c>
      <c r="C30" s="50">
        <v>0</v>
      </c>
    </row>
    <row r="31" spans="1:3" x14ac:dyDescent="0.2">
      <c r="A31" s="47" t="s">
        <v>1086</v>
      </c>
      <c r="B31" s="50">
        <v>0</v>
      </c>
      <c r="C31" s="50">
        <v>0</v>
      </c>
    </row>
    <row r="32" spans="1:3" x14ac:dyDescent="0.2">
      <c r="A32" s="47" t="s">
        <v>895</v>
      </c>
      <c r="B32" s="50">
        <v>1.8351637758761766E-3</v>
      </c>
      <c r="C32" s="50">
        <v>3.8757386893323678E-3</v>
      </c>
    </row>
    <row r="33" spans="1:3" x14ac:dyDescent="0.2">
      <c r="A33" s="47" t="s">
        <v>868</v>
      </c>
      <c r="B33" s="50">
        <v>1.8457106941283388E-3</v>
      </c>
      <c r="C33" s="50">
        <v>7.2626735131125705E-4</v>
      </c>
    </row>
    <row r="34" spans="1:3" x14ac:dyDescent="0.2">
      <c r="A34" s="47" t="s">
        <v>880</v>
      </c>
      <c r="B34" s="50">
        <v>1.6611396247155051E-3</v>
      </c>
      <c r="C34" s="50">
        <v>6.5364061618013137E-4</v>
      </c>
    </row>
    <row r="35" spans="1:3" x14ac:dyDescent="0.2">
      <c r="A35" s="47" t="s">
        <v>905</v>
      </c>
      <c r="B35" s="50">
        <v>7.3828427765133559E-3</v>
      </c>
      <c r="C35" s="50">
        <v>6.0053231611549565E-3</v>
      </c>
    </row>
    <row r="36" spans="1:3" x14ac:dyDescent="0.2">
      <c r="A36" s="47" t="s">
        <v>861</v>
      </c>
      <c r="B36" s="50">
        <v>0.1191538089537995</v>
      </c>
      <c r="C36" s="50">
        <v>5.8973476322842291E-2</v>
      </c>
    </row>
    <row r="37" spans="1:3" x14ac:dyDescent="0.2">
      <c r="A37" s="47" t="s">
        <v>901</v>
      </c>
      <c r="B37" s="50">
        <v>1.2682669198224729E-2</v>
      </c>
      <c r="C37" s="50">
        <v>6.2771060215284667E-3</v>
      </c>
    </row>
    <row r="38" spans="1:3" x14ac:dyDescent="0.2">
      <c r="A38" s="47" t="s">
        <v>903</v>
      </c>
      <c r="B38" s="50">
        <v>1.0546918252161937E-3</v>
      </c>
      <c r="C38" s="50">
        <v>5.2200465875496612E-4</v>
      </c>
    </row>
    <row r="39" spans="1:3" x14ac:dyDescent="0.2">
      <c r="A39" s="47" t="s">
        <v>910</v>
      </c>
      <c r="B39" s="50">
        <v>2.636729563040484E-3</v>
      </c>
      <c r="C39" s="50">
        <v>1.305011646887415E-3</v>
      </c>
    </row>
    <row r="40" spans="1:3" x14ac:dyDescent="0.2">
      <c r="A40" s="47" t="s">
        <v>896</v>
      </c>
      <c r="B40" s="50">
        <v>3.480483023213439E-2</v>
      </c>
      <c r="C40" s="50">
        <v>5.2534419166501327E-3</v>
      </c>
    </row>
    <row r="41" spans="1:3" x14ac:dyDescent="0.2">
      <c r="A41" s="47" t="s">
        <v>853</v>
      </c>
      <c r="B41" s="50">
        <v>9.4263081878697298E-3</v>
      </c>
      <c r="C41" s="50">
        <v>3.4773291708987642E-3</v>
      </c>
    </row>
    <row r="42" spans="1:3" x14ac:dyDescent="0.2">
      <c r="A42" s="47" t="s">
        <v>919</v>
      </c>
      <c r="B42" s="50">
        <v>0</v>
      </c>
      <c r="C42" s="50">
        <v>0</v>
      </c>
    </row>
    <row r="43" spans="1:3" x14ac:dyDescent="0.2">
      <c r="A43" s="47" t="s">
        <v>980</v>
      </c>
      <c r="B43" s="50">
        <v>3.7046767551159938E-2</v>
      </c>
      <c r="C43" s="50">
        <v>3.7924291580402072E-2</v>
      </c>
    </row>
    <row r="44" spans="1:3" x14ac:dyDescent="0.2">
      <c r="A44" s="47" t="s">
        <v>849</v>
      </c>
      <c r="B44" s="50">
        <v>6.328150951297162E-3</v>
      </c>
      <c r="C44" s="50">
        <v>1.472636745382022E-3</v>
      </c>
    </row>
    <row r="45" spans="1:3" x14ac:dyDescent="0.2">
      <c r="A45" s="47" t="s">
        <v>916</v>
      </c>
      <c r="B45" s="50">
        <v>2.9004025193445325E-3</v>
      </c>
      <c r="C45" s="50">
        <v>4.9039257538315906E-4</v>
      </c>
    </row>
    <row r="46" spans="1:3" x14ac:dyDescent="0.2">
      <c r="A46" s="47" t="s">
        <v>900</v>
      </c>
      <c r="B46" s="50">
        <v>3.7968905707782973E-3</v>
      </c>
      <c r="C46" s="50">
        <v>8.8708369338732129E-4</v>
      </c>
    </row>
    <row r="47" spans="1:3" x14ac:dyDescent="0.2">
      <c r="A47" s="47" t="s">
        <v>881</v>
      </c>
      <c r="B47" s="50">
        <v>2.471933965350454E-4</v>
      </c>
      <c r="C47" s="50">
        <v>1.9225618012180668E-4</v>
      </c>
    </row>
    <row r="48" spans="1:3" x14ac:dyDescent="0.2">
      <c r="A48" s="47" t="s">
        <v>879</v>
      </c>
      <c r="B48" s="50">
        <v>5.2734591260809687E-4</v>
      </c>
      <c r="C48" s="50">
        <v>2.2987658574985772E-4</v>
      </c>
    </row>
    <row r="49" spans="1:3" x14ac:dyDescent="0.2">
      <c r="A49" s="47" t="s">
        <v>89</v>
      </c>
      <c r="B49" s="50">
        <v>3.5226706962220864E-3</v>
      </c>
      <c r="C49" s="50">
        <v>4.4291284729118557E-4</v>
      </c>
    </row>
    <row r="50" spans="1:3" x14ac:dyDescent="0.2">
      <c r="A50" s="47" t="s">
        <v>863</v>
      </c>
      <c r="B50" s="50">
        <v>3.6914213882566778E-2</v>
      </c>
      <c r="C50" s="50">
        <v>4.0625579963973436E-3</v>
      </c>
    </row>
    <row r="51" spans="1:3" x14ac:dyDescent="0.2">
      <c r="A51" s="47" t="s">
        <v>899</v>
      </c>
      <c r="B51" s="50">
        <v>4.2187673008647749E-3</v>
      </c>
      <c r="C51" s="50">
        <v>7.132982914664133E-4</v>
      </c>
    </row>
    <row r="52" spans="1:3" x14ac:dyDescent="0.2">
      <c r="A52" s="47" t="s">
        <v>878</v>
      </c>
      <c r="B52" s="50">
        <v>3.164075475648581E-3</v>
      </c>
      <c r="C52" s="50">
        <v>2.3733379516064292E-3</v>
      </c>
    </row>
    <row r="53" spans="1:3" x14ac:dyDescent="0.2">
      <c r="A53" s="47" t="s">
        <v>866</v>
      </c>
      <c r="B53" s="50">
        <v>2.5312603805188647E-3</v>
      </c>
      <c r="C53" s="50">
        <v>2.5289666697445559E-3</v>
      </c>
    </row>
    <row r="54" spans="1:3" x14ac:dyDescent="0.2">
      <c r="A54" s="47" t="s">
        <v>865</v>
      </c>
      <c r="B54" s="50">
        <v>2.5080571603641084E-3</v>
      </c>
      <c r="C54" s="50">
        <v>3.7625317659467254E-4</v>
      </c>
    </row>
    <row r="55" spans="1:3" x14ac:dyDescent="0.2">
      <c r="A55" s="47" t="s">
        <v>876</v>
      </c>
      <c r="B55" s="50">
        <v>9.4922264269457421E-3</v>
      </c>
      <c r="C55" s="50">
        <v>1.7479050405888333E-2</v>
      </c>
    </row>
    <row r="56" spans="1:3" x14ac:dyDescent="0.2">
      <c r="A56" s="47" t="s">
        <v>867</v>
      </c>
      <c r="B56" s="50">
        <v>3.5532567591533566E-2</v>
      </c>
      <c r="C56" s="50">
        <v>2.8902762471330074E-2</v>
      </c>
    </row>
    <row r="57" spans="1:3" x14ac:dyDescent="0.2">
      <c r="A57" s="47" t="s">
        <v>883</v>
      </c>
      <c r="B57" s="50">
        <v>3.164075475648581E-3</v>
      </c>
      <c r="C57" s="50">
        <v>3.11841043969271E-3</v>
      </c>
    </row>
    <row r="58" spans="1:3" x14ac:dyDescent="0.2">
      <c r="A58" s="47" t="s">
        <v>904</v>
      </c>
      <c r="B58" s="50">
        <v>3.164075475648581E-3</v>
      </c>
      <c r="C58" s="50">
        <v>0</v>
      </c>
    </row>
    <row r="59" spans="1:3" x14ac:dyDescent="0.2">
      <c r="A59" s="47" t="s">
        <v>875</v>
      </c>
      <c r="B59" s="50">
        <v>2.0039144679107678E-2</v>
      </c>
      <c r="C59" s="50">
        <v>3.6900217523542049E-2</v>
      </c>
    </row>
    <row r="60" spans="1:3" x14ac:dyDescent="0.2">
      <c r="A60" s="47" t="s">
        <v>911</v>
      </c>
      <c r="B60" s="50">
        <v>6.3281509512971618E-4</v>
      </c>
      <c r="C60" s="50">
        <v>2.2955235925373662E-5</v>
      </c>
    </row>
    <row r="61" spans="1:3" x14ac:dyDescent="0.2">
      <c r="A61" s="47" t="s">
        <v>921</v>
      </c>
      <c r="B61" s="50">
        <v>1.0546918252161937E-3</v>
      </c>
      <c r="C61" s="50">
        <v>2.0004774810671681E-4</v>
      </c>
    </row>
    <row r="62" spans="1:3" x14ac:dyDescent="0.2">
      <c r="A62" s="47" t="s">
        <v>891</v>
      </c>
      <c r="B62" s="50">
        <v>4.746113213472871E-3</v>
      </c>
      <c r="C62" s="50">
        <v>9.0021486648022544E-4</v>
      </c>
    </row>
    <row r="63" spans="1:3" x14ac:dyDescent="0.2">
      <c r="A63" s="47" t="s">
        <v>848</v>
      </c>
      <c r="B63" s="50">
        <v>1.1074264164770032E-3</v>
      </c>
      <c r="C63" s="50">
        <v>1.7872985598675468E-4</v>
      </c>
    </row>
    <row r="64" spans="1:3" x14ac:dyDescent="0.2">
      <c r="A64" s="47" t="s">
        <v>909</v>
      </c>
      <c r="B64" s="50">
        <v>1.5820377378242905E-3</v>
      </c>
      <c r="C64" s="50">
        <v>4.2311557743803142E-4</v>
      </c>
    </row>
    <row r="65" spans="1:3" x14ac:dyDescent="0.2">
      <c r="A65" s="47" t="s">
        <v>908</v>
      </c>
      <c r="B65" s="50">
        <v>4.4507995024123366E-3</v>
      </c>
      <c r="C65" s="50">
        <v>1.0932204150911921E-3</v>
      </c>
    </row>
    <row r="66" spans="1:3" x14ac:dyDescent="0.2">
      <c r="A66" s="47" t="s">
        <v>937</v>
      </c>
      <c r="B66" s="50">
        <v>1.7613353481110432E-3</v>
      </c>
      <c r="C66" s="50">
        <v>4.3262514056926322E-4</v>
      </c>
    </row>
    <row r="67" spans="1:3" x14ac:dyDescent="0.2">
      <c r="A67" s="47" t="s">
        <v>854</v>
      </c>
      <c r="B67" s="50">
        <v>6.3914324608101342E-2</v>
      </c>
      <c r="C67" s="50">
        <v>4.2636432692916481E-3</v>
      </c>
    </row>
    <row r="68" spans="1:3" x14ac:dyDescent="0.2">
      <c r="A68" s="47" t="s">
        <v>914</v>
      </c>
      <c r="B68" s="50">
        <v>6.328150951297162E-3</v>
      </c>
      <c r="C68" s="50">
        <v>3.0055796190425681E-3</v>
      </c>
    </row>
    <row r="69" spans="1:3" x14ac:dyDescent="0.2">
      <c r="A69" s="47" t="s">
        <v>882</v>
      </c>
      <c r="B69" s="50">
        <v>2.7685660411925083E-3</v>
      </c>
      <c r="C69" s="50">
        <v>5.8214867378542957E-4</v>
      </c>
    </row>
    <row r="70" spans="1:3" x14ac:dyDescent="0.2">
      <c r="A70" s="47" t="s">
        <v>859</v>
      </c>
      <c r="B70" s="50">
        <v>4.2715018921255843E-2</v>
      </c>
      <c r="C70" s="50">
        <v>2.0235137736165719E-2</v>
      </c>
    </row>
    <row r="71" spans="1:3" x14ac:dyDescent="0.2">
      <c r="A71" s="47" t="s">
        <v>906</v>
      </c>
      <c r="B71" s="50">
        <v>1.6664130838415861E-3</v>
      </c>
      <c r="C71" s="50">
        <v>1.1956565342756918E-3</v>
      </c>
    </row>
    <row r="72" spans="1:3" x14ac:dyDescent="0.2">
      <c r="A72" s="47" t="s">
        <v>933</v>
      </c>
      <c r="B72" s="50">
        <v>1.600494844765574E-2</v>
      </c>
      <c r="C72" s="50">
        <v>1.2693953662885125E-3</v>
      </c>
    </row>
    <row r="73" spans="1:3" x14ac:dyDescent="0.2">
      <c r="A73" s="47" t="s">
        <v>869</v>
      </c>
      <c r="B73" s="50">
        <v>6.0117434037323036E-3</v>
      </c>
      <c r="C73" s="50">
        <v>1.6078391942645192E-3</v>
      </c>
    </row>
    <row r="74" spans="1:3" x14ac:dyDescent="0.2">
      <c r="A74" s="47" t="s">
        <v>907</v>
      </c>
      <c r="B74" s="50">
        <v>1.155381935404802E-2</v>
      </c>
      <c r="C74" s="50">
        <v>3.0900659514771231E-3</v>
      </c>
    </row>
    <row r="75" spans="1:3" x14ac:dyDescent="0.2">
      <c r="A75" s="47" t="s">
        <v>860</v>
      </c>
      <c r="B75" s="50">
        <v>1.0546918252161936E-2</v>
      </c>
      <c r="C75" s="50">
        <v>2.2695854728476783E-3</v>
      </c>
    </row>
    <row r="76" spans="1:3" x14ac:dyDescent="0.2">
      <c r="A76" s="47" t="s">
        <v>915</v>
      </c>
      <c r="B76" s="50">
        <v>3.164075475648581E-3</v>
      </c>
      <c r="C76" s="50">
        <v>2.9374920548571378E-4</v>
      </c>
    </row>
    <row r="77" spans="1:3" x14ac:dyDescent="0.2">
      <c r="A77" s="47" t="s">
        <v>864</v>
      </c>
      <c r="B77" s="50">
        <v>4.6448627982521168E-3</v>
      </c>
      <c r="C77" s="50">
        <v>9.6439926241475155E-3</v>
      </c>
    </row>
    <row r="78" spans="1:3" x14ac:dyDescent="0.2">
      <c r="A78" s="47" t="s">
        <v>902</v>
      </c>
      <c r="B78" s="50">
        <v>2.3224313991260584E-3</v>
      </c>
      <c r="C78" s="50">
        <v>4.8219963120737577E-3</v>
      </c>
    </row>
    <row r="79" spans="1:3" x14ac:dyDescent="0.2">
      <c r="A79" s="47" t="s">
        <v>857</v>
      </c>
      <c r="B79" s="50">
        <v>7.9101886891214515E-2</v>
      </c>
      <c r="C79" s="50">
        <v>1.1428983988268665E-2</v>
      </c>
    </row>
    <row r="80" spans="1:3" x14ac:dyDescent="0.2">
      <c r="A80" s="47" t="s">
        <v>917</v>
      </c>
      <c r="B80" s="50">
        <v>3.164075475648581E-3</v>
      </c>
      <c r="C80" s="50">
        <v>1.147761796268683E-4</v>
      </c>
    </row>
    <row r="81" spans="1:3" x14ac:dyDescent="0.2">
      <c r="A81" s="47" t="s">
        <v>892</v>
      </c>
      <c r="B81" s="50">
        <v>5.0224281278706895E-3</v>
      </c>
      <c r="C81" s="50">
        <v>1.9762715712618442E-3</v>
      </c>
    </row>
    <row r="82" spans="1:3" x14ac:dyDescent="0.2">
      <c r="A82" s="47" t="s">
        <v>894</v>
      </c>
      <c r="B82" s="50">
        <v>2.2600926575418109E-3</v>
      </c>
      <c r="C82" s="50">
        <v>8.8932220706783023E-4</v>
      </c>
    </row>
    <row r="83" spans="1:3" x14ac:dyDescent="0.2">
      <c r="A83" s="47" t="s">
        <v>872</v>
      </c>
      <c r="B83" s="50">
        <v>4.8083400311606265E-3</v>
      </c>
      <c r="C83" s="50">
        <v>5.0257052257746755E-4</v>
      </c>
    </row>
    <row r="84" spans="1:3" x14ac:dyDescent="0.2">
      <c r="A84" s="47" t="s">
        <v>985</v>
      </c>
      <c r="B84" s="50">
        <v>6.3281509512971618E-4</v>
      </c>
      <c r="C84" s="50">
        <v>6.7503956492412367E-5</v>
      </c>
    </row>
    <row r="85" spans="1:3" x14ac:dyDescent="0.2">
      <c r="A85" s="47" t="s">
        <v>873</v>
      </c>
      <c r="B85" s="50">
        <v>3.5479833000272754E-3</v>
      </c>
      <c r="C85" s="50">
        <v>8.5074438770206854E-4</v>
      </c>
    </row>
    <row r="86" spans="1:3" x14ac:dyDescent="0.2">
      <c r="A86" s="47" t="s">
        <v>856</v>
      </c>
      <c r="B86" s="50">
        <v>5.8594994825158055E-4</v>
      </c>
      <c r="C86" s="50">
        <v>2.3056501664721522E-4</v>
      </c>
    </row>
    <row r="87" spans="1:3" x14ac:dyDescent="0.2">
      <c r="A87" s="47" t="s">
        <v>871</v>
      </c>
      <c r="B87" s="50">
        <v>2.5312603805188647E-3</v>
      </c>
      <c r="C87" s="50">
        <v>0</v>
      </c>
    </row>
    <row r="88" spans="1:3" x14ac:dyDescent="0.2">
      <c r="A88" s="44" t="s">
        <v>1070</v>
      </c>
      <c r="B88" s="50">
        <v>1</v>
      </c>
      <c r="C88" s="50">
        <v>1</v>
      </c>
    </row>
  </sheetData>
  <phoneticPr fontId="12" type="noConversion"/>
  <pageMargins left="0.7" right="0.7" top="0.75" bottom="0.75" header="0.3" footer="0.3"/>
  <pageSetup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R262"/>
  <sheetViews>
    <sheetView workbookViewId="0">
      <pane ySplit="2" topLeftCell="A107" activePane="bottomLeft" state="frozen"/>
      <selection activeCell="A31" sqref="A31"/>
      <selection pane="bottomLeft" activeCell="A31" sqref="A31"/>
    </sheetView>
  </sheetViews>
  <sheetFormatPr baseColWidth="10" defaultRowHeight="16" x14ac:dyDescent="0.2"/>
  <cols>
    <col min="1" max="1" width="11.5" bestFit="1" customWidth="1"/>
    <col min="2" max="2" width="17.83203125" bestFit="1" customWidth="1"/>
    <col min="5" max="5" width="13.5" bestFit="1" customWidth="1"/>
    <col min="6" max="6" width="25.83203125" customWidth="1"/>
    <col min="7" max="8" width="17.83203125" customWidth="1"/>
    <col min="11" max="11" width="18.1640625" bestFit="1" customWidth="1"/>
    <col min="12" max="12" width="16" bestFit="1" customWidth="1"/>
    <col min="13" max="13" width="14" bestFit="1" customWidth="1"/>
    <col min="16" max="16" width="16.5" bestFit="1" customWidth="1"/>
    <col min="17" max="18" width="13" bestFit="1" customWidth="1"/>
    <col min="19" max="19" width="18" bestFit="1" customWidth="1"/>
  </cols>
  <sheetData>
    <row r="1" spans="1:12" x14ac:dyDescent="0.2">
      <c r="A1" s="94" t="s">
        <v>471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x14ac:dyDescent="0.2">
      <c r="A2" s="1" t="s">
        <v>0</v>
      </c>
      <c r="B2" s="1" t="s">
        <v>1</v>
      </c>
      <c r="C2" s="2" t="s">
        <v>172</v>
      </c>
      <c r="D2" s="2" t="s">
        <v>472</v>
      </c>
      <c r="E2" s="2" t="s">
        <v>173</v>
      </c>
      <c r="F2" s="31" t="s">
        <v>4</v>
      </c>
      <c r="G2" s="31" t="s">
        <v>780</v>
      </c>
      <c r="H2" s="31" t="s">
        <v>934</v>
      </c>
      <c r="I2" s="3" t="s">
        <v>938</v>
      </c>
      <c r="J2" s="3" t="s">
        <v>6</v>
      </c>
      <c r="K2" s="1" t="s">
        <v>7</v>
      </c>
      <c r="L2" s="1" t="s">
        <v>8</v>
      </c>
    </row>
    <row r="3" spans="1:12" x14ac:dyDescent="0.2">
      <c r="A3" s="4">
        <v>43437</v>
      </c>
      <c r="B3" t="s">
        <v>538</v>
      </c>
      <c r="C3">
        <v>1</v>
      </c>
      <c r="D3">
        <v>6</v>
      </c>
      <c r="E3">
        <v>10</v>
      </c>
      <c r="F3" t="s">
        <v>577</v>
      </c>
      <c r="G3" s="6" t="s">
        <v>918</v>
      </c>
      <c r="H3" t="s">
        <v>1071</v>
      </c>
      <c r="I3">
        <f t="shared" ref="I3:I66" si="0">C3*D3*E3</f>
        <v>60</v>
      </c>
      <c r="J3">
        <f t="shared" ref="J3:J66" si="1">CONVERT(I3,"lbm","kg")</f>
        <v>27.215542200000002</v>
      </c>
      <c r="K3">
        <v>3.25</v>
      </c>
      <c r="L3">
        <f t="shared" ref="L3:L66" si="2">J3*K3</f>
        <v>88.450512150000009</v>
      </c>
    </row>
    <row r="4" spans="1:12" x14ac:dyDescent="0.2">
      <c r="A4" s="4">
        <v>43434</v>
      </c>
      <c r="B4" t="s">
        <v>538</v>
      </c>
      <c r="C4">
        <v>2</v>
      </c>
      <c r="D4">
        <v>6</v>
      </c>
      <c r="E4">
        <v>6.6138700000000004</v>
      </c>
      <c r="F4" t="s">
        <v>447</v>
      </c>
      <c r="G4" t="s">
        <v>870</v>
      </c>
      <c r="H4" t="s">
        <v>1071</v>
      </c>
      <c r="I4">
        <f t="shared" si="0"/>
        <v>79.366440000000011</v>
      </c>
      <c r="J4">
        <f t="shared" si="1"/>
        <v>36.000011618062807</v>
      </c>
      <c r="K4">
        <v>0.84599999999999997</v>
      </c>
      <c r="L4">
        <f t="shared" si="2"/>
        <v>30.456009828881133</v>
      </c>
    </row>
    <row r="5" spans="1:12" x14ac:dyDescent="0.2">
      <c r="A5" s="4">
        <v>43434</v>
      </c>
      <c r="B5" t="s">
        <v>538</v>
      </c>
      <c r="C5">
        <v>2</v>
      </c>
      <c r="D5">
        <v>6</v>
      </c>
      <c r="E5">
        <v>10</v>
      </c>
      <c r="F5" t="s">
        <v>565</v>
      </c>
      <c r="G5" t="s">
        <v>935</v>
      </c>
      <c r="H5" t="s">
        <v>1071</v>
      </c>
      <c r="I5">
        <f t="shared" si="0"/>
        <v>120</v>
      </c>
      <c r="J5">
        <f t="shared" si="1"/>
        <v>54.431084400000003</v>
      </c>
      <c r="K5">
        <v>0.308</v>
      </c>
      <c r="L5">
        <f t="shared" si="2"/>
        <v>16.764773995200002</v>
      </c>
    </row>
    <row r="6" spans="1:12" x14ac:dyDescent="0.2">
      <c r="A6" s="4">
        <v>43434</v>
      </c>
      <c r="B6" t="s">
        <v>538</v>
      </c>
      <c r="C6">
        <v>3</v>
      </c>
      <c r="D6">
        <v>6</v>
      </c>
      <c r="E6">
        <v>10</v>
      </c>
      <c r="F6" t="s">
        <v>420</v>
      </c>
      <c r="G6" t="s">
        <v>898</v>
      </c>
      <c r="H6" t="s">
        <v>1071</v>
      </c>
      <c r="I6">
        <f t="shared" si="0"/>
        <v>180</v>
      </c>
      <c r="J6">
        <f t="shared" si="1"/>
        <v>81.646626600000005</v>
      </c>
      <c r="K6">
        <v>0.308</v>
      </c>
      <c r="L6">
        <f t="shared" si="2"/>
        <v>25.1471609928</v>
      </c>
    </row>
    <row r="7" spans="1:12" x14ac:dyDescent="0.2">
      <c r="A7" s="4">
        <v>43439</v>
      </c>
      <c r="B7" t="s">
        <v>538</v>
      </c>
      <c r="C7">
        <v>1</v>
      </c>
      <c r="D7">
        <v>6</v>
      </c>
      <c r="E7">
        <v>10</v>
      </c>
      <c r="F7" t="s">
        <v>420</v>
      </c>
      <c r="G7" t="s">
        <v>898</v>
      </c>
      <c r="H7" t="s">
        <v>1071</v>
      </c>
      <c r="I7">
        <f t="shared" si="0"/>
        <v>60</v>
      </c>
      <c r="J7">
        <f t="shared" si="1"/>
        <v>27.215542200000002</v>
      </c>
      <c r="K7">
        <v>0.308</v>
      </c>
      <c r="L7">
        <f t="shared" si="2"/>
        <v>8.3823869976000012</v>
      </c>
    </row>
    <row r="8" spans="1:12" x14ac:dyDescent="0.2">
      <c r="A8" s="4">
        <v>43434</v>
      </c>
      <c r="B8" t="s">
        <v>538</v>
      </c>
      <c r="C8">
        <v>3</v>
      </c>
      <c r="D8">
        <v>6</v>
      </c>
      <c r="E8">
        <v>10</v>
      </c>
      <c r="F8" t="s">
        <v>540</v>
      </c>
      <c r="G8" t="s">
        <v>897</v>
      </c>
      <c r="H8" t="s">
        <v>1071</v>
      </c>
      <c r="I8">
        <f t="shared" si="0"/>
        <v>180</v>
      </c>
      <c r="J8">
        <f t="shared" si="1"/>
        <v>81.646626600000005</v>
      </c>
      <c r="K8">
        <v>0.308</v>
      </c>
      <c r="L8">
        <f t="shared" si="2"/>
        <v>25.1471609928</v>
      </c>
    </row>
    <row r="9" spans="1:12" x14ac:dyDescent="0.2">
      <c r="A9" s="4">
        <v>43439</v>
      </c>
      <c r="B9" t="s">
        <v>538</v>
      </c>
      <c r="C9">
        <v>1</v>
      </c>
      <c r="D9">
        <v>6</v>
      </c>
      <c r="E9">
        <v>10</v>
      </c>
      <c r="F9" t="s">
        <v>440</v>
      </c>
      <c r="G9" t="s">
        <v>922</v>
      </c>
      <c r="H9" t="s">
        <v>1071</v>
      </c>
      <c r="I9">
        <f t="shared" si="0"/>
        <v>60</v>
      </c>
      <c r="J9">
        <f t="shared" si="1"/>
        <v>27.215542200000002</v>
      </c>
      <c r="K9">
        <v>0.308</v>
      </c>
      <c r="L9">
        <f t="shared" si="2"/>
        <v>8.3823869976000012</v>
      </c>
    </row>
    <row r="10" spans="1:12" x14ac:dyDescent="0.2">
      <c r="A10" s="4">
        <v>43439</v>
      </c>
      <c r="B10" t="s">
        <v>538</v>
      </c>
      <c r="C10">
        <v>1</v>
      </c>
      <c r="D10">
        <v>1</v>
      </c>
      <c r="E10">
        <v>20</v>
      </c>
      <c r="F10" t="s">
        <v>591</v>
      </c>
      <c r="G10" t="s">
        <v>920</v>
      </c>
      <c r="H10" t="s">
        <v>1071</v>
      </c>
      <c r="I10">
        <f t="shared" si="0"/>
        <v>20</v>
      </c>
      <c r="J10">
        <f t="shared" si="1"/>
        <v>9.0718474000000011</v>
      </c>
      <c r="K10">
        <v>0.308</v>
      </c>
      <c r="L10">
        <f t="shared" si="2"/>
        <v>2.7941289992000002</v>
      </c>
    </row>
    <row r="11" spans="1:12" x14ac:dyDescent="0.2">
      <c r="A11" s="4">
        <v>43434</v>
      </c>
      <c r="B11" t="s">
        <v>538</v>
      </c>
      <c r="C11">
        <v>1</v>
      </c>
      <c r="D11">
        <v>1</v>
      </c>
      <c r="E11">
        <v>25</v>
      </c>
      <c r="F11" t="s">
        <v>551</v>
      </c>
      <c r="G11" s="6" t="s">
        <v>868</v>
      </c>
      <c r="H11" t="s">
        <v>1071</v>
      </c>
      <c r="I11">
        <f t="shared" si="0"/>
        <v>25</v>
      </c>
      <c r="J11">
        <f t="shared" si="1"/>
        <v>11.33980925</v>
      </c>
      <c r="K11">
        <v>1.28</v>
      </c>
      <c r="L11">
        <f t="shared" si="2"/>
        <v>14.514955840000001</v>
      </c>
    </row>
    <row r="12" spans="1:12" x14ac:dyDescent="0.2">
      <c r="A12" s="4">
        <v>43434</v>
      </c>
      <c r="B12" t="s">
        <v>538</v>
      </c>
      <c r="C12">
        <v>4</v>
      </c>
      <c r="D12">
        <v>1</v>
      </c>
      <c r="E12">
        <v>35</v>
      </c>
      <c r="F12" t="s">
        <v>441</v>
      </c>
      <c r="G12" t="s">
        <v>905</v>
      </c>
      <c r="H12" t="s">
        <v>1071</v>
      </c>
      <c r="I12">
        <f t="shared" si="0"/>
        <v>140</v>
      </c>
      <c r="J12">
        <f t="shared" si="1"/>
        <v>63.502931800000006</v>
      </c>
      <c r="K12">
        <v>2.6459999999999999</v>
      </c>
      <c r="L12">
        <f t="shared" si="2"/>
        <v>168.02875754280001</v>
      </c>
    </row>
    <row r="13" spans="1:12" x14ac:dyDescent="0.2">
      <c r="A13" s="4">
        <v>43434</v>
      </c>
      <c r="B13" t="s">
        <v>538</v>
      </c>
      <c r="C13">
        <v>2</v>
      </c>
      <c r="D13">
        <v>4</v>
      </c>
      <c r="E13">
        <v>30.3125</v>
      </c>
      <c r="F13" t="s">
        <v>470</v>
      </c>
      <c r="G13" s="6" t="s">
        <v>861</v>
      </c>
      <c r="H13" t="s">
        <v>1071</v>
      </c>
      <c r="I13">
        <f t="shared" si="0"/>
        <v>242.5</v>
      </c>
      <c r="J13">
        <f t="shared" si="1"/>
        <v>109.99614972500001</v>
      </c>
      <c r="K13">
        <v>1.61</v>
      </c>
      <c r="L13">
        <f t="shared" si="2"/>
        <v>177.09380105725003</v>
      </c>
    </row>
    <row r="14" spans="1:12" x14ac:dyDescent="0.2">
      <c r="A14" s="4">
        <v>43434</v>
      </c>
      <c r="B14" t="s">
        <v>538</v>
      </c>
      <c r="C14">
        <v>2</v>
      </c>
      <c r="D14">
        <v>4</v>
      </c>
      <c r="E14">
        <v>40.3125</v>
      </c>
      <c r="F14" t="s">
        <v>548</v>
      </c>
      <c r="G14" s="6" t="s">
        <v>861</v>
      </c>
      <c r="H14" t="s">
        <v>1071</v>
      </c>
      <c r="I14">
        <f t="shared" si="0"/>
        <v>322.5</v>
      </c>
      <c r="J14">
        <f t="shared" si="1"/>
        <v>146.28353932500002</v>
      </c>
      <c r="K14">
        <v>1.61</v>
      </c>
      <c r="L14">
        <f t="shared" si="2"/>
        <v>235.51649831325005</v>
      </c>
    </row>
    <row r="15" spans="1:12" x14ac:dyDescent="0.2">
      <c r="A15" s="4">
        <v>43437</v>
      </c>
      <c r="B15" t="s">
        <v>538</v>
      </c>
      <c r="C15">
        <v>1</v>
      </c>
      <c r="D15">
        <v>4</v>
      </c>
      <c r="E15">
        <v>1.8125</v>
      </c>
      <c r="F15" t="s">
        <v>575</v>
      </c>
      <c r="G15" s="6" t="s">
        <v>861</v>
      </c>
      <c r="H15" t="s">
        <v>1071</v>
      </c>
      <c r="I15">
        <f t="shared" si="0"/>
        <v>7.25</v>
      </c>
      <c r="J15">
        <f t="shared" si="1"/>
        <v>3.2885446825</v>
      </c>
      <c r="K15">
        <v>1.61</v>
      </c>
      <c r="L15">
        <f t="shared" si="2"/>
        <v>5.294556938825</v>
      </c>
    </row>
    <row r="16" spans="1:12" x14ac:dyDescent="0.2">
      <c r="A16" s="4">
        <v>43437</v>
      </c>
      <c r="B16" t="s">
        <v>538</v>
      </c>
      <c r="C16">
        <v>1</v>
      </c>
      <c r="D16">
        <v>4</v>
      </c>
      <c r="E16">
        <v>2.5</v>
      </c>
      <c r="F16" t="s">
        <v>436</v>
      </c>
      <c r="G16" s="6" t="s">
        <v>861</v>
      </c>
      <c r="H16" t="s">
        <v>1071</v>
      </c>
      <c r="I16">
        <f t="shared" si="0"/>
        <v>10</v>
      </c>
      <c r="J16">
        <f t="shared" si="1"/>
        <v>4.5359237000000006</v>
      </c>
      <c r="K16">
        <v>1.61</v>
      </c>
      <c r="L16">
        <f t="shared" si="2"/>
        <v>7.3028371570000017</v>
      </c>
    </row>
    <row r="17" spans="1:12" x14ac:dyDescent="0.2">
      <c r="A17" s="4">
        <v>43437</v>
      </c>
      <c r="B17" t="s">
        <v>538</v>
      </c>
      <c r="C17">
        <v>2</v>
      </c>
      <c r="D17">
        <v>4</v>
      </c>
      <c r="E17">
        <v>30.3125</v>
      </c>
      <c r="F17" t="s">
        <v>470</v>
      </c>
      <c r="G17" s="6" t="s">
        <v>861</v>
      </c>
      <c r="H17" t="s">
        <v>1071</v>
      </c>
      <c r="I17">
        <f t="shared" si="0"/>
        <v>242.5</v>
      </c>
      <c r="J17">
        <f t="shared" si="1"/>
        <v>109.99614972500001</v>
      </c>
      <c r="K17">
        <v>1.61</v>
      </c>
      <c r="L17">
        <f t="shared" si="2"/>
        <v>177.09380105725003</v>
      </c>
    </row>
    <row r="18" spans="1:12" x14ac:dyDescent="0.2">
      <c r="A18" s="4">
        <v>43437</v>
      </c>
      <c r="B18" t="s">
        <v>538</v>
      </c>
      <c r="C18">
        <v>2</v>
      </c>
      <c r="D18">
        <v>4</v>
      </c>
      <c r="E18">
        <v>30.3125</v>
      </c>
      <c r="F18" t="s">
        <v>580</v>
      </c>
      <c r="G18" s="6" t="s">
        <v>861</v>
      </c>
      <c r="H18" t="s">
        <v>1071</v>
      </c>
      <c r="I18">
        <f t="shared" si="0"/>
        <v>242.5</v>
      </c>
      <c r="J18">
        <f t="shared" si="1"/>
        <v>109.99614972500001</v>
      </c>
      <c r="K18">
        <v>1.61</v>
      </c>
      <c r="L18">
        <f t="shared" si="2"/>
        <v>177.09380105725003</v>
      </c>
    </row>
    <row r="19" spans="1:12" x14ac:dyDescent="0.2">
      <c r="A19" s="4">
        <v>43437</v>
      </c>
      <c r="B19" t="s">
        <v>538</v>
      </c>
      <c r="C19">
        <v>1</v>
      </c>
      <c r="D19">
        <v>4</v>
      </c>
      <c r="E19">
        <v>3.125</v>
      </c>
      <c r="F19" t="s">
        <v>453</v>
      </c>
      <c r="G19" s="6" t="s">
        <v>861</v>
      </c>
      <c r="H19" t="s">
        <v>1071</v>
      </c>
      <c r="I19">
        <f t="shared" si="0"/>
        <v>12.5</v>
      </c>
      <c r="J19">
        <f t="shared" si="1"/>
        <v>5.669904625</v>
      </c>
      <c r="K19">
        <v>1.61</v>
      </c>
      <c r="L19">
        <f t="shared" si="2"/>
        <v>9.1285464462500006</v>
      </c>
    </row>
    <row r="20" spans="1:12" x14ac:dyDescent="0.2">
      <c r="A20" s="4">
        <v>43439</v>
      </c>
      <c r="B20" t="s">
        <v>538</v>
      </c>
      <c r="C20">
        <v>1</v>
      </c>
      <c r="D20">
        <v>12</v>
      </c>
      <c r="E20" t="s">
        <v>407</v>
      </c>
      <c r="F20" t="s">
        <v>542</v>
      </c>
      <c r="G20" s="14" t="s">
        <v>916</v>
      </c>
      <c r="H20" t="s">
        <v>1071</v>
      </c>
      <c r="I20">
        <v>0</v>
      </c>
      <c r="J20">
        <f t="shared" si="1"/>
        <v>0</v>
      </c>
      <c r="K20">
        <v>0.55000000000000004</v>
      </c>
      <c r="L20">
        <f t="shared" si="2"/>
        <v>0</v>
      </c>
    </row>
    <row r="21" spans="1:12" x14ac:dyDescent="0.2">
      <c r="A21" s="4">
        <v>43439</v>
      </c>
      <c r="B21" t="s">
        <v>538</v>
      </c>
      <c r="C21">
        <v>1</v>
      </c>
      <c r="D21">
        <v>4</v>
      </c>
      <c r="E21">
        <v>1.8125</v>
      </c>
      <c r="F21" t="s">
        <v>575</v>
      </c>
      <c r="G21" s="6" t="s">
        <v>861</v>
      </c>
      <c r="H21" t="s">
        <v>1071</v>
      </c>
      <c r="I21">
        <f t="shared" si="0"/>
        <v>7.25</v>
      </c>
      <c r="J21">
        <f t="shared" si="1"/>
        <v>3.2885446825</v>
      </c>
      <c r="K21">
        <v>1.61</v>
      </c>
      <c r="L21">
        <f t="shared" si="2"/>
        <v>5.294556938825</v>
      </c>
    </row>
    <row r="22" spans="1:12" x14ac:dyDescent="0.2">
      <c r="A22" s="4">
        <v>43439</v>
      </c>
      <c r="B22" t="s">
        <v>538</v>
      </c>
      <c r="C22">
        <v>3</v>
      </c>
      <c r="D22">
        <v>4</v>
      </c>
      <c r="E22">
        <v>2.5</v>
      </c>
      <c r="F22" t="s">
        <v>436</v>
      </c>
      <c r="G22" s="6" t="s">
        <v>861</v>
      </c>
      <c r="H22" t="s">
        <v>1071</v>
      </c>
      <c r="I22">
        <f t="shared" si="0"/>
        <v>30</v>
      </c>
      <c r="J22">
        <f t="shared" si="1"/>
        <v>13.607771100000001</v>
      </c>
      <c r="K22">
        <v>1.61</v>
      </c>
      <c r="L22">
        <f t="shared" si="2"/>
        <v>21.908511471000004</v>
      </c>
    </row>
    <row r="23" spans="1:12" x14ac:dyDescent="0.2">
      <c r="A23" s="4">
        <v>43439</v>
      </c>
      <c r="B23" t="s">
        <v>538</v>
      </c>
      <c r="C23">
        <v>3</v>
      </c>
      <c r="D23">
        <v>4</v>
      </c>
      <c r="E23">
        <v>30.3125</v>
      </c>
      <c r="F23" t="s">
        <v>470</v>
      </c>
      <c r="G23" s="6" t="s">
        <v>861</v>
      </c>
      <c r="H23" t="s">
        <v>1071</v>
      </c>
      <c r="I23">
        <f t="shared" si="0"/>
        <v>363.75</v>
      </c>
      <c r="J23">
        <f t="shared" si="1"/>
        <v>164.99422458750001</v>
      </c>
      <c r="K23">
        <v>1.61</v>
      </c>
      <c r="L23">
        <f t="shared" si="2"/>
        <v>265.64070158587504</v>
      </c>
    </row>
    <row r="24" spans="1:12" x14ac:dyDescent="0.2">
      <c r="A24" s="4">
        <v>43439</v>
      </c>
      <c r="B24" t="s">
        <v>538</v>
      </c>
      <c r="C24">
        <v>1</v>
      </c>
      <c r="D24">
        <v>4</v>
      </c>
      <c r="E24">
        <v>30.3125</v>
      </c>
      <c r="F24" t="s">
        <v>580</v>
      </c>
      <c r="G24" s="6" t="s">
        <v>861</v>
      </c>
      <c r="H24" t="s">
        <v>1071</v>
      </c>
      <c r="I24">
        <f t="shared" si="0"/>
        <v>121.25</v>
      </c>
      <c r="J24">
        <f t="shared" si="1"/>
        <v>54.998074862500005</v>
      </c>
      <c r="K24">
        <v>1.61</v>
      </c>
      <c r="L24">
        <f t="shared" si="2"/>
        <v>88.546900528625017</v>
      </c>
    </row>
    <row r="25" spans="1:12" x14ac:dyDescent="0.2">
      <c r="A25" s="4">
        <v>43439</v>
      </c>
      <c r="B25" t="s">
        <v>538</v>
      </c>
      <c r="C25">
        <v>4</v>
      </c>
      <c r="D25">
        <v>4</v>
      </c>
      <c r="E25">
        <v>40.3125</v>
      </c>
      <c r="F25" t="s">
        <v>548</v>
      </c>
      <c r="G25" s="6" t="s">
        <v>861</v>
      </c>
      <c r="H25" t="s">
        <v>1071</v>
      </c>
      <c r="I25">
        <f t="shared" si="0"/>
        <v>645</v>
      </c>
      <c r="J25">
        <f t="shared" si="1"/>
        <v>292.56707865000004</v>
      </c>
      <c r="K25">
        <v>1.61</v>
      </c>
      <c r="L25">
        <f t="shared" si="2"/>
        <v>471.03299662650011</v>
      </c>
    </row>
    <row r="26" spans="1:12" x14ac:dyDescent="0.2">
      <c r="A26" s="4">
        <v>43439</v>
      </c>
      <c r="B26" t="s">
        <v>538</v>
      </c>
      <c r="C26">
        <v>1</v>
      </c>
      <c r="D26">
        <v>4</v>
      </c>
      <c r="E26">
        <v>3.125</v>
      </c>
      <c r="F26" t="s">
        <v>453</v>
      </c>
      <c r="G26" s="6" t="s">
        <v>861</v>
      </c>
      <c r="H26" t="s">
        <v>1071</v>
      </c>
      <c r="I26">
        <f t="shared" si="0"/>
        <v>12.5</v>
      </c>
      <c r="J26">
        <f t="shared" si="1"/>
        <v>5.669904625</v>
      </c>
      <c r="K26">
        <v>1.61</v>
      </c>
      <c r="L26">
        <f t="shared" si="2"/>
        <v>9.1285464462500006</v>
      </c>
    </row>
    <row r="27" spans="1:12" x14ac:dyDescent="0.2">
      <c r="A27" s="4">
        <v>43434</v>
      </c>
      <c r="B27" t="s">
        <v>538</v>
      </c>
      <c r="C27">
        <v>2</v>
      </c>
      <c r="D27">
        <v>4</v>
      </c>
      <c r="E27">
        <v>30.0625</v>
      </c>
      <c r="F27" t="s">
        <v>545</v>
      </c>
      <c r="G27" s="6" t="s">
        <v>901</v>
      </c>
      <c r="H27" t="s">
        <v>1071</v>
      </c>
      <c r="I27">
        <f t="shared" si="0"/>
        <v>240.5</v>
      </c>
      <c r="J27">
        <f t="shared" si="1"/>
        <v>109.088964985</v>
      </c>
      <c r="K27">
        <v>1.61</v>
      </c>
      <c r="L27">
        <f t="shared" si="2"/>
        <v>175.63323362585001</v>
      </c>
    </row>
    <row r="28" spans="1:12" x14ac:dyDescent="0.2">
      <c r="A28" s="4">
        <v>43434</v>
      </c>
      <c r="B28" t="s">
        <v>538</v>
      </c>
      <c r="C28">
        <v>2</v>
      </c>
      <c r="D28">
        <v>4</v>
      </c>
      <c r="E28">
        <v>2.5</v>
      </c>
      <c r="F28" t="s">
        <v>436</v>
      </c>
      <c r="G28" s="6" t="s">
        <v>903</v>
      </c>
      <c r="H28" t="s">
        <v>1071</v>
      </c>
      <c r="I28">
        <f t="shared" si="0"/>
        <v>20</v>
      </c>
      <c r="J28">
        <f t="shared" si="1"/>
        <v>9.0718474000000011</v>
      </c>
      <c r="K28">
        <v>1.61</v>
      </c>
      <c r="L28">
        <f t="shared" si="2"/>
        <v>14.605674314000003</v>
      </c>
    </row>
    <row r="29" spans="1:12" x14ac:dyDescent="0.2">
      <c r="A29" s="4">
        <v>43434</v>
      </c>
      <c r="B29" t="s">
        <v>538</v>
      </c>
      <c r="C29">
        <v>4</v>
      </c>
      <c r="D29">
        <v>4</v>
      </c>
      <c r="E29">
        <v>3.125</v>
      </c>
      <c r="F29" t="s">
        <v>453</v>
      </c>
      <c r="G29" s="6" t="s">
        <v>910</v>
      </c>
      <c r="H29" t="s">
        <v>1071</v>
      </c>
      <c r="I29">
        <f t="shared" si="0"/>
        <v>50</v>
      </c>
      <c r="J29">
        <f t="shared" si="1"/>
        <v>22.6796185</v>
      </c>
      <c r="K29">
        <v>1.61</v>
      </c>
      <c r="L29">
        <f t="shared" si="2"/>
        <v>36.514185785000002</v>
      </c>
    </row>
    <row r="30" spans="1:12" x14ac:dyDescent="0.2">
      <c r="A30" s="4">
        <v>43434</v>
      </c>
      <c r="B30" t="s">
        <v>538</v>
      </c>
      <c r="C30">
        <v>8</v>
      </c>
      <c r="D30">
        <v>6</v>
      </c>
      <c r="E30">
        <v>10</v>
      </c>
      <c r="F30" t="s">
        <v>539</v>
      </c>
      <c r="G30" t="s">
        <v>896</v>
      </c>
      <c r="H30" s="6" t="s">
        <v>1071</v>
      </c>
      <c r="I30">
        <f t="shared" si="0"/>
        <v>480</v>
      </c>
      <c r="J30">
        <f t="shared" si="1"/>
        <v>217.72433760000001</v>
      </c>
      <c r="K30">
        <v>0.49099999999999999</v>
      </c>
      <c r="L30">
        <f t="shared" si="2"/>
        <v>106.9026497616</v>
      </c>
    </row>
    <row r="31" spans="1:12" x14ac:dyDescent="0.2">
      <c r="A31" s="4">
        <v>43439</v>
      </c>
      <c r="B31" t="s">
        <v>538</v>
      </c>
      <c r="C31">
        <v>3</v>
      </c>
      <c r="D31">
        <v>6</v>
      </c>
      <c r="E31">
        <v>10</v>
      </c>
      <c r="F31" t="s">
        <v>539</v>
      </c>
      <c r="G31" t="s">
        <v>896</v>
      </c>
      <c r="H31" s="6" t="s">
        <v>1071</v>
      </c>
      <c r="I31">
        <f t="shared" si="0"/>
        <v>180</v>
      </c>
      <c r="J31">
        <f t="shared" si="1"/>
        <v>81.646626600000005</v>
      </c>
      <c r="K31">
        <v>0.49099999999999999</v>
      </c>
      <c r="L31">
        <f t="shared" si="2"/>
        <v>40.088493660600001</v>
      </c>
    </row>
    <row r="32" spans="1:12" x14ac:dyDescent="0.2">
      <c r="A32" s="4">
        <v>43439</v>
      </c>
      <c r="B32" t="s">
        <v>538</v>
      </c>
      <c r="C32">
        <v>1</v>
      </c>
      <c r="D32">
        <v>6</v>
      </c>
      <c r="E32" t="s">
        <v>422</v>
      </c>
      <c r="F32" t="s">
        <v>423</v>
      </c>
      <c r="G32" s="14" t="s">
        <v>919</v>
      </c>
      <c r="H32" s="6" t="s">
        <v>1071</v>
      </c>
      <c r="I32">
        <v>0</v>
      </c>
      <c r="J32">
        <f t="shared" si="1"/>
        <v>0</v>
      </c>
      <c r="K32">
        <v>33.646999999999998</v>
      </c>
      <c r="L32">
        <f t="shared" si="2"/>
        <v>0</v>
      </c>
    </row>
    <row r="33" spans="1:12" x14ac:dyDescent="0.2">
      <c r="A33" s="4">
        <v>43437</v>
      </c>
      <c r="B33" t="s">
        <v>538</v>
      </c>
      <c r="C33">
        <v>1</v>
      </c>
      <c r="D33">
        <v>1</v>
      </c>
      <c r="E33">
        <v>25</v>
      </c>
      <c r="F33" t="s">
        <v>573</v>
      </c>
      <c r="G33" t="s">
        <v>916</v>
      </c>
      <c r="H33" s="9" t="s">
        <v>1071</v>
      </c>
      <c r="I33">
        <f t="shared" si="0"/>
        <v>25</v>
      </c>
      <c r="J33">
        <f t="shared" si="1"/>
        <v>11.33980925</v>
      </c>
      <c r="K33">
        <v>0.55000000000000004</v>
      </c>
      <c r="L33">
        <f t="shared" si="2"/>
        <v>6.2368950875000007</v>
      </c>
    </row>
    <row r="34" spans="1:12" x14ac:dyDescent="0.2">
      <c r="A34" s="4">
        <v>43439</v>
      </c>
      <c r="B34" t="s">
        <v>538</v>
      </c>
      <c r="C34">
        <v>1</v>
      </c>
      <c r="D34">
        <v>24</v>
      </c>
      <c r="E34">
        <v>1</v>
      </c>
      <c r="F34" t="s">
        <v>433</v>
      </c>
      <c r="G34" t="s">
        <v>900</v>
      </c>
      <c r="H34" s="9" t="s">
        <v>1071</v>
      </c>
      <c r="I34">
        <f t="shared" si="0"/>
        <v>24</v>
      </c>
      <c r="J34">
        <f t="shared" si="1"/>
        <v>10.886216880000001</v>
      </c>
      <c r="K34">
        <v>0.76</v>
      </c>
      <c r="L34">
        <f t="shared" si="2"/>
        <v>8.2735248288000012</v>
      </c>
    </row>
    <row r="35" spans="1:12" x14ac:dyDescent="0.2">
      <c r="A35" s="4">
        <v>43434</v>
      </c>
      <c r="B35" t="s">
        <v>538</v>
      </c>
      <c r="C35">
        <v>2</v>
      </c>
      <c r="D35">
        <v>24</v>
      </c>
      <c r="E35">
        <v>1</v>
      </c>
      <c r="F35" t="s">
        <v>433</v>
      </c>
      <c r="G35" t="s">
        <v>900</v>
      </c>
      <c r="H35" s="9" t="s">
        <v>1071</v>
      </c>
      <c r="I35">
        <f t="shared" si="0"/>
        <v>48</v>
      </c>
      <c r="J35">
        <f t="shared" si="1"/>
        <v>21.772433760000002</v>
      </c>
      <c r="K35">
        <v>0.76</v>
      </c>
      <c r="L35">
        <f t="shared" si="2"/>
        <v>16.547049657600002</v>
      </c>
    </row>
    <row r="36" spans="1:12" x14ac:dyDescent="0.2">
      <c r="A36" s="4">
        <v>43437</v>
      </c>
      <c r="B36" t="s">
        <v>538</v>
      </c>
      <c r="C36">
        <v>1</v>
      </c>
      <c r="D36">
        <v>6</v>
      </c>
      <c r="E36">
        <v>5</v>
      </c>
      <c r="F36" t="s">
        <v>579</v>
      </c>
      <c r="G36" s="14" t="s">
        <v>916</v>
      </c>
      <c r="H36" s="9" t="s">
        <v>1071</v>
      </c>
      <c r="I36">
        <f t="shared" si="0"/>
        <v>30</v>
      </c>
      <c r="J36">
        <f t="shared" si="1"/>
        <v>13.607771100000001</v>
      </c>
      <c r="K36">
        <v>0.55000000000000004</v>
      </c>
      <c r="L36">
        <f t="shared" si="2"/>
        <v>7.4842741050000008</v>
      </c>
    </row>
    <row r="37" spans="1:12" x14ac:dyDescent="0.2">
      <c r="A37" s="4">
        <v>43439</v>
      </c>
      <c r="B37" t="s">
        <v>538</v>
      </c>
      <c r="C37">
        <v>1</v>
      </c>
      <c r="D37">
        <v>500</v>
      </c>
      <c r="E37" t="s">
        <v>1088</v>
      </c>
      <c r="F37" t="s">
        <v>430</v>
      </c>
      <c r="G37" s="14" t="s">
        <v>881</v>
      </c>
      <c r="H37" s="9" t="s">
        <v>1071</v>
      </c>
      <c r="I37">
        <v>0</v>
      </c>
      <c r="J37">
        <f t="shared" si="1"/>
        <v>0</v>
      </c>
      <c r="K37">
        <v>2.5299999999999998</v>
      </c>
      <c r="L37">
        <f t="shared" si="2"/>
        <v>0</v>
      </c>
    </row>
    <row r="38" spans="1:12" x14ac:dyDescent="0.2">
      <c r="A38" s="4">
        <v>43439</v>
      </c>
      <c r="B38" t="s">
        <v>538</v>
      </c>
      <c r="C38">
        <v>1</v>
      </c>
      <c r="D38">
        <v>150</v>
      </c>
      <c r="E38">
        <v>3.125E-2</v>
      </c>
      <c r="F38" t="s">
        <v>442</v>
      </c>
      <c r="G38" s="6" t="s">
        <v>881</v>
      </c>
      <c r="H38" s="9" t="s">
        <v>1071</v>
      </c>
      <c r="I38">
        <f t="shared" si="0"/>
        <v>4.6875</v>
      </c>
      <c r="J38">
        <f t="shared" si="1"/>
        <v>2.1262142343750003</v>
      </c>
      <c r="K38">
        <v>2.5299999999999998</v>
      </c>
      <c r="L38">
        <f t="shared" si="2"/>
        <v>5.3793220129687507</v>
      </c>
    </row>
    <row r="39" spans="1:12" x14ac:dyDescent="0.2">
      <c r="A39" s="4">
        <v>43437</v>
      </c>
      <c r="B39" t="s">
        <v>538</v>
      </c>
      <c r="C39">
        <v>1</v>
      </c>
      <c r="D39">
        <v>1</v>
      </c>
      <c r="E39">
        <v>10</v>
      </c>
      <c r="F39" t="s">
        <v>454</v>
      </c>
      <c r="G39" t="s">
        <v>879</v>
      </c>
      <c r="H39" s="9" t="s">
        <v>1071</v>
      </c>
      <c r="I39">
        <f t="shared" si="0"/>
        <v>10</v>
      </c>
      <c r="J39">
        <f t="shared" si="1"/>
        <v>4.5359237000000006</v>
      </c>
      <c r="K39">
        <v>1.4179999999999999</v>
      </c>
      <c r="L39">
        <f t="shared" si="2"/>
        <v>6.4319398066000009</v>
      </c>
    </row>
    <row r="40" spans="1:12" x14ac:dyDescent="0.2">
      <c r="A40" s="4">
        <v>43439</v>
      </c>
      <c r="B40" t="s">
        <v>538</v>
      </c>
      <c r="C40">
        <v>2</v>
      </c>
      <c r="D40">
        <v>4</v>
      </c>
      <c r="E40">
        <v>8.35</v>
      </c>
      <c r="F40" t="s">
        <v>595</v>
      </c>
      <c r="G40" t="s">
        <v>89</v>
      </c>
      <c r="H40" s="9" t="s">
        <v>1071</v>
      </c>
      <c r="I40">
        <f t="shared" si="0"/>
        <v>66.8</v>
      </c>
      <c r="J40">
        <f t="shared" si="1"/>
        <v>30.299970316</v>
      </c>
      <c r="K40">
        <v>0.40899999999999997</v>
      </c>
      <c r="L40">
        <f t="shared" si="2"/>
        <v>12.392687859243999</v>
      </c>
    </row>
    <row r="41" spans="1:12" x14ac:dyDescent="0.2">
      <c r="A41" s="4">
        <v>43434</v>
      </c>
      <c r="B41" t="s">
        <v>538</v>
      </c>
      <c r="C41">
        <v>6</v>
      </c>
      <c r="D41">
        <v>1</v>
      </c>
      <c r="E41">
        <v>50</v>
      </c>
      <c r="F41" t="s">
        <v>431</v>
      </c>
      <c r="G41" t="s">
        <v>863</v>
      </c>
      <c r="H41" s="9" t="s">
        <v>1071</v>
      </c>
      <c r="I41">
        <f t="shared" si="0"/>
        <v>300</v>
      </c>
      <c r="J41">
        <f t="shared" si="1"/>
        <v>136.07771100000002</v>
      </c>
      <c r="K41">
        <v>0.35799999999999998</v>
      </c>
      <c r="L41">
        <f t="shared" si="2"/>
        <v>48.715820538000003</v>
      </c>
    </row>
    <row r="42" spans="1:12" x14ac:dyDescent="0.2">
      <c r="A42" s="4">
        <v>43434</v>
      </c>
      <c r="B42" t="s">
        <v>538</v>
      </c>
      <c r="C42">
        <v>4</v>
      </c>
      <c r="D42">
        <v>1</v>
      </c>
      <c r="E42">
        <v>25</v>
      </c>
      <c r="F42" t="s">
        <v>446</v>
      </c>
      <c r="G42" t="s">
        <v>863</v>
      </c>
      <c r="H42" s="9" t="s">
        <v>1071</v>
      </c>
      <c r="I42">
        <f t="shared" si="0"/>
        <v>100</v>
      </c>
      <c r="J42">
        <f t="shared" si="1"/>
        <v>45.359237</v>
      </c>
      <c r="K42">
        <v>0.35799999999999998</v>
      </c>
      <c r="L42">
        <f t="shared" si="2"/>
        <v>16.238606846</v>
      </c>
    </row>
    <row r="43" spans="1:12" x14ac:dyDescent="0.2">
      <c r="A43" s="4">
        <v>43437</v>
      </c>
      <c r="B43" t="s">
        <v>538</v>
      </c>
      <c r="C43">
        <v>1</v>
      </c>
      <c r="D43">
        <v>1</v>
      </c>
      <c r="E43">
        <v>50</v>
      </c>
      <c r="F43" t="s">
        <v>431</v>
      </c>
      <c r="G43" t="s">
        <v>863</v>
      </c>
      <c r="H43" s="9" t="s">
        <v>1071</v>
      </c>
      <c r="I43">
        <f t="shared" si="0"/>
        <v>50</v>
      </c>
      <c r="J43">
        <f t="shared" si="1"/>
        <v>22.6796185</v>
      </c>
      <c r="K43">
        <v>0.35799999999999998</v>
      </c>
      <c r="L43">
        <f t="shared" si="2"/>
        <v>8.1193034229999999</v>
      </c>
    </row>
    <row r="44" spans="1:12" x14ac:dyDescent="0.2">
      <c r="A44" s="4">
        <v>43439</v>
      </c>
      <c r="B44" t="s">
        <v>538</v>
      </c>
      <c r="C44">
        <v>5</v>
      </c>
      <c r="D44">
        <v>1</v>
      </c>
      <c r="E44">
        <v>50</v>
      </c>
      <c r="F44" t="s">
        <v>431</v>
      </c>
      <c r="G44" t="s">
        <v>863</v>
      </c>
      <c r="H44" s="9" t="s">
        <v>1071</v>
      </c>
      <c r="I44">
        <f t="shared" si="0"/>
        <v>250</v>
      </c>
      <c r="J44">
        <f t="shared" si="1"/>
        <v>113.3980925</v>
      </c>
      <c r="K44">
        <v>0.35799999999999998</v>
      </c>
      <c r="L44">
        <f t="shared" si="2"/>
        <v>40.596517114999997</v>
      </c>
    </row>
    <row r="45" spans="1:12" x14ac:dyDescent="0.2">
      <c r="A45" s="4">
        <v>43434</v>
      </c>
      <c r="B45" t="s">
        <v>538</v>
      </c>
      <c r="C45">
        <v>2</v>
      </c>
      <c r="D45">
        <v>8</v>
      </c>
      <c r="E45">
        <v>5</v>
      </c>
      <c r="F45" t="s">
        <v>542</v>
      </c>
      <c r="G45" s="6" t="s">
        <v>899</v>
      </c>
      <c r="H45" s="9" t="s">
        <v>1071</v>
      </c>
      <c r="I45">
        <f t="shared" si="0"/>
        <v>80</v>
      </c>
      <c r="J45">
        <f t="shared" si="1"/>
        <v>36.287389600000004</v>
      </c>
      <c r="K45">
        <v>0.55000000000000004</v>
      </c>
      <c r="L45">
        <f t="shared" si="2"/>
        <v>19.958064280000006</v>
      </c>
    </row>
    <row r="46" spans="1:12" x14ac:dyDescent="0.2">
      <c r="A46" s="4">
        <v>43437</v>
      </c>
      <c r="B46" t="s">
        <v>538</v>
      </c>
      <c r="C46">
        <v>1</v>
      </c>
      <c r="D46">
        <v>6</v>
      </c>
      <c r="E46">
        <v>5</v>
      </c>
      <c r="F46" t="s">
        <v>571</v>
      </c>
      <c r="G46" t="s">
        <v>878</v>
      </c>
      <c r="H46" s="9" t="s">
        <v>1071</v>
      </c>
      <c r="I46">
        <f t="shared" si="0"/>
        <v>30</v>
      </c>
      <c r="J46">
        <f t="shared" si="1"/>
        <v>13.607771100000001</v>
      </c>
      <c r="K46">
        <v>2.44</v>
      </c>
      <c r="L46">
        <f t="shared" si="2"/>
        <v>33.202961483999999</v>
      </c>
    </row>
    <row r="47" spans="1:12" x14ac:dyDescent="0.2">
      <c r="A47" s="4">
        <v>43439</v>
      </c>
      <c r="B47" t="s">
        <v>538</v>
      </c>
      <c r="C47">
        <v>1</v>
      </c>
      <c r="D47">
        <v>6</v>
      </c>
      <c r="E47">
        <v>5</v>
      </c>
      <c r="F47" t="s">
        <v>571</v>
      </c>
      <c r="G47" t="s">
        <v>878</v>
      </c>
      <c r="H47" s="9" t="s">
        <v>1071</v>
      </c>
      <c r="I47">
        <f t="shared" si="0"/>
        <v>30</v>
      </c>
      <c r="J47">
        <f t="shared" si="1"/>
        <v>13.607771100000001</v>
      </c>
      <c r="K47">
        <v>2.44</v>
      </c>
      <c r="L47">
        <f t="shared" si="2"/>
        <v>33.202961483999999</v>
      </c>
    </row>
    <row r="48" spans="1:12" x14ac:dyDescent="0.2">
      <c r="A48" s="4">
        <v>43434</v>
      </c>
      <c r="B48" t="s">
        <v>538</v>
      </c>
      <c r="C48">
        <v>1</v>
      </c>
      <c r="D48">
        <v>6</v>
      </c>
      <c r="E48">
        <v>4</v>
      </c>
      <c r="F48" t="s">
        <v>438</v>
      </c>
      <c r="G48" s="6" t="s">
        <v>866</v>
      </c>
      <c r="H48" s="9" t="s">
        <v>1071</v>
      </c>
      <c r="I48">
        <f t="shared" si="0"/>
        <v>24</v>
      </c>
      <c r="J48">
        <f t="shared" si="1"/>
        <v>10.886216880000001</v>
      </c>
      <c r="K48" s="6">
        <v>3.25</v>
      </c>
      <c r="L48">
        <f t="shared" si="2"/>
        <v>35.380204860000006</v>
      </c>
    </row>
    <row r="49" spans="1:12" x14ac:dyDescent="0.2">
      <c r="A49" s="4">
        <v>43439</v>
      </c>
      <c r="B49" t="s">
        <v>538</v>
      </c>
      <c r="C49">
        <v>1</v>
      </c>
      <c r="D49">
        <v>6</v>
      </c>
      <c r="E49">
        <v>4</v>
      </c>
      <c r="F49" t="s">
        <v>438</v>
      </c>
      <c r="G49" s="6" t="s">
        <v>866</v>
      </c>
      <c r="H49" s="9" t="s">
        <v>1071</v>
      </c>
      <c r="I49">
        <f t="shared" si="0"/>
        <v>24</v>
      </c>
      <c r="J49">
        <f t="shared" si="1"/>
        <v>10.886216880000001</v>
      </c>
      <c r="K49" s="6">
        <v>3.25</v>
      </c>
      <c r="L49">
        <f t="shared" si="2"/>
        <v>35.380204860000006</v>
      </c>
    </row>
    <row r="50" spans="1:12" x14ac:dyDescent="0.2">
      <c r="A50" s="4">
        <v>43434</v>
      </c>
      <c r="B50" t="s">
        <v>538</v>
      </c>
      <c r="C50">
        <v>4</v>
      </c>
      <c r="D50">
        <v>2</v>
      </c>
      <c r="E50">
        <f>1.5*9.59</f>
        <v>14.385</v>
      </c>
      <c r="F50" t="s">
        <v>563</v>
      </c>
      <c r="G50" s="6" t="s">
        <v>980</v>
      </c>
      <c r="H50" s="9" t="s">
        <v>1071</v>
      </c>
      <c r="I50">
        <f t="shared" si="0"/>
        <v>115.08</v>
      </c>
      <c r="J50">
        <f t="shared" si="1"/>
        <v>52.199409939600002</v>
      </c>
      <c r="K50">
        <v>3.33</v>
      </c>
      <c r="L50">
        <f t="shared" si="2"/>
        <v>173.82403509886802</v>
      </c>
    </row>
    <row r="51" spans="1:12" x14ac:dyDescent="0.2">
      <c r="A51" s="4">
        <v>43437</v>
      </c>
      <c r="B51" t="s">
        <v>538</v>
      </c>
      <c r="C51">
        <v>1</v>
      </c>
      <c r="D51">
        <v>6</v>
      </c>
      <c r="E51">
        <v>7.125</v>
      </c>
      <c r="F51" t="s">
        <v>1007</v>
      </c>
      <c r="G51" s="6" t="s">
        <v>980</v>
      </c>
      <c r="H51" s="9" t="s">
        <v>1071</v>
      </c>
      <c r="I51">
        <f t="shared" si="0"/>
        <v>42.75</v>
      </c>
      <c r="J51">
        <f t="shared" si="1"/>
        <v>19.391073817500001</v>
      </c>
      <c r="K51">
        <v>3.33</v>
      </c>
      <c r="L51">
        <f t="shared" si="2"/>
        <v>64.572275812275009</v>
      </c>
    </row>
    <row r="52" spans="1:12" x14ac:dyDescent="0.2">
      <c r="A52" s="4">
        <v>43439</v>
      </c>
      <c r="B52" t="s">
        <v>538</v>
      </c>
      <c r="C52">
        <v>2</v>
      </c>
      <c r="D52">
        <v>6</v>
      </c>
      <c r="E52">
        <v>7.125</v>
      </c>
      <c r="F52" t="s">
        <v>1007</v>
      </c>
      <c r="G52" s="6" t="s">
        <v>980</v>
      </c>
      <c r="H52" s="9" t="s">
        <v>1071</v>
      </c>
      <c r="I52">
        <f t="shared" si="0"/>
        <v>85.5</v>
      </c>
      <c r="J52">
        <f t="shared" si="1"/>
        <v>38.782147635000001</v>
      </c>
      <c r="K52">
        <v>3.33</v>
      </c>
      <c r="L52">
        <f t="shared" si="2"/>
        <v>129.14455162455002</v>
      </c>
    </row>
    <row r="53" spans="1:12" x14ac:dyDescent="0.2">
      <c r="A53" s="4">
        <v>43434</v>
      </c>
      <c r="B53" t="s">
        <v>538</v>
      </c>
      <c r="C53">
        <v>4</v>
      </c>
      <c r="D53">
        <v>4</v>
      </c>
      <c r="E53">
        <v>7.79</v>
      </c>
      <c r="F53" t="s">
        <v>543</v>
      </c>
      <c r="G53" s="6" t="s">
        <v>1089</v>
      </c>
      <c r="H53" s="9" t="s">
        <v>1073</v>
      </c>
      <c r="I53">
        <f t="shared" si="0"/>
        <v>124.64</v>
      </c>
      <c r="J53">
        <f t="shared" si="1"/>
        <v>56.535752996799999</v>
      </c>
      <c r="K53">
        <v>3.33</v>
      </c>
      <c r="L53">
        <f t="shared" si="2"/>
        <v>188.26405747934399</v>
      </c>
    </row>
    <row r="54" spans="1:12" x14ac:dyDescent="0.2">
      <c r="A54" s="4">
        <v>43439</v>
      </c>
      <c r="B54" t="s">
        <v>538</v>
      </c>
      <c r="C54">
        <v>3</v>
      </c>
      <c r="D54">
        <v>4</v>
      </c>
      <c r="E54">
        <v>7.79</v>
      </c>
      <c r="F54" t="s">
        <v>543</v>
      </c>
      <c r="G54" s="6" t="s">
        <v>1089</v>
      </c>
      <c r="H54" s="9" t="s">
        <v>1073</v>
      </c>
      <c r="I54">
        <f t="shared" si="0"/>
        <v>93.48</v>
      </c>
      <c r="J54">
        <f t="shared" si="1"/>
        <v>42.4018147476</v>
      </c>
      <c r="K54">
        <v>3.33</v>
      </c>
      <c r="L54">
        <f t="shared" si="2"/>
        <v>141.19804310950801</v>
      </c>
    </row>
    <row r="55" spans="1:12" x14ac:dyDescent="0.2">
      <c r="A55" s="4">
        <v>43434</v>
      </c>
      <c r="B55" t="s">
        <v>538</v>
      </c>
      <c r="C55">
        <v>1</v>
      </c>
      <c r="D55">
        <v>4</v>
      </c>
      <c r="E55">
        <f>11.89</f>
        <v>11.89</v>
      </c>
      <c r="F55" t="s">
        <v>547</v>
      </c>
      <c r="G55" t="s">
        <v>865</v>
      </c>
      <c r="H55" s="9" t="s">
        <v>1071</v>
      </c>
      <c r="I55">
        <f t="shared" si="0"/>
        <v>47.56</v>
      </c>
      <c r="J55">
        <f t="shared" si="1"/>
        <v>21.572853117200001</v>
      </c>
      <c r="K55">
        <v>0.48799999999999999</v>
      </c>
      <c r="L55">
        <f t="shared" si="2"/>
        <v>10.5275523211936</v>
      </c>
    </row>
    <row r="56" spans="1:12" x14ac:dyDescent="0.2">
      <c r="A56" s="4">
        <v>43434</v>
      </c>
      <c r="B56" t="s">
        <v>538</v>
      </c>
      <c r="C56">
        <v>2</v>
      </c>
      <c r="D56">
        <v>2</v>
      </c>
      <c r="E56">
        <f>105/16</f>
        <v>6.5625</v>
      </c>
      <c r="F56" t="s">
        <v>561</v>
      </c>
      <c r="G56" s="6" t="s">
        <v>980</v>
      </c>
      <c r="H56" s="9" t="s">
        <v>1071</v>
      </c>
      <c r="I56">
        <f t="shared" si="0"/>
        <v>26.25</v>
      </c>
      <c r="J56">
        <f t="shared" si="1"/>
        <v>11.9067997125</v>
      </c>
      <c r="K56">
        <v>3.33</v>
      </c>
      <c r="L56">
        <f t="shared" si="2"/>
        <v>39.649643042625001</v>
      </c>
    </row>
    <row r="57" spans="1:12" x14ac:dyDescent="0.2">
      <c r="A57" s="4">
        <v>43439</v>
      </c>
      <c r="B57" t="s">
        <v>538</v>
      </c>
      <c r="C57">
        <v>1</v>
      </c>
      <c r="D57">
        <v>4</v>
      </c>
      <c r="E57">
        <f>105/16</f>
        <v>6.5625</v>
      </c>
      <c r="F57" t="s">
        <v>456</v>
      </c>
      <c r="G57" s="6" t="s">
        <v>980</v>
      </c>
      <c r="H57" s="9" t="s">
        <v>1071</v>
      </c>
      <c r="I57">
        <f t="shared" si="0"/>
        <v>26.25</v>
      </c>
      <c r="J57">
        <f t="shared" si="1"/>
        <v>11.9067997125</v>
      </c>
      <c r="K57">
        <v>3.33</v>
      </c>
      <c r="L57">
        <f t="shared" si="2"/>
        <v>39.649643042625001</v>
      </c>
    </row>
    <row r="58" spans="1:12" x14ac:dyDescent="0.2">
      <c r="A58" s="4">
        <v>43437</v>
      </c>
      <c r="B58" t="s">
        <v>538</v>
      </c>
      <c r="C58">
        <v>3</v>
      </c>
      <c r="D58">
        <v>4</v>
      </c>
      <c r="E58">
        <v>5</v>
      </c>
      <c r="F58" t="s">
        <v>586</v>
      </c>
      <c r="G58" s="6" t="s">
        <v>876</v>
      </c>
      <c r="H58" s="9" t="s">
        <v>1071</v>
      </c>
      <c r="I58">
        <f t="shared" si="0"/>
        <v>60</v>
      </c>
      <c r="J58">
        <f t="shared" si="1"/>
        <v>27.215542200000002</v>
      </c>
      <c r="K58">
        <v>5.99</v>
      </c>
      <c r="L58">
        <f t="shared" si="2"/>
        <v>163.02109777800001</v>
      </c>
    </row>
    <row r="59" spans="1:12" x14ac:dyDescent="0.2">
      <c r="A59" s="4">
        <v>43439</v>
      </c>
      <c r="B59" t="s">
        <v>538</v>
      </c>
      <c r="C59">
        <v>3</v>
      </c>
      <c r="D59">
        <v>4</v>
      </c>
      <c r="E59">
        <v>5</v>
      </c>
      <c r="F59" t="s">
        <v>586</v>
      </c>
      <c r="G59" s="6" t="s">
        <v>876</v>
      </c>
      <c r="H59" s="9" t="s">
        <v>1071</v>
      </c>
      <c r="I59">
        <f t="shared" si="0"/>
        <v>60</v>
      </c>
      <c r="J59">
        <f t="shared" si="1"/>
        <v>27.215542200000002</v>
      </c>
      <c r="K59">
        <v>5.99</v>
      </c>
      <c r="L59">
        <f t="shared" si="2"/>
        <v>163.02109777800001</v>
      </c>
    </row>
    <row r="60" spans="1:12" x14ac:dyDescent="0.2">
      <c r="A60" s="4">
        <v>43437</v>
      </c>
      <c r="B60" t="s">
        <v>538</v>
      </c>
      <c r="C60">
        <v>6</v>
      </c>
      <c r="D60">
        <v>4</v>
      </c>
      <c r="E60">
        <v>7.9</v>
      </c>
      <c r="F60" t="s">
        <v>455</v>
      </c>
      <c r="G60" t="s">
        <v>867</v>
      </c>
      <c r="H60" s="9" t="s">
        <v>1071</v>
      </c>
      <c r="I60">
        <f t="shared" si="0"/>
        <v>189.60000000000002</v>
      </c>
      <c r="J60">
        <f t="shared" si="1"/>
        <v>86.001113352000019</v>
      </c>
      <c r="K60">
        <v>2.6459999999999999</v>
      </c>
      <c r="L60">
        <f t="shared" si="2"/>
        <v>227.55894592939205</v>
      </c>
    </row>
    <row r="61" spans="1:12" x14ac:dyDescent="0.2">
      <c r="A61" s="4">
        <v>43439</v>
      </c>
      <c r="B61" t="s">
        <v>538</v>
      </c>
      <c r="C61">
        <v>3</v>
      </c>
      <c r="D61">
        <v>1</v>
      </c>
      <c r="E61">
        <v>35</v>
      </c>
      <c r="F61" t="s">
        <v>441</v>
      </c>
      <c r="G61" t="s">
        <v>867</v>
      </c>
      <c r="H61" s="9" t="s">
        <v>1071</v>
      </c>
      <c r="I61">
        <f t="shared" si="0"/>
        <v>105</v>
      </c>
      <c r="J61">
        <f t="shared" si="1"/>
        <v>47.627198849999999</v>
      </c>
      <c r="K61">
        <v>2.6459999999999999</v>
      </c>
      <c r="L61">
        <f t="shared" si="2"/>
        <v>126.02156815709999</v>
      </c>
    </row>
    <row r="62" spans="1:12" x14ac:dyDescent="0.2">
      <c r="A62" s="4">
        <v>43439</v>
      </c>
      <c r="B62" t="s">
        <v>538</v>
      </c>
      <c r="C62">
        <v>6</v>
      </c>
      <c r="D62">
        <v>4</v>
      </c>
      <c r="E62">
        <v>7.9</v>
      </c>
      <c r="F62" t="s">
        <v>455</v>
      </c>
      <c r="G62" t="s">
        <v>867</v>
      </c>
      <c r="H62" s="9" t="s">
        <v>1071</v>
      </c>
      <c r="I62">
        <f t="shared" si="0"/>
        <v>189.60000000000002</v>
      </c>
      <c r="J62">
        <f t="shared" si="1"/>
        <v>86.001113352000019</v>
      </c>
      <c r="K62">
        <v>2.6459999999999999</v>
      </c>
      <c r="L62">
        <f t="shared" si="2"/>
        <v>227.55894592939205</v>
      </c>
    </row>
    <row r="63" spans="1:12" x14ac:dyDescent="0.2">
      <c r="A63" s="4">
        <v>43434</v>
      </c>
      <c r="B63" t="s">
        <v>538</v>
      </c>
      <c r="C63">
        <v>6</v>
      </c>
      <c r="D63">
        <v>4</v>
      </c>
      <c r="E63">
        <v>7.9</v>
      </c>
      <c r="F63" t="s">
        <v>455</v>
      </c>
      <c r="G63" t="s">
        <v>867</v>
      </c>
      <c r="H63" s="9" t="s">
        <v>1071</v>
      </c>
      <c r="I63">
        <f t="shared" si="0"/>
        <v>189.60000000000002</v>
      </c>
      <c r="J63">
        <f t="shared" si="1"/>
        <v>86.001113352000019</v>
      </c>
      <c r="K63">
        <v>2.6459999999999999</v>
      </c>
      <c r="L63">
        <f t="shared" si="2"/>
        <v>227.55894592939205</v>
      </c>
    </row>
    <row r="64" spans="1:12" x14ac:dyDescent="0.2">
      <c r="A64" s="4">
        <v>43439</v>
      </c>
      <c r="B64" t="s">
        <v>538</v>
      </c>
      <c r="C64">
        <v>1</v>
      </c>
      <c r="D64">
        <v>6</v>
      </c>
      <c r="E64">
        <v>10</v>
      </c>
      <c r="F64" t="s">
        <v>445</v>
      </c>
      <c r="G64" t="s">
        <v>883</v>
      </c>
      <c r="H64" s="9" t="s">
        <v>1071</v>
      </c>
      <c r="I64">
        <f t="shared" si="0"/>
        <v>60</v>
      </c>
      <c r="J64">
        <f t="shared" si="1"/>
        <v>27.215542200000002</v>
      </c>
      <c r="K64">
        <v>3.206</v>
      </c>
      <c r="L64">
        <f t="shared" si="2"/>
        <v>87.253028293200003</v>
      </c>
    </row>
    <row r="65" spans="1:12" x14ac:dyDescent="0.2">
      <c r="A65" s="4">
        <v>43434</v>
      </c>
      <c r="B65" t="s">
        <v>538</v>
      </c>
      <c r="C65">
        <v>1</v>
      </c>
      <c r="D65">
        <v>6</v>
      </c>
      <c r="E65">
        <v>5</v>
      </c>
      <c r="F65" t="s">
        <v>439</v>
      </c>
      <c r="G65" s="14" t="s">
        <v>904</v>
      </c>
      <c r="H65" s="9" t="s">
        <v>1071</v>
      </c>
      <c r="I65">
        <f t="shared" si="0"/>
        <v>30</v>
      </c>
      <c r="J65">
        <f t="shared" si="1"/>
        <v>13.607771100000001</v>
      </c>
      <c r="L65">
        <f t="shared" si="2"/>
        <v>0</v>
      </c>
    </row>
    <row r="66" spans="1:12" x14ac:dyDescent="0.2">
      <c r="A66" s="4">
        <v>43437</v>
      </c>
      <c r="B66" t="s">
        <v>538</v>
      </c>
      <c r="C66">
        <v>1</v>
      </c>
      <c r="D66">
        <v>6</v>
      </c>
      <c r="E66">
        <v>5</v>
      </c>
      <c r="F66" t="s">
        <v>439</v>
      </c>
      <c r="G66" s="14" t="s">
        <v>904</v>
      </c>
      <c r="H66" s="9" t="s">
        <v>1071</v>
      </c>
      <c r="I66">
        <f t="shared" si="0"/>
        <v>30</v>
      </c>
      <c r="J66">
        <f t="shared" si="1"/>
        <v>13.607771100000001</v>
      </c>
      <c r="L66">
        <f t="shared" si="2"/>
        <v>0</v>
      </c>
    </row>
    <row r="67" spans="1:12" x14ac:dyDescent="0.2">
      <c r="A67" s="4">
        <v>43434</v>
      </c>
      <c r="B67" t="s">
        <v>538</v>
      </c>
      <c r="C67">
        <v>4</v>
      </c>
      <c r="D67">
        <v>2</v>
      </c>
      <c r="E67">
        <v>10</v>
      </c>
      <c r="F67" t="s">
        <v>458</v>
      </c>
      <c r="G67" s="6" t="s">
        <v>875</v>
      </c>
      <c r="H67" s="9" t="s">
        <v>1071</v>
      </c>
      <c r="I67">
        <f t="shared" ref="I67:I130" si="3">C67*D67*E67</f>
        <v>80</v>
      </c>
      <c r="J67">
        <f t="shared" ref="J67:J130" si="4">CONVERT(I67,"lbm","kg")</f>
        <v>36.287389600000004</v>
      </c>
      <c r="K67">
        <v>5.99</v>
      </c>
      <c r="L67">
        <f t="shared" ref="L67:L130" si="5">J67*K67</f>
        <v>217.36146370400004</v>
      </c>
    </row>
    <row r="68" spans="1:12" x14ac:dyDescent="0.2">
      <c r="A68" s="4">
        <v>43434</v>
      </c>
      <c r="B68" t="s">
        <v>538</v>
      </c>
      <c r="C68">
        <v>4</v>
      </c>
      <c r="D68">
        <v>2</v>
      </c>
      <c r="E68">
        <v>10</v>
      </c>
      <c r="F68" t="s">
        <v>461</v>
      </c>
      <c r="G68" s="6" t="s">
        <v>875</v>
      </c>
      <c r="H68" s="9" t="s">
        <v>1071</v>
      </c>
      <c r="I68">
        <f t="shared" si="3"/>
        <v>80</v>
      </c>
      <c r="J68">
        <f t="shared" si="4"/>
        <v>36.287389600000004</v>
      </c>
      <c r="K68">
        <v>5.99</v>
      </c>
      <c r="L68">
        <f t="shared" si="5"/>
        <v>217.36146370400004</v>
      </c>
    </row>
    <row r="69" spans="1:12" x14ac:dyDescent="0.2">
      <c r="A69" s="4">
        <v>43434</v>
      </c>
      <c r="B69" t="s">
        <v>538</v>
      </c>
      <c r="C69">
        <v>4</v>
      </c>
      <c r="D69">
        <v>2</v>
      </c>
      <c r="E69">
        <v>10</v>
      </c>
      <c r="F69" t="s">
        <v>462</v>
      </c>
      <c r="G69" s="6" t="s">
        <v>875</v>
      </c>
      <c r="H69" s="9" t="s">
        <v>1071</v>
      </c>
      <c r="I69">
        <f t="shared" si="3"/>
        <v>80</v>
      </c>
      <c r="J69">
        <f t="shared" si="4"/>
        <v>36.287389600000004</v>
      </c>
      <c r="K69">
        <v>5.99</v>
      </c>
      <c r="L69">
        <f t="shared" si="5"/>
        <v>217.36146370400004</v>
      </c>
    </row>
    <row r="70" spans="1:12" x14ac:dyDescent="0.2">
      <c r="A70" s="4">
        <v>43434</v>
      </c>
      <c r="B70" t="s">
        <v>538</v>
      </c>
      <c r="C70">
        <v>4</v>
      </c>
      <c r="D70">
        <v>2</v>
      </c>
      <c r="E70">
        <v>10</v>
      </c>
      <c r="F70" t="s">
        <v>566</v>
      </c>
      <c r="G70" s="6" t="s">
        <v>875</v>
      </c>
      <c r="H70" s="9" t="s">
        <v>1071</v>
      </c>
      <c r="I70">
        <f t="shared" si="3"/>
        <v>80</v>
      </c>
      <c r="J70">
        <f t="shared" si="4"/>
        <v>36.287389600000004</v>
      </c>
      <c r="K70">
        <v>5.99</v>
      </c>
      <c r="L70">
        <f t="shared" si="5"/>
        <v>217.36146370400004</v>
      </c>
    </row>
    <row r="71" spans="1:12" x14ac:dyDescent="0.2">
      <c r="A71" s="4">
        <v>43439</v>
      </c>
      <c r="B71" t="s">
        <v>538</v>
      </c>
      <c r="C71">
        <v>3</v>
      </c>
      <c r="D71">
        <v>2</v>
      </c>
      <c r="E71">
        <v>10</v>
      </c>
      <c r="F71" t="s">
        <v>458</v>
      </c>
      <c r="G71" s="6" t="s">
        <v>875</v>
      </c>
      <c r="H71" s="9" t="s">
        <v>1071</v>
      </c>
      <c r="I71">
        <f t="shared" si="3"/>
        <v>60</v>
      </c>
      <c r="J71">
        <f t="shared" si="4"/>
        <v>27.215542200000002</v>
      </c>
      <c r="K71">
        <v>5.99</v>
      </c>
      <c r="L71">
        <f t="shared" si="5"/>
        <v>163.02109777800001</v>
      </c>
    </row>
    <row r="72" spans="1:12" x14ac:dyDescent="0.2">
      <c r="A72" s="4">
        <v>43434</v>
      </c>
      <c r="B72" t="s">
        <v>538</v>
      </c>
      <c r="C72">
        <v>1</v>
      </c>
      <c r="D72">
        <v>12</v>
      </c>
      <c r="E72">
        <v>1</v>
      </c>
      <c r="F72" t="s">
        <v>560</v>
      </c>
      <c r="G72" s="6" t="s">
        <v>911</v>
      </c>
      <c r="H72" s="9" t="s">
        <v>1071</v>
      </c>
      <c r="I72">
        <f t="shared" si="3"/>
        <v>12</v>
      </c>
      <c r="J72">
        <f t="shared" si="4"/>
        <v>5.4431084400000005</v>
      </c>
      <c r="K72">
        <v>0.11799999999999999</v>
      </c>
      <c r="L72">
        <f t="shared" si="5"/>
        <v>0.64228679592000004</v>
      </c>
    </row>
    <row r="73" spans="1:12" x14ac:dyDescent="0.2">
      <c r="A73" s="4">
        <v>43439</v>
      </c>
      <c r="B73" t="s">
        <v>538</v>
      </c>
      <c r="C73">
        <v>1</v>
      </c>
      <c r="D73">
        <v>1</v>
      </c>
      <c r="E73">
        <v>20</v>
      </c>
      <c r="F73" t="s">
        <v>592</v>
      </c>
      <c r="G73" t="s">
        <v>921</v>
      </c>
      <c r="H73" s="9" t="s">
        <v>1071</v>
      </c>
      <c r="I73">
        <f t="shared" si="3"/>
        <v>20</v>
      </c>
      <c r="J73">
        <f t="shared" si="4"/>
        <v>9.0718474000000011</v>
      </c>
      <c r="K73">
        <v>0.61699999999999999</v>
      </c>
      <c r="L73">
        <f t="shared" si="5"/>
        <v>5.5973298458000009</v>
      </c>
    </row>
    <row r="74" spans="1:12" x14ac:dyDescent="0.2">
      <c r="A74" s="4">
        <v>43434</v>
      </c>
      <c r="B74" t="s">
        <v>538</v>
      </c>
      <c r="C74">
        <v>1</v>
      </c>
      <c r="D74">
        <v>4</v>
      </c>
      <c r="E74">
        <v>8.35</v>
      </c>
      <c r="F74" t="s">
        <v>541</v>
      </c>
      <c r="G74" t="s">
        <v>937</v>
      </c>
      <c r="H74" s="9" t="s">
        <v>1071</v>
      </c>
      <c r="I74">
        <f t="shared" si="3"/>
        <v>33.4</v>
      </c>
      <c r="J74">
        <f t="shared" si="4"/>
        <v>15.149985158</v>
      </c>
      <c r="K74">
        <v>0.79900000000000004</v>
      </c>
      <c r="L74">
        <f t="shared" si="5"/>
        <v>12.104838141242</v>
      </c>
    </row>
    <row r="75" spans="1:12" x14ac:dyDescent="0.2">
      <c r="A75" s="4">
        <v>43434</v>
      </c>
      <c r="B75" t="s">
        <v>538</v>
      </c>
      <c r="C75">
        <v>1</v>
      </c>
      <c r="D75">
        <v>12</v>
      </c>
      <c r="E75">
        <f>28/16</f>
        <v>1.75</v>
      </c>
      <c r="F75" t="s">
        <v>559</v>
      </c>
      <c r="G75" t="s">
        <v>848</v>
      </c>
      <c r="H75" s="9" t="s">
        <v>1071</v>
      </c>
      <c r="I75">
        <f t="shared" si="3"/>
        <v>21</v>
      </c>
      <c r="J75">
        <f t="shared" si="4"/>
        <v>9.5254397700000002</v>
      </c>
      <c r="K75">
        <v>0.52500000000000002</v>
      </c>
      <c r="L75">
        <f t="shared" si="5"/>
        <v>5.0008558792500004</v>
      </c>
    </row>
    <row r="76" spans="1:12" x14ac:dyDescent="0.2">
      <c r="A76" s="4">
        <v>43434</v>
      </c>
      <c r="B76" t="s">
        <v>538</v>
      </c>
      <c r="C76">
        <v>1</v>
      </c>
      <c r="D76">
        <v>3</v>
      </c>
      <c r="E76">
        <v>5</v>
      </c>
      <c r="F76" t="s">
        <v>556</v>
      </c>
      <c r="G76" t="s">
        <v>909</v>
      </c>
      <c r="H76" s="9" t="s">
        <v>1071</v>
      </c>
      <c r="I76">
        <f t="shared" si="3"/>
        <v>15</v>
      </c>
      <c r="J76">
        <f t="shared" si="4"/>
        <v>6.8038855500000004</v>
      </c>
      <c r="K76">
        <v>0.87</v>
      </c>
      <c r="L76">
        <f t="shared" si="5"/>
        <v>5.9193804285000002</v>
      </c>
    </row>
    <row r="77" spans="1:12" x14ac:dyDescent="0.2">
      <c r="A77" s="4">
        <v>43439</v>
      </c>
      <c r="B77" t="s">
        <v>538</v>
      </c>
      <c r="C77">
        <v>1</v>
      </c>
      <c r="D77">
        <v>3</v>
      </c>
      <c r="E77">
        <v>5</v>
      </c>
      <c r="F77" t="s">
        <v>556</v>
      </c>
      <c r="G77" t="s">
        <v>909</v>
      </c>
      <c r="H77" s="9" t="s">
        <v>1071</v>
      </c>
      <c r="I77">
        <f t="shared" si="3"/>
        <v>15</v>
      </c>
      <c r="J77">
        <f t="shared" si="4"/>
        <v>6.8038855500000004</v>
      </c>
      <c r="K77">
        <v>0.87</v>
      </c>
      <c r="L77">
        <f t="shared" si="5"/>
        <v>5.9193804285000002</v>
      </c>
    </row>
    <row r="78" spans="1:12" x14ac:dyDescent="0.2">
      <c r="A78" s="4">
        <v>43434</v>
      </c>
      <c r="B78" t="s">
        <v>538</v>
      </c>
      <c r="C78">
        <v>2</v>
      </c>
      <c r="D78">
        <v>12</v>
      </c>
      <c r="E78">
        <f>27/16</f>
        <v>1.6875</v>
      </c>
      <c r="F78" t="s">
        <v>555</v>
      </c>
      <c r="G78" t="s">
        <v>908</v>
      </c>
      <c r="H78" s="9" t="s">
        <v>1071</v>
      </c>
      <c r="I78">
        <f t="shared" si="3"/>
        <v>40.5</v>
      </c>
      <c r="J78">
        <f t="shared" si="4"/>
        <v>18.370490985</v>
      </c>
      <c r="K78">
        <v>0.79900000000000004</v>
      </c>
      <c r="L78">
        <f t="shared" si="5"/>
        <v>14.678022297015001</v>
      </c>
    </row>
    <row r="79" spans="1:12" x14ac:dyDescent="0.2">
      <c r="A79" s="4">
        <v>43434</v>
      </c>
      <c r="B79" t="s">
        <v>538</v>
      </c>
      <c r="C79">
        <v>2</v>
      </c>
      <c r="D79">
        <v>12</v>
      </c>
      <c r="E79">
        <f>7/16</f>
        <v>0.4375</v>
      </c>
      <c r="F79" t="s">
        <v>448</v>
      </c>
      <c r="G79" t="s">
        <v>908</v>
      </c>
      <c r="H79" s="9" t="s">
        <v>1071</v>
      </c>
      <c r="I79">
        <f t="shared" si="3"/>
        <v>10.5</v>
      </c>
      <c r="J79">
        <f t="shared" si="4"/>
        <v>4.7627198850000001</v>
      </c>
      <c r="K79">
        <v>0.79900000000000004</v>
      </c>
      <c r="L79">
        <f t="shared" si="5"/>
        <v>3.8054131881150002</v>
      </c>
    </row>
    <row r="80" spans="1:12" x14ac:dyDescent="0.2">
      <c r="A80" s="4">
        <v>43439</v>
      </c>
      <c r="B80" t="s">
        <v>538</v>
      </c>
      <c r="C80">
        <v>1</v>
      </c>
      <c r="D80">
        <v>4</v>
      </c>
      <c r="E80">
        <v>8.35</v>
      </c>
      <c r="F80" t="s">
        <v>541</v>
      </c>
      <c r="G80" t="s">
        <v>908</v>
      </c>
      <c r="H80" s="9" t="s">
        <v>1071</v>
      </c>
      <c r="I80">
        <f t="shared" si="3"/>
        <v>33.4</v>
      </c>
      <c r="J80">
        <f t="shared" si="4"/>
        <v>15.149985158</v>
      </c>
      <c r="K80">
        <v>0.79900000000000004</v>
      </c>
      <c r="L80">
        <f t="shared" si="5"/>
        <v>12.104838141242</v>
      </c>
    </row>
    <row r="81" spans="1:12" x14ac:dyDescent="0.2">
      <c r="A81" s="4">
        <v>43437</v>
      </c>
      <c r="B81" t="s">
        <v>538</v>
      </c>
      <c r="C81">
        <v>1</v>
      </c>
      <c r="D81">
        <v>6</v>
      </c>
      <c r="E81">
        <v>2</v>
      </c>
      <c r="F81" t="s">
        <v>570</v>
      </c>
      <c r="G81" s="6" t="s">
        <v>985</v>
      </c>
      <c r="H81" s="9" t="s">
        <v>1071</v>
      </c>
      <c r="I81">
        <f t="shared" si="3"/>
        <v>12</v>
      </c>
      <c r="J81">
        <f t="shared" si="4"/>
        <v>5.4431084400000005</v>
      </c>
      <c r="K81">
        <v>0.34699999999999998</v>
      </c>
      <c r="L81">
        <f t="shared" si="5"/>
        <v>1.88875862868</v>
      </c>
    </row>
    <row r="82" spans="1:12" x14ac:dyDescent="0.2">
      <c r="A82" s="4">
        <v>43439</v>
      </c>
      <c r="B82" t="s">
        <v>538</v>
      </c>
      <c r="C82">
        <v>1</v>
      </c>
      <c r="D82">
        <v>24</v>
      </c>
      <c r="E82">
        <f>15/16</f>
        <v>0.9375</v>
      </c>
      <c r="F82" t="s">
        <v>590</v>
      </c>
      <c r="G82" t="s">
        <v>882</v>
      </c>
      <c r="H82" s="9" t="s">
        <v>1071</v>
      </c>
      <c r="I82">
        <f t="shared" si="3"/>
        <v>22.5</v>
      </c>
      <c r="J82">
        <f t="shared" si="4"/>
        <v>10.205828325000001</v>
      </c>
      <c r="K82">
        <v>0.68400000000000005</v>
      </c>
      <c r="L82">
        <f t="shared" si="5"/>
        <v>6.9807865743000006</v>
      </c>
    </row>
    <row r="83" spans="1:12" x14ac:dyDescent="0.2">
      <c r="A83" s="4">
        <v>43439</v>
      </c>
      <c r="B83" t="s">
        <v>538</v>
      </c>
      <c r="C83">
        <v>1</v>
      </c>
      <c r="D83">
        <v>1</v>
      </c>
      <c r="E83">
        <v>30</v>
      </c>
      <c r="F83" t="s">
        <v>593</v>
      </c>
      <c r="G83" t="s">
        <v>882</v>
      </c>
      <c r="H83" s="9" t="s">
        <v>1071</v>
      </c>
      <c r="I83">
        <f t="shared" si="3"/>
        <v>30</v>
      </c>
      <c r="J83">
        <f t="shared" si="4"/>
        <v>13.607771100000001</v>
      </c>
      <c r="K83">
        <v>0.68400000000000005</v>
      </c>
      <c r="L83">
        <f t="shared" si="5"/>
        <v>9.307715432400002</v>
      </c>
    </row>
    <row r="84" spans="1:12" x14ac:dyDescent="0.2">
      <c r="A84" s="4">
        <v>43434</v>
      </c>
      <c r="B84" t="s">
        <v>538</v>
      </c>
      <c r="C84">
        <v>8</v>
      </c>
      <c r="D84">
        <v>1</v>
      </c>
      <c r="E84">
        <v>25</v>
      </c>
      <c r="F84" t="s">
        <v>424</v>
      </c>
      <c r="G84" t="s">
        <v>859</v>
      </c>
      <c r="H84" s="9" t="s">
        <v>1071</v>
      </c>
      <c r="I84">
        <f t="shared" si="3"/>
        <v>200</v>
      </c>
      <c r="J84">
        <f t="shared" si="4"/>
        <v>90.718474000000001</v>
      </c>
      <c r="K84">
        <v>1.5409999999999999</v>
      </c>
      <c r="L84">
        <f t="shared" si="5"/>
        <v>139.79716843399999</v>
      </c>
    </row>
    <row r="85" spans="1:12" x14ac:dyDescent="0.2">
      <c r="A85" s="4">
        <v>43434</v>
      </c>
      <c r="B85" t="s">
        <v>538</v>
      </c>
      <c r="C85">
        <v>4</v>
      </c>
      <c r="D85">
        <v>2</v>
      </c>
      <c r="E85">
        <v>5</v>
      </c>
      <c r="F85" t="s">
        <v>429</v>
      </c>
      <c r="G85" t="s">
        <v>859</v>
      </c>
      <c r="H85" s="9" t="s">
        <v>1071</v>
      </c>
      <c r="I85">
        <f t="shared" si="3"/>
        <v>40</v>
      </c>
      <c r="J85">
        <f t="shared" si="4"/>
        <v>18.143694800000002</v>
      </c>
      <c r="K85">
        <v>1.5409999999999999</v>
      </c>
      <c r="L85">
        <f t="shared" si="5"/>
        <v>27.959433686800001</v>
      </c>
    </row>
    <row r="86" spans="1:12" x14ac:dyDescent="0.2">
      <c r="A86" s="4">
        <v>43434</v>
      </c>
      <c r="B86" t="s">
        <v>538</v>
      </c>
      <c r="C86">
        <v>4</v>
      </c>
      <c r="D86">
        <v>1</v>
      </c>
      <c r="E86">
        <v>25</v>
      </c>
      <c r="F86" t="s">
        <v>452</v>
      </c>
      <c r="G86" t="s">
        <v>859</v>
      </c>
      <c r="H86" s="9" t="s">
        <v>1071</v>
      </c>
      <c r="I86">
        <f t="shared" si="3"/>
        <v>100</v>
      </c>
      <c r="J86">
        <f t="shared" si="4"/>
        <v>45.359237</v>
      </c>
      <c r="K86">
        <v>1.5409999999999999</v>
      </c>
      <c r="L86">
        <f t="shared" si="5"/>
        <v>69.898584216999993</v>
      </c>
    </row>
    <row r="87" spans="1:12" x14ac:dyDescent="0.2">
      <c r="A87" s="4">
        <v>43434</v>
      </c>
      <c r="B87" t="s">
        <v>538</v>
      </c>
      <c r="C87">
        <v>4</v>
      </c>
      <c r="D87">
        <v>2</v>
      </c>
      <c r="E87">
        <v>5</v>
      </c>
      <c r="F87" t="s">
        <v>564</v>
      </c>
      <c r="G87" t="s">
        <v>859</v>
      </c>
      <c r="H87" s="9" t="s">
        <v>1071</v>
      </c>
      <c r="I87">
        <f t="shared" si="3"/>
        <v>40</v>
      </c>
      <c r="J87">
        <f t="shared" si="4"/>
        <v>18.143694800000002</v>
      </c>
      <c r="K87">
        <v>1.5409999999999999</v>
      </c>
      <c r="L87">
        <f t="shared" si="5"/>
        <v>27.959433686800001</v>
      </c>
    </row>
    <row r="88" spans="1:12" x14ac:dyDescent="0.2">
      <c r="A88" s="4">
        <v>43437</v>
      </c>
      <c r="B88" t="s">
        <v>538</v>
      </c>
      <c r="C88">
        <v>3</v>
      </c>
      <c r="D88">
        <v>1</v>
      </c>
      <c r="E88">
        <v>25</v>
      </c>
      <c r="F88" t="s">
        <v>424</v>
      </c>
      <c r="G88" t="s">
        <v>859</v>
      </c>
      <c r="H88" s="9" t="s">
        <v>1071</v>
      </c>
      <c r="I88">
        <f t="shared" si="3"/>
        <v>75</v>
      </c>
      <c r="J88">
        <f t="shared" si="4"/>
        <v>34.019427750000006</v>
      </c>
      <c r="K88">
        <v>1.5409999999999999</v>
      </c>
      <c r="L88">
        <f t="shared" si="5"/>
        <v>52.423938162750005</v>
      </c>
    </row>
    <row r="89" spans="1:12" x14ac:dyDescent="0.2">
      <c r="A89" s="4">
        <v>43437</v>
      </c>
      <c r="B89" t="s">
        <v>538</v>
      </c>
      <c r="C89">
        <v>3</v>
      </c>
      <c r="D89">
        <v>2</v>
      </c>
      <c r="E89">
        <v>5</v>
      </c>
      <c r="F89" t="s">
        <v>429</v>
      </c>
      <c r="G89" t="s">
        <v>859</v>
      </c>
      <c r="H89" s="9" t="s">
        <v>1071</v>
      </c>
      <c r="I89">
        <f t="shared" si="3"/>
        <v>30</v>
      </c>
      <c r="J89">
        <f t="shared" si="4"/>
        <v>13.607771100000001</v>
      </c>
      <c r="K89">
        <v>1.5409999999999999</v>
      </c>
      <c r="L89">
        <f t="shared" si="5"/>
        <v>20.969575265100001</v>
      </c>
    </row>
    <row r="90" spans="1:12" x14ac:dyDescent="0.2">
      <c r="A90" s="4">
        <v>43437</v>
      </c>
      <c r="B90" t="s">
        <v>538</v>
      </c>
      <c r="C90">
        <v>2</v>
      </c>
      <c r="D90">
        <v>1</v>
      </c>
      <c r="E90">
        <v>25</v>
      </c>
      <c r="F90" t="s">
        <v>452</v>
      </c>
      <c r="G90" t="s">
        <v>859</v>
      </c>
      <c r="H90" s="9" t="s">
        <v>1071</v>
      </c>
      <c r="I90">
        <f t="shared" si="3"/>
        <v>50</v>
      </c>
      <c r="J90">
        <f t="shared" si="4"/>
        <v>22.6796185</v>
      </c>
      <c r="K90">
        <v>1.5409999999999999</v>
      </c>
      <c r="L90">
        <f t="shared" si="5"/>
        <v>34.949292108499996</v>
      </c>
    </row>
    <row r="91" spans="1:12" x14ac:dyDescent="0.2">
      <c r="A91" s="4">
        <v>43437</v>
      </c>
      <c r="B91" t="s">
        <v>538</v>
      </c>
      <c r="C91">
        <v>1</v>
      </c>
      <c r="D91">
        <v>1</v>
      </c>
      <c r="E91">
        <v>50</v>
      </c>
      <c r="F91" t="s">
        <v>459</v>
      </c>
      <c r="G91" t="s">
        <v>859</v>
      </c>
      <c r="H91" s="9" t="s">
        <v>1071</v>
      </c>
      <c r="I91">
        <f t="shared" si="3"/>
        <v>50</v>
      </c>
      <c r="J91">
        <f t="shared" si="4"/>
        <v>22.6796185</v>
      </c>
      <c r="K91">
        <v>1.5409999999999999</v>
      </c>
      <c r="L91">
        <f t="shared" si="5"/>
        <v>34.949292108499996</v>
      </c>
    </row>
    <row r="92" spans="1:12" x14ac:dyDescent="0.2">
      <c r="A92" s="4">
        <v>43439</v>
      </c>
      <c r="B92" t="s">
        <v>538</v>
      </c>
      <c r="C92">
        <v>4</v>
      </c>
      <c r="D92">
        <v>1</v>
      </c>
      <c r="E92">
        <v>25</v>
      </c>
      <c r="F92" t="s">
        <v>424</v>
      </c>
      <c r="G92" t="s">
        <v>859</v>
      </c>
      <c r="H92" s="9" t="s">
        <v>1071</v>
      </c>
      <c r="I92">
        <f t="shared" si="3"/>
        <v>100</v>
      </c>
      <c r="J92">
        <f t="shared" si="4"/>
        <v>45.359237</v>
      </c>
      <c r="K92">
        <v>1.5409999999999999</v>
      </c>
      <c r="L92">
        <f t="shared" si="5"/>
        <v>69.898584216999993</v>
      </c>
    </row>
    <row r="93" spans="1:12" x14ac:dyDescent="0.2">
      <c r="A93" s="4">
        <v>43439</v>
      </c>
      <c r="B93" t="s">
        <v>538</v>
      </c>
      <c r="C93">
        <v>3</v>
      </c>
      <c r="D93">
        <v>1</v>
      </c>
      <c r="E93">
        <v>25</v>
      </c>
      <c r="F93" t="s">
        <v>452</v>
      </c>
      <c r="G93" t="s">
        <v>859</v>
      </c>
      <c r="H93" s="9" t="s">
        <v>1071</v>
      </c>
      <c r="I93">
        <f t="shared" si="3"/>
        <v>75</v>
      </c>
      <c r="J93">
        <f t="shared" si="4"/>
        <v>34.019427750000006</v>
      </c>
      <c r="K93">
        <v>1.5409999999999999</v>
      </c>
      <c r="L93">
        <f t="shared" si="5"/>
        <v>52.423938162750005</v>
      </c>
    </row>
    <row r="94" spans="1:12" x14ac:dyDescent="0.2">
      <c r="A94" s="4">
        <v>43439</v>
      </c>
      <c r="B94" t="s">
        <v>538</v>
      </c>
      <c r="C94">
        <v>1</v>
      </c>
      <c r="D94">
        <v>1</v>
      </c>
      <c r="E94">
        <v>50</v>
      </c>
      <c r="F94" t="s">
        <v>459</v>
      </c>
      <c r="G94" t="s">
        <v>859</v>
      </c>
      <c r="H94" s="9" t="s">
        <v>1071</v>
      </c>
      <c r="I94">
        <f t="shared" si="3"/>
        <v>50</v>
      </c>
      <c r="J94">
        <f t="shared" si="4"/>
        <v>22.6796185</v>
      </c>
      <c r="K94">
        <v>1.5409999999999999</v>
      </c>
      <c r="L94">
        <f t="shared" si="5"/>
        <v>34.949292108499996</v>
      </c>
    </row>
    <row r="95" spans="1:12" x14ac:dyDescent="0.2">
      <c r="A95" s="4">
        <v>43434</v>
      </c>
      <c r="B95" t="s">
        <v>538</v>
      </c>
      <c r="C95">
        <v>1</v>
      </c>
      <c r="D95">
        <v>6</v>
      </c>
      <c r="E95">
        <v>5</v>
      </c>
      <c r="F95" t="s">
        <v>549</v>
      </c>
      <c r="G95" s="6" t="s">
        <v>980</v>
      </c>
      <c r="H95" s="9" t="s">
        <v>1071</v>
      </c>
      <c r="I95">
        <f t="shared" si="3"/>
        <v>30</v>
      </c>
      <c r="J95">
        <f t="shared" si="4"/>
        <v>13.607771100000001</v>
      </c>
      <c r="K95">
        <v>3.33</v>
      </c>
      <c r="L95">
        <f t="shared" si="5"/>
        <v>45.313877763000001</v>
      </c>
    </row>
    <row r="96" spans="1:12" x14ac:dyDescent="0.2">
      <c r="A96" s="4">
        <v>43437</v>
      </c>
      <c r="B96" t="s">
        <v>538</v>
      </c>
      <c r="C96">
        <v>1</v>
      </c>
      <c r="D96">
        <v>4</v>
      </c>
      <c r="E96">
        <f>1.13*10.16</f>
        <v>11.480799999999999</v>
      </c>
      <c r="F96" t="s">
        <v>572</v>
      </c>
      <c r="G96" s="6" t="s">
        <v>980</v>
      </c>
      <c r="H96" s="9" t="s">
        <v>1071</v>
      </c>
      <c r="I96">
        <f t="shared" si="3"/>
        <v>45.923199999999994</v>
      </c>
      <c r="J96">
        <f t="shared" si="4"/>
        <v>20.830413125983998</v>
      </c>
      <c r="K96">
        <v>3.33</v>
      </c>
      <c r="L96">
        <f t="shared" si="5"/>
        <v>69.365275709526713</v>
      </c>
    </row>
    <row r="97" spans="1:12" x14ac:dyDescent="0.2">
      <c r="A97" s="4">
        <v>43437</v>
      </c>
      <c r="B97" t="s">
        <v>538</v>
      </c>
      <c r="C97">
        <v>1</v>
      </c>
      <c r="D97">
        <v>12</v>
      </c>
      <c r="E97">
        <v>1.5625</v>
      </c>
      <c r="F97" t="s">
        <v>449</v>
      </c>
      <c r="G97" s="6" t="s">
        <v>980</v>
      </c>
      <c r="H97" s="9" t="s">
        <v>1071</v>
      </c>
      <c r="I97">
        <f t="shared" si="3"/>
        <v>18.75</v>
      </c>
      <c r="J97">
        <f t="shared" si="4"/>
        <v>8.5048569375000014</v>
      </c>
      <c r="K97">
        <v>3.33</v>
      </c>
      <c r="L97">
        <f t="shared" si="5"/>
        <v>28.321173601875007</v>
      </c>
    </row>
    <row r="98" spans="1:12" x14ac:dyDescent="0.2">
      <c r="A98" s="4">
        <v>43437</v>
      </c>
      <c r="B98" t="s">
        <v>538</v>
      </c>
      <c r="C98">
        <v>1</v>
      </c>
      <c r="D98">
        <v>4</v>
      </c>
      <c r="E98">
        <f>1.13*10.16</f>
        <v>11.480799999999999</v>
      </c>
      <c r="F98" t="s">
        <v>584</v>
      </c>
      <c r="G98" s="6" t="s">
        <v>980</v>
      </c>
      <c r="H98" s="9" t="s">
        <v>1071</v>
      </c>
      <c r="I98">
        <f t="shared" si="3"/>
        <v>45.923199999999994</v>
      </c>
      <c r="J98">
        <f t="shared" si="4"/>
        <v>20.830413125983998</v>
      </c>
      <c r="K98">
        <v>3.33</v>
      </c>
      <c r="L98">
        <f t="shared" si="5"/>
        <v>69.365275709526713</v>
      </c>
    </row>
    <row r="99" spans="1:12" x14ac:dyDescent="0.2">
      <c r="A99" s="4">
        <v>43437</v>
      </c>
      <c r="B99" t="s">
        <v>538</v>
      </c>
      <c r="C99">
        <v>2</v>
      </c>
      <c r="D99">
        <v>4</v>
      </c>
      <c r="E99">
        <f>1.13*11.68</f>
        <v>13.198399999999998</v>
      </c>
      <c r="F99" t="s">
        <v>585</v>
      </c>
      <c r="G99" s="6" t="s">
        <v>980</v>
      </c>
      <c r="H99" s="9" t="s">
        <v>1071</v>
      </c>
      <c r="I99">
        <f t="shared" si="3"/>
        <v>105.58719999999998</v>
      </c>
      <c r="J99">
        <f t="shared" si="4"/>
        <v>47.893548289663997</v>
      </c>
      <c r="K99">
        <v>3.33</v>
      </c>
      <c r="L99">
        <f t="shared" si="5"/>
        <v>159.48551580458113</v>
      </c>
    </row>
    <row r="100" spans="1:12" x14ac:dyDescent="0.2">
      <c r="A100" s="4">
        <v>43439</v>
      </c>
      <c r="B100" t="s">
        <v>538</v>
      </c>
      <c r="C100">
        <v>1</v>
      </c>
      <c r="D100">
        <v>24</v>
      </c>
      <c r="E100">
        <v>0.3125</v>
      </c>
      <c r="F100" t="s">
        <v>585</v>
      </c>
      <c r="G100" s="6" t="s">
        <v>980</v>
      </c>
      <c r="H100" s="9" t="s">
        <v>1071</v>
      </c>
      <c r="I100">
        <f t="shared" si="3"/>
        <v>7.5</v>
      </c>
      <c r="J100">
        <f t="shared" si="4"/>
        <v>3.4019427750000002</v>
      </c>
      <c r="K100">
        <v>3.33</v>
      </c>
      <c r="L100">
        <f t="shared" si="5"/>
        <v>11.32846944075</v>
      </c>
    </row>
    <row r="101" spans="1:12" x14ac:dyDescent="0.2">
      <c r="A101" s="4">
        <v>43439</v>
      </c>
      <c r="B101" t="s">
        <v>538</v>
      </c>
      <c r="C101">
        <v>1</v>
      </c>
      <c r="D101">
        <v>24</v>
      </c>
      <c r="E101">
        <f>6/16</f>
        <v>0.375</v>
      </c>
      <c r="F101" t="s">
        <v>594</v>
      </c>
      <c r="G101" s="6" t="s">
        <v>980</v>
      </c>
      <c r="H101" s="9" t="s">
        <v>1071</v>
      </c>
      <c r="I101">
        <f t="shared" si="3"/>
        <v>9</v>
      </c>
      <c r="J101">
        <f t="shared" si="4"/>
        <v>4.0823313299999997</v>
      </c>
      <c r="K101">
        <v>3.33</v>
      </c>
      <c r="L101">
        <f t="shared" si="5"/>
        <v>13.594163328899999</v>
      </c>
    </row>
    <row r="102" spans="1:12" x14ac:dyDescent="0.2">
      <c r="A102" s="4">
        <v>43439</v>
      </c>
      <c r="B102" t="s">
        <v>538</v>
      </c>
      <c r="C102">
        <v>1</v>
      </c>
      <c r="D102">
        <v>12</v>
      </c>
      <c r="E102">
        <v>1.5625</v>
      </c>
      <c r="F102" t="s">
        <v>449</v>
      </c>
      <c r="G102" s="6" t="s">
        <v>980</v>
      </c>
      <c r="H102" s="9" t="s">
        <v>1071</v>
      </c>
      <c r="I102">
        <f t="shared" si="3"/>
        <v>18.75</v>
      </c>
      <c r="J102">
        <f t="shared" si="4"/>
        <v>8.5048569375000014</v>
      </c>
      <c r="K102">
        <v>3.33</v>
      </c>
      <c r="L102">
        <f t="shared" si="5"/>
        <v>28.321173601875007</v>
      </c>
    </row>
    <row r="103" spans="1:12" x14ac:dyDescent="0.2">
      <c r="A103" s="4">
        <v>43439</v>
      </c>
      <c r="B103" t="s">
        <v>538</v>
      </c>
      <c r="C103">
        <v>1</v>
      </c>
      <c r="D103">
        <v>12</v>
      </c>
      <c r="E103">
        <v>10.4375</v>
      </c>
      <c r="F103" t="s">
        <v>460</v>
      </c>
      <c r="G103" s="6" t="s">
        <v>980</v>
      </c>
      <c r="H103" s="9" t="s">
        <v>1071</v>
      </c>
      <c r="I103">
        <f t="shared" si="3"/>
        <v>125.25</v>
      </c>
      <c r="J103">
        <f t="shared" si="4"/>
        <v>56.812444342500001</v>
      </c>
      <c r="K103">
        <v>3.33</v>
      </c>
      <c r="L103">
        <f t="shared" si="5"/>
        <v>189.18543966052502</v>
      </c>
    </row>
    <row r="104" spans="1:12" x14ac:dyDescent="0.2">
      <c r="A104" s="4">
        <v>43434</v>
      </c>
      <c r="B104" t="s">
        <v>538</v>
      </c>
      <c r="C104">
        <v>1</v>
      </c>
      <c r="D104">
        <v>4</v>
      </c>
      <c r="E104">
        <v>7.9</v>
      </c>
      <c r="F104" t="s">
        <v>550</v>
      </c>
      <c r="G104" t="s">
        <v>906</v>
      </c>
      <c r="H104" s="9" t="s">
        <v>1071</v>
      </c>
      <c r="I104">
        <f t="shared" si="3"/>
        <v>31.6</v>
      </c>
      <c r="J104">
        <f t="shared" si="4"/>
        <v>14.333518892000003</v>
      </c>
      <c r="K104">
        <v>2.3340000000000001</v>
      </c>
      <c r="L104">
        <f t="shared" si="5"/>
        <v>33.45443309392801</v>
      </c>
    </row>
    <row r="105" spans="1:12" x14ac:dyDescent="0.2">
      <c r="A105" s="4">
        <v>43437</v>
      </c>
      <c r="B105" t="s">
        <v>538</v>
      </c>
      <c r="C105">
        <v>3</v>
      </c>
      <c r="D105">
        <v>6</v>
      </c>
      <c r="E105">
        <f>14/16</f>
        <v>0.875</v>
      </c>
      <c r="F105" t="s">
        <v>581</v>
      </c>
      <c r="G105" t="s">
        <v>869</v>
      </c>
      <c r="H105" s="9" t="s">
        <v>1071</v>
      </c>
      <c r="I105">
        <f t="shared" si="3"/>
        <v>15.75</v>
      </c>
      <c r="J105">
        <f t="shared" si="4"/>
        <v>7.1440798275000006</v>
      </c>
      <c r="K105">
        <v>0.87</v>
      </c>
      <c r="L105">
        <f t="shared" si="5"/>
        <v>6.2153494499250002</v>
      </c>
    </row>
    <row r="106" spans="1:12" x14ac:dyDescent="0.2">
      <c r="A106" s="4">
        <v>43437</v>
      </c>
      <c r="B106" t="s">
        <v>538</v>
      </c>
      <c r="C106">
        <v>3</v>
      </c>
      <c r="D106">
        <v>6</v>
      </c>
      <c r="E106">
        <v>1</v>
      </c>
      <c r="F106" t="s">
        <v>582</v>
      </c>
      <c r="G106" t="s">
        <v>869</v>
      </c>
      <c r="H106" s="9" t="s">
        <v>1071</v>
      </c>
      <c r="I106">
        <f t="shared" si="3"/>
        <v>18</v>
      </c>
      <c r="J106">
        <f t="shared" si="4"/>
        <v>8.1646626599999994</v>
      </c>
      <c r="K106">
        <v>0.87</v>
      </c>
      <c r="L106">
        <f t="shared" si="5"/>
        <v>7.103256514199999</v>
      </c>
    </row>
    <row r="107" spans="1:12" x14ac:dyDescent="0.2">
      <c r="A107" s="4">
        <v>43439</v>
      </c>
      <c r="B107" t="s">
        <v>538</v>
      </c>
      <c r="C107">
        <v>3</v>
      </c>
      <c r="D107">
        <v>6</v>
      </c>
      <c r="E107">
        <f>18/16</f>
        <v>1.125</v>
      </c>
      <c r="F107" t="s">
        <v>597</v>
      </c>
      <c r="G107" t="s">
        <v>869</v>
      </c>
      <c r="H107" s="9" t="s">
        <v>1071</v>
      </c>
      <c r="I107">
        <f t="shared" si="3"/>
        <v>20.25</v>
      </c>
      <c r="J107">
        <f t="shared" si="4"/>
        <v>9.1852454925</v>
      </c>
      <c r="K107">
        <v>0.87</v>
      </c>
      <c r="L107">
        <f t="shared" si="5"/>
        <v>7.9911635784749997</v>
      </c>
    </row>
    <row r="108" spans="1:12" x14ac:dyDescent="0.2">
      <c r="A108" s="4">
        <v>43439</v>
      </c>
      <c r="B108" t="s">
        <v>538</v>
      </c>
      <c r="C108">
        <v>3</v>
      </c>
      <c r="D108">
        <v>6</v>
      </c>
      <c r="E108">
        <f>14/16</f>
        <v>0.875</v>
      </c>
      <c r="F108" t="s">
        <v>581</v>
      </c>
      <c r="G108" t="s">
        <v>869</v>
      </c>
      <c r="H108" s="9" t="s">
        <v>1071</v>
      </c>
      <c r="I108">
        <f t="shared" si="3"/>
        <v>15.75</v>
      </c>
      <c r="J108">
        <f t="shared" si="4"/>
        <v>7.1440798275000006</v>
      </c>
      <c r="K108">
        <v>0.87</v>
      </c>
      <c r="L108">
        <f t="shared" si="5"/>
        <v>6.2153494499250002</v>
      </c>
    </row>
    <row r="109" spans="1:12" x14ac:dyDescent="0.2">
      <c r="A109" s="4">
        <v>43439</v>
      </c>
      <c r="B109" t="s">
        <v>538</v>
      </c>
      <c r="C109">
        <v>1</v>
      </c>
      <c r="D109">
        <v>3</v>
      </c>
      <c r="E109">
        <v>7.25</v>
      </c>
      <c r="F109" t="s">
        <v>554</v>
      </c>
      <c r="G109" t="s">
        <v>869</v>
      </c>
      <c r="H109" s="9" t="s">
        <v>1071</v>
      </c>
      <c r="I109">
        <f t="shared" si="3"/>
        <v>21.75</v>
      </c>
      <c r="J109">
        <f t="shared" si="4"/>
        <v>9.8656340475000004</v>
      </c>
      <c r="K109">
        <v>0.87</v>
      </c>
      <c r="L109">
        <f t="shared" si="5"/>
        <v>8.5831016213249995</v>
      </c>
    </row>
    <row r="110" spans="1:12" x14ac:dyDescent="0.2">
      <c r="A110" s="4">
        <v>43439</v>
      </c>
      <c r="B110" t="s">
        <v>538</v>
      </c>
      <c r="C110">
        <v>3</v>
      </c>
      <c r="D110">
        <v>6</v>
      </c>
      <c r="E110">
        <f>20/16</f>
        <v>1.25</v>
      </c>
      <c r="F110" t="s">
        <v>598</v>
      </c>
      <c r="G110" t="s">
        <v>869</v>
      </c>
      <c r="H110" s="9" t="s">
        <v>1071</v>
      </c>
      <c r="I110">
        <f t="shared" si="3"/>
        <v>22.5</v>
      </c>
      <c r="J110">
        <f t="shared" si="4"/>
        <v>10.205828325000001</v>
      </c>
      <c r="K110">
        <v>0.87</v>
      </c>
      <c r="L110">
        <f t="shared" si="5"/>
        <v>8.8790706427500012</v>
      </c>
    </row>
    <row r="111" spans="1:12" x14ac:dyDescent="0.2">
      <c r="A111" s="4">
        <v>43434</v>
      </c>
      <c r="B111" t="s">
        <v>538</v>
      </c>
      <c r="C111">
        <v>2</v>
      </c>
      <c r="D111">
        <v>6</v>
      </c>
      <c r="E111">
        <f>18/16</f>
        <v>1.125</v>
      </c>
      <c r="F111" t="s">
        <v>552</v>
      </c>
      <c r="G111" t="s">
        <v>907</v>
      </c>
      <c r="H111" s="9" t="s">
        <v>1071</v>
      </c>
      <c r="I111">
        <f t="shared" si="3"/>
        <v>13.5</v>
      </c>
      <c r="J111">
        <f t="shared" si="4"/>
        <v>6.1234969950000009</v>
      </c>
      <c r="K111">
        <v>0.87</v>
      </c>
      <c r="L111">
        <f t="shared" si="5"/>
        <v>5.3274423856500004</v>
      </c>
    </row>
    <row r="112" spans="1:12" x14ac:dyDescent="0.2">
      <c r="A112" s="4">
        <v>43434</v>
      </c>
      <c r="B112" t="s">
        <v>538</v>
      </c>
      <c r="C112">
        <v>1</v>
      </c>
      <c r="D112">
        <v>6</v>
      </c>
      <c r="E112">
        <v>1</v>
      </c>
      <c r="F112" t="s">
        <v>553</v>
      </c>
      <c r="G112" t="s">
        <v>907</v>
      </c>
      <c r="H112" s="9" t="s">
        <v>1071</v>
      </c>
      <c r="I112">
        <f t="shared" si="3"/>
        <v>6</v>
      </c>
      <c r="J112">
        <f t="shared" si="4"/>
        <v>2.7215542200000002</v>
      </c>
      <c r="K112">
        <v>0.87</v>
      </c>
      <c r="L112">
        <f t="shared" si="5"/>
        <v>2.3677521714000003</v>
      </c>
    </row>
    <row r="113" spans="1:12" x14ac:dyDescent="0.2">
      <c r="A113" s="4">
        <v>43434</v>
      </c>
      <c r="B113" t="s">
        <v>538</v>
      </c>
      <c r="C113">
        <v>1</v>
      </c>
      <c r="D113">
        <v>3</v>
      </c>
      <c r="E113">
        <v>7.25</v>
      </c>
      <c r="F113" t="s">
        <v>554</v>
      </c>
      <c r="G113" t="s">
        <v>907</v>
      </c>
      <c r="H113" s="9" t="s">
        <v>1071</v>
      </c>
      <c r="I113">
        <f t="shared" si="3"/>
        <v>21.75</v>
      </c>
      <c r="J113">
        <f t="shared" si="4"/>
        <v>9.8656340475000004</v>
      </c>
      <c r="K113">
        <v>0.87</v>
      </c>
      <c r="L113">
        <f t="shared" si="5"/>
        <v>8.5831016213249995</v>
      </c>
    </row>
    <row r="114" spans="1:12" x14ac:dyDescent="0.2">
      <c r="A114" s="4">
        <v>43434</v>
      </c>
      <c r="B114" t="s">
        <v>538</v>
      </c>
      <c r="C114">
        <v>1</v>
      </c>
      <c r="D114">
        <v>12</v>
      </c>
      <c r="E114">
        <v>3</v>
      </c>
      <c r="F114" t="s">
        <v>451</v>
      </c>
      <c r="G114" t="s">
        <v>907</v>
      </c>
      <c r="H114" s="9" t="s">
        <v>1071</v>
      </c>
      <c r="I114">
        <f t="shared" si="3"/>
        <v>36</v>
      </c>
      <c r="J114">
        <f t="shared" si="4"/>
        <v>16.329325319999999</v>
      </c>
      <c r="K114">
        <v>0.87</v>
      </c>
      <c r="L114">
        <f t="shared" si="5"/>
        <v>14.206513028399998</v>
      </c>
    </row>
    <row r="115" spans="1:12" x14ac:dyDescent="0.2">
      <c r="A115" s="4">
        <v>43434</v>
      </c>
      <c r="B115" t="s">
        <v>538</v>
      </c>
      <c r="C115">
        <v>2</v>
      </c>
      <c r="D115">
        <v>6</v>
      </c>
      <c r="E115">
        <f>24/16</f>
        <v>1.5</v>
      </c>
      <c r="F115" t="s">
        <v>562</v>
      </c>
      <c r="G115" t="s">
        <v>907</v>
      </c>
      <c r="H115" s="9" t="s">
        <v>1071</v>
      </c>
      <c r="I115">
        <f t="shared" si="3"/>
        <v>18</v>
      </c>
      <c r="J115">
        <f t="shared" si="4"/>
        <v>8.1646626599999994</v>
      </c>
      <c r="K115">
        <v>0.87</v>
      </c>
      <c r="L115">
        <f t="shared" si="5"/>
        <v>7.103256514199999</v>
      </c>
    </row>
    <row r="116" spans="1:12" x14ac:dyDescent="0.2">
      <c r="A116" s="4">
        <v>43434</v>
      </c>
      <c r="B116" t="s">
        <v>538</v>
      </c>
      <c r="C116">
        <v>1</v>
      </c>
      <c r="D116">
        <v>6</v>
      </c>
      <c r="E116">
        <f>6.25/16</f>
        <v>0.390625</v>
      </c>
      <c r="F116" t="s">
        <v>567</v>
      </c>
      <c r="G116" t="s">
        <v>907</v>
      </c>
      <c r="H116" s="9" t="s">
        <v>1071</v>
      </c>
      <c r="I116">
        <f t="shared" si="3"/>
        <v>2.34375</v>
      </c>
      <c r="J116">
        <f t="shared" si="4"/>
        <v>1.0631071171875002</v>
      </c>
      <c r="K116">
        <v>0.87</v>
      </c>
      <c r="L116">
        <f t="shared" si="5"/>
        <v>0.92490319195312509</v>
      </c>
    </row>
    <row r="117" spans="1:12" x14ac:dyDescent="0.2">
      <c r="A117" s="4">
        <v>43437</v>
      </c>
      <c r="B117" t="s">
        <v>538</v>
      </c>
      <c r="C117">
        <v>2</v>
      </c>
      <c r="D117">
        <v>6</v>
      </c>
      <c r="E117">
        <f>18/16</f>
        <v>1.125</v>
      </c>
      <c r="F117" t="s">
        <v>583</v>
      </c>
      <c r="G117" t="s">
        <v>907</v>
      </c>
      <c r="H117" s="9" t="s">
        <v>1071</v>
      </c>
      <c r="I117">
        <f t="shared" si="3"/>
        <v>13.5</v>
      </c>
      <c r="J117">
        <f t="shared" si="4"/>
        <v>6.1234969950000009</v>
      </c>
      <c r="K117">
        <v>0.87</v>
      </c>
      <c r="L117">
        <f t="shared" si="5"/>
        <v>5.3274423856500004</v>
      </c>
    </row>
    <row r="118" spans="1:12" x14ac:dyDescent="0.2">
      <c r="A118" s="4">
        <v>43437</v>
      </c>
      <c r="B118" t="s">
        <v>538</v>
      </c>
      <c r="C118">
        <v>1</v>
      </c>
      <c r="D118">
        <v>12</v>
      </c>
      <c r="E118">
        <v>3</v>
      </c>
      <c r="F118" t="s">
        <v>451</v>
      </c>
      <c r="G118" t="s">
        <v>907</v>
      </c>
      <c r="H118" s="9" t="s">
        <v>1071</v>
      </c>
      <c r="I118">
        <f t="shared" si="3"/>
        <v>36</v>
      </c>
      <c r="J118">
        <f t="shared" si="4"/>
        <v>16.329325319999999</v>
      </c>
      <c r="K118">
        <v>0.87</v>
      </c>
      <c r="L118">
        <f t="shared" si="5"/>
        <v>14.206513028399998</v>
      </c>
    </row>
    <row r="119" spans="1:12" x14ac:dyDescent="0.2">
      <c r="A119" s="4">
        <v>43439</v>
      </c>
      <c r="B119" t="s">
        <v>538</v>
      </c>
      <c r="C119">
        <v>2</v>
      </c>
      <c r="D119">
        <v>12</v>
      </c>
      <c r="E119">
        <v>3</v>
      </c>
      <c r="F119" t="s">
        <v>451</v>
      </c>
      <c r="G119" t="s">
        <v>907</v>
      </c>
      <c r="H119" s="9" t="s">
        <v>1071</v>
      </c>
      <c r="I119">
        <f t="shared" si="3"/>
        <v>72</v>
      </c>
      <c r="J119">
        <f t="shared" si="4"/>
        <v>32.658650639999998</v>
      </c>
      <c r="K119">
        <v>0.87</v>
      </c>
      <c r="L119">
        <f t="shared" si="5"/>
        <v>28.413026056799996</v>
      </c>
    </row>
    <row r="120" spans="1:12" x14ac:dyDescent="0.2">
      <c r="A120" s="4">
        <v>43434</v>
      </c>
      <c r="B120" t="s">
        <v>538</v>
      </c>
      <c r="C120">
        <v>1</v>
      </c>
      <c r="D120">
        <v>1</v>
      </c>
      <c r="E120">
        <v>50</v>
      </c>
      <c r="F120" t="s">
        <v>425</v>
      </c>
      <c r="G120" t="s">
        <v>860</v>
      </c>
      <c r="H120" s="9" t="s">
        <v>1071</v>
      </c>
      <c r="I120">
        <f t="shared" si="3"/>
        <v>50</v>
      </c>
      <c r="J120">
        <f t="shared" si="4"/>
        <v>22.6796185</v>
      </c>
      <c r="K120">
        <v>0.7</v>
      </c>
      <c r="L120">
        <f t="shared" si="5"/>
        <v>15.87573295</v>
      </c>
    </row>
    <row r="121" spans="1:12" x14ac:dyDescent="0.2">
      <c r="A121" s="4">
        <v>43434</v>
      </c>
      <c r="B121" t="s">
        <v>538</v>
      </c>
      <c r="C121">
        <v>2</v>
      </c>
      <c r="D121">
        <v>1</v>
      </c>
      <c r="E121">
        <v>25</v>
      </c>
      <c r="F121" t="s">
        <v>443</v>
      </c>
      <c r="G121" t="s">
        <v>860</v>
      </c>
      <c r="H121" s="9" t="s">
        <v>1071</v>
      </c>
      <c r="I121">
        <f t="shared" si="3"/>
        <v>50</v>
      </c>
      <c r="J121">
        <f t="shared" si="4"/>
        <v>22.6796185</v>
      </c>
      <c r="K121">
        <v>0.7</v>
      </c>
      <c r="L121">
        <f t="shared" si="5"/>
        <v>15.87573295</v>
      </c>
    </row>
    <row r="122" spans="1:12" x14ac:dyDescent="0.2">
      <c r="A122" s="4">
        <v>43437</v>
      </c>
      <c r="B122" t="s">
        <v>538</v>
      </c>
      <c r="C122">
        <v>1</v>
      </c>
      <c r="D122">
        <v>1</v>
      </c>
      <c r="E122">
        <v>50</v>
      </c>
      <c r="F122" t="s">
        <v>434</v>
      </c>
      <c r="G122" t="s">
        <v>860</v>
      </c>
      <c r="H122" s="9" t="s">
        <v>1071</v>
      </c>
      <c r="I122">
        <f t="shared" si="3"/>
        <v>50</v>
      </c>
      <c r="J122">
        <f t="shared" si="4"/>
        <v>22.6796185</v>
      </c>
      <c r="K122">
        <v>0.7</v>
      </c>
      <c r="L122">
        <f t="shared" si="5"/>
        <v>15.87573295</v>
      </c>
    </row>
    <row r="123" spans="1:12" x14ac:dyDescent="0.2">
      <c r="A123" s="4">
        <v>43439</v>
      </c>
      <c r="B123" t="s">
        <v>538</v>
      </c>
      <c r="C123">
        <v>1</v>
      </c>
      <c r="D123">
        <v>1</v>
      </c>
      <c r="E123">
        <v>50</v>
      </c>
      <c r="F123" t="s">
        <v>434</v>
      </c>
      <c r="G123" t="s">
        <v>860</v>
      </c>
      <c r="H123" s="9" t="s">
        <v>1071</v>
      </c>
      <c r="I123">
        <f t="shared" si="3"/>
        <v>50</v>
      </c>
      <c r="J123">
        <f t="shared" si="4"/>
        <v>22.6796185</v>
      </c>
      <c r="K123">
        <v>0.7</v>
      </c>
      <c r="L123">
        <f t="shared" si="5"/>
        <v>15.87573295</v>
      </c>
    </row>
    <row r="124" spans="1:12" x14ac:dyDescent="0.2">
      <c r="A124" s="4">
        <v>43437</v>
      </c>
      <c r="B124" t="s">
        <v>538</v>
      </c>
      <c r="C124">
        <v>2</v>
      </c>
      <c r="D124">
        <v>4</v>
      </c>
      <c r="E124">
        <v>11.01</v>
      </c>
      <c r="F124" t="s">
        <v>435</v>
      </c>
      <c r="G124" s="6" t="s">
        <v>864</v>
      </c>
      <c r="H124" s="9" t="s">
        <v>1071</v>
      </c>
      <c r="I124">
        <f t="shared" si="3"/>
        <v>88.08</v>
      </c>
      <c r="J124">
        <f t="shared" si="4"/>
        <v>39.952415949600002</v>
      </c>
      <c r="K124">
        <v>6.7539999999999996</v>
      </c>
      <c r="L124">
        <f t="shared" si="5"/>
        <v>269.83861732359838</v>
      </c>
    </row>
    <row r="125" spans="1:12" x14ac:dyDescent="0.2">
      <c r="A125" s="4">
        <v>43434</v>
      </c>
      <c r="B125" t="s">
        <v>538</v>
      </c>
      <c r="C125">
        <v>1</v>
      </c>
      <c r="D125">
        <v>4</v>
      </c>
      <c r="E125">
        <v>11.01</v>
      </c>
      <c r="F125" t="s">
        <v>435</v>
      </c>
      <c r="G125" t="s">
        <v>902</v>
      </c>
      <c r="H125" s="9" t="s">
        <v>1071</v>
      </c>
      <c r="I125">
        <f t="shared" si="3"/>
        <v>44.04</v>
      </c>
      <c r="J125">
        <f t="shared" si="4"/>
        <v>19.976207974800001</v>
      </c>
      <c r="K125">
        <v>6.7539999999999996</v>
      </c>
      <c r="L125">
        <f t="shared" si="5"/>
        <v>134.91930866179919</v>
      </c>
    </row>
    <row r="126" spans="1:12" x14ac:dyDescent="0.2">
      <c r="A126" s="4">
        <v>43434</v>
      </c>
      <c r="B126" t="s">
        <v>538</v>
      </c>
      <c r="C126">
        <v>4</v>
      </c>
      <c r="D126">
        <v>6</v>
      </c>
      <c r="E126">
        <v>10</v>
      </c>
      <c r="F126" t="s">
        <v>544</v>
      </c>
      <c r="G126" t="s">
        <v>857</v>
      </c>
      <c r="H126" s="9" t="s">
        <v>1071</v>
      </c>
      <c r="I126">
        <f t="shared" si="3"/>
        <v>240</v>
      </c>
      <c r="J126">
        <f t="shared" si="4"/>
        <v>108.86216880000001</v>
      </c>
      <c r="K126">
        <v>0.47</v>
      </c>
      <c r="L126">
        <f t="shared" si="5"/>
        <v>51.165219336</v>
      </c>
    </row>
    <row r="127" spans="1:12" x14ac:dyDescent="0.2">
      <c r="A127" s="4">
        <v>43434</v>
      </c>
      <c r="B127" t="s">
        <v>538</v>
      </c>
      <c r="C127">
        <v>4</v>
      </c>
      <c r="D127">
        <v>6</v>
      </c>
      <c r="E127">
        <v>10</v>
      </c>
      <c r="F127" t="s">
        <v>432</v>
      </c>
      <c r="G127" t="s">
        <v>857</v>
      </c>
      <c r="H127" s="9" t="s">
        <v>1071</v>
      </c>
      <c r="I127">
        <f t="shared" si="3"/>
        <v>240</v>
      </c>
      <c r="J127">
        <f t="shared" si="4"/>
        <v>108.86216880000001</v>
      </c>
      <c r="K127">
        <v>0.47</v>
      </c>
      <c r="L127">
        <f t="shared" si="5"/>
        <v>51.165219336</v>
      </c>
    </row>
    <row r="128" spans="1:12" x14ac:dyDescent="0.2">
      <c r="A128" s="4">
        <v>43434</v>
      </c>
      <c r="B128" t="s">
        <v>538</v>
      </c>
      <c r="C128">
        <v>8</v>
      </c>
      <c r="D128">
        <v>6</v>
      </c>
      <c r="E128">
        <v>10</v>
      </c>
      <c r="F128" t="s">
        <v>546</v>
      </c>
      <c r="G128" t="s">
        <v>857</v>
      </c>
      <c r="H128" s="9" t="s">
        <v>1071</v>
      </c>
      <c r="I128">
        <f t="shared" si="3"/>
        <v>480</v>
      </c>
      <c r="J128">
        <f t="shared" si="4"/>
        <v>217.72433760000001</v>
      </c>
      <c r="K128">
        <v>0.47</v>
      </c>
      <c r="L128">
        <f t="shared" si="5"/>
        <v>102.330438672</v>
      </c>
    </row>
    <row r="129" spans="1:12" x14ac:dyDescent="0.2">
      <c r="A129" s="4">
        <v>43437</v>
      </c>
      <c r="B129" t="s">
        <v>538</v>
      </c>
      <c r="C129">
        <v>2</v>
      </c>
      <c r="D129">
        <v>6</v>
      </c>
      <c r="E129">
        <v>10</v>
      </c>
      <c r="F129" t="s">
        <v>432</v>
      </c>
      <c r="G129" t="s">
        <v>857</v>
      </c>
      <c r="H129" s="9" t="s">
        <v>1071</v>
      </c>
      <c r="I129">
        <f t="shared" si="3"/>
        <v>120</v>
      </c>
      <c r="J129">
        <f t="shared" si="4"/>
        <v>54.431084400000003</v>
      </c>
      <c r="K129">
        <v>0.47</v>
      </c>
      <c r="L129">
        <f t="shared" si="5"/>
        <v>25.582609668</v>
      </c>
    </row>
    <row r="130" spans="1:12" x14ac:dyDescent="0.2">
      <c r="A130" s="4">
        <v>43439</v>
      </c>
      <c r="B130" t="s">
        <v>538</v>
      </c>
      <c r="C130">
        <v>6</v>
      </c>
      <c r="D130">
        <v>6</v>
      </c>
      <c r="E130">
        <v>10</v>
      </c>
      <c r="F130" t="s">
        <v>432</v>
      </c>
      <c r="G130" t="s">
        <v>857</v>
      </c>
      <c r="H130" s="9" t="s">
        <v>1071</v>
      </c>
      <c r="I130">
        <f t="shared" si="3"/>
        <v>360</v>
      </c>
      <c r="J130">
        <f t="shared" si="4"/>
        <v>163.29325320000001</v>
      </c>
      <c r="K130">
        <v>0.47</v>
      </c>
      <c r="L130">
        <f t="shared" si="5"/>
        <v>76.747829003999996</v>
      </c>
    </row>
    <row r="131" spans="1:12" x14ac:dyDescent="0.2">
      <c r="A131" s="4">
        <v>43439</v>
      </c>
      <c r="B131" t="s">
        <v>538</v>
      </c>
      <c r="C131">
        <v>1</v>
      </c>
      <c r="D131">
        <v>6</v>
      </c>
      <c r="E131">
        <v>10</v>
      </c>
      <c r="F131" t="s">
        <v>546</v>
      </c>
      <c r="G131" t="s">
        <v>857</v>
      </c>
      <c r="H131" s="9" t="s">
        <v>1071</v>
      </c>
      <c r="I131">
        <f t="shared" ref="I131:I194" si="6">C131*D131*E131</f>
        <v>60</v>
      </c>
      <c r="J131">
        <f t="shared" ref="J131:J194" si="7">CONVERT(I131,"lbm","kg")</f>
        <v>27.215542200000002</v>
      </c>
      <c r="K131">
        <v>0.47</v>
      </c>
      <c r="L131">
        <f t="shared" ref="L131:L194" si="8">J131*K131</f>
        <v>12.791304834</v>
      </c>
    </row>
    <row r="132" spans="1:12" x14ac:dyDescent="0.2">
      <c r="A132" s="4">
        <v>43437</v>
      </c>
      <c r="B132" t="s">
        <v>538</v>
      </c>
      <c r="C132">
        <v>1</v>
      </c>
      <c r="D132">
        <v>6</v>
      </c>
      <c r="E132">
        <v>10</v>
      </c>
      <c r="F132" t="s">
        <v>574</v>
      </c>
      <c r="G132" s="6" t="s">
        <v>917</v>
      </c>
      <c r="H132" s="9" t="s">
        <v>1071</v>
      </c>
      <c r="I132">
        <f t="shared" si="6"/>
        <v>60</v>
      </c>
      <c r="J132">
        <f t="shared" si="7"/>
        <v>27.215542200000002</v>
      </c>
      <c r="K132">
        <v>0.11799999999999999</v>
      </c>
      <c r="L132">
        <f t="shared" si="8"/>
        <v>3.2114339796000002</v>
      </c>
    </row>
    <row r="133" spans="1:12" x14ac:dyDescent="0.2">
      <c r="A133" s="4">
        <v>43434</v>
      </c>
      <c r="B133" t="s">
        <v>538</v>
      </c>
      <c r="C133">
        <v>1</v>
      </c>
      <c r="D133">
        <v>6</v>
      </c>
      <c r="E133">
        <f>66.5/16</f>
        <v>4.15625</v>
      </c>
      <c r="F133" t="s">
        <v>427</v>
      </c>
      <c r="G133" t="s">
        <v>862</v>
      </c>
      <c r="H133" s="9" t="s">
        <v>1072</v>
      </c>
      <c r="I133">
        <f t="shared" si="6"/>
        <v>24.9375</v>
      </c>
      <c r="J133">
        <f t="shared" si="7"/>
        <v>11.311459726875</v>
      </c>
      <c r="K133">
        <v>2.1480000000000001</v>
      </c>
      <c r="L133">
        <f t="shared" si="8"/>
        <v>24.297015493327503</v>
      </c>
    </row>
    <row r="134" spans="1:12" x14ac:dyDescent="0.2">
      <c r="A134" s="4">
        <v>43437</v>
      </c>
      <c r="B134" t="s">
        <v>538</v>
      </c>
      <c r="C134">
        <v>1</v>
      </c>
      <c r="D134">
        <v>6</v>
      </c>
      <c r="E134">
        <f>66.5/16</f>
        <v>4.15625</v>
      </c>
      <c r="F134" t="s">
        <v>427</v>
      </c>
      <c r="G134" t="s">
        <v>862</v>
      </c>
      <c r="H134" s="9" t="s">
        <v>1072</v>
      </c>
      <c r="I134">
        <f t="shared" si="6"/>
        <v>24.9375</v>
      </c>
      <c r="J134">
        <f t="shared" si="7"/>
        <v>11.311459726875</v>
      </c>
      <c r="K134">
        <v>2.1480000000000001</v>
      </c>
      <c r="L134">
        <f t="shared" si="8"/>
        <v>24.297015493327503</v>
      </c>
    </row>
    <row r="135" spans="1:12" x14ac:dyDescent="0.2">
      <c r="A135" s="4">
        <v>43434</v>
      </c>
      <c r="B135" t="s">
        <v>538</v>
      </c>
      <c r="C135">
        <v>1</v>
      </c>
      <c r="D135">
        <v>4</v>
      </c>
      <c r="E135">
        <v>8.41</v>
      </c>
      <c r="F135" t="s">
        <v>558</v>
      </c>
      <c r="G135" t="s">
        <v>872</v>
      </c>
      <c r="H135" s="9" t="s">
        <v>1071</v>
      </c>
      <c r="I135">
        <f t="shared" si="6"/>
        <v>33.64</v>
      </c>
      <c r="J135">
        <f t="shared" si="7"/>
        <v>15.258847326800002</v>
      </c>
      <c r="K135">
        <v>0.34</v>
      </c>
      <c r="L135">
        <f t="shared" si="8"/>
        <v>5.1880080911120006</v>
      </c>
    </row>
    <row r="136" spans="1:12" x14ac:dyDescent="0.2">
      <c r="A136" s="4">
        <v>43437</v>
      </c>
      <c r="B136" t="s">
        <v>538</v>
      </c>
      <c r="C136">
        <v>1</v>
      </c>
      <c r="D136">
        <v>2</v>
      </c>
      <c r="E136" s="6">
        <f>5*2.39</f>
        <v>11.950000000000001</v>
      </c>
      <c r="F136" t="s">
        <v>450</v>
      </c>
      <c r="G136" t="s">
        <v>872</v>
      </c>
      <c r="H136" s="9" t="s">
        <v>1071</v>
      </c>
      <c r="I136">
        <f t="shared" si="6"/>
        <v>23.900000000000002</v>
      </c>
      <c r="J136">
        <f t="shared" si="7"/>
        <v>10.840857643000001</v>
      </c>
      <c r="K136">
        <v>0.34</v>
      </c>
      <c r="L136">
        <f t="shared" si="8"/>
        <v>3.6858915986200009</v>
      </c>
    </row>
    <row r="137" spans="1:12" x14ac:dyDescent="0.2">
      <c r="A137" s="4">
        <v>43439</v>
      </c>
      <c r="B137" t="s">
        <v>538</v>
      </c>
      <c r="C137">
        <v>1</v>
      </c>
      <c r="D137">
        <v>4</v>
      </c>
      <c r="E137">
        <v>8.41</v>
      </c>
      <c r="F137" t="s">
        <v>596</v>
      </c>
      <c r="G137" t="s">
        <v>872</v>
      </c>
      <c r="H137" s="9" t="s">
        <v>1071</v>
      </c>
      <c r="I137">
        <f t="shared" si="6"/>
        <v>33.64</v>
      </c>
      <c r="J137">
        <f t="shared" si="7"/>
        <v>15.258847326800002</v>
      </c>
      <c r="K137">
        <v>0.34</v>
      </c>
      <c r="L137">
        <f t="shared" si="8"/>
        <v>5.1880080911120006</v>
      </c>
    </row>
    <row r="138" spans="1:12" x14ac:dyDescent="0.2">
      <c r="A138" s="4">
        <v>43437</v>
      </c>
      <c r="B138" t="s">
        <v>538</v>
      </c>
      <c r="C138">
        <v>1</v>
      </c>
      <c r="D138">
        <v>4</v>
      </c>
      <c r="E138">
        <v>8.41</v>
      </c>
      <c r="F138" t="s">
        <v>576</v>
      </c>
      <c r="G138" t="s">
        <v>873</v>
      </c>
      <c r="H138" s="9" t="s">
        <v>1071</v>
      </c>
      <c r="I138">
        <f t="shared" si="6"/>
        <v>33.64</v>
      </c>
      <c r="J138">
        <f t="shared" si="7"/>
        <v>15.258847326800002</v>
      </c>
      <c r="K138">
        <v>0.78</v>
      </c>
      <c r="L138">
        <f t="shared" si="8"/>
        <v>11.901900914904001</v>
      </c>
    </row>
    <row r="139" spans="1:12" x14ac:dyDescent="0.2">
      <c r="A139" s="4">
        <v>43437</v>
      </c>
      <c r="B139" t="s">
        <v>538</v>
      </c>
      <c r="C139">
        <v>1</v>
      </c>
      <c r="D139">
        <v>4</v>
      </c>
      <c r="E139">
        <v>8.41</v>
      </c>
      <c r="F139" t="s">
        <v>578</v>
      </c>
      <c r="G139" t="s">
        <v>873</v>
      </c>
      <c r="H139" s="9" t="s">
        <v>1071</v>
      </c>
      <c r="I139">
        <f t="shared" si="6"/>
        <v>33.64</v>
      </c>
      <c r="J139">
        <f t="shared" si="7"/>
        <v>15.258847326800002</v>
      </c>
      <c r="K139">
        <v>0.78</v>
      </c>
      <c r="L139">
        <f t="shared" si="8"/>
        <v>11.901900914904001</v>
      </c>
    </row>
    <row r="140" spans="1:12" x14ac:dyDescent="0.2">
      <c r="A140" s="4">
        <v>43439</v>
      </c>
      <c r="B140" t="s">
        <v>538</v>
      </c>
      <c r="C140">
        <v>1</v>
      </c>
      <c r="D140">
        <v>8</v>
      </c>
      <c r="E140">
        <f>12*0.0661387</f>
        <v>0.79366439999999994</v>
      </c>
      <c r="F140" t="s">
        <v>599</v>
      </c>
      <c r="G140" s="6" t="s">
        <v>856</v>
      </c>
      <c r="H140" s="9" t="s">
        <v>1071</v>
      </c>
      <c r="I140">
        <f t="shared" si="6"/>
        <v>6.3493151999999995</v>
      </c>
      <c r="J140">
        <f t="shared" si="7"/>
        <v>2.8800009294450239</v>
      </c>
      <c r="K140">
        <v>1.28</v>
      </c>
      <c r="L140">
        <f t="shared" si="8"/>
        <v>3.6864011896896307</v>
      </c>
    </row>
    <row r="141" spans="1:12" x14ac:dyDescent="0.2">
      <c r="A141" s="4">
        <v>43434</v>
      </c>
      <c r="B141" t="s">
        <v>538</v>
      </c>
      <c r="C141">
        <v>2</v>
      </c>
      <c r="D141">
        <v>12</v>
      </c>
      <c r="E141">
        <v>2</v>
      </c>
      <c r="F141" t="s">
        <v>557</v>
      </c>
      <c r="G141" s="14" t="s">
        <v>871</v>
      </c>
      <c r="H141" s="9" t="s">
        <v>1071</v>
      </c>
      <c r="I141">
        <f t="shared" si="6"/>
        <v>48</v>
      </c>
      <c r="J141">
        <f t="shared" si="7"/>
        <v>21.772433760000002</v>
      </c>
      <c r="L141">
        <f t="shared" si="8"/>
        <v>0</v>
      </c>
    </row>
    <row r="142" spans="1:12" x14ac:dyDescent="0.2">
      <c r="A142" s="4">
        <v>43434</v>
      </c>
      <c r="B142" t="s">
        <v>517</v>
      </c>
      <c r="C142">
        <v>2</v>
      </c>
      <c r="D142">
        <v>36</v>
      </c>
      <c r="E142">
        <v>1</v>
      </c>
      <c r="F142" t="s">
        <v>382</v>
      </c>
      <c r="G142" t="s">
        <v>845</v>
      </c>
      <c r="H142" t="s">
        <v>1073</v>
      </c>
      <c r="I142">
        <f t="shared" si="6"/>
        <v>72</v>
      </c>
      <c r="J142">
        <f t="shared" si="7"/>
        <v>32.658650639999998</v>
      </c>
      <c r="K142">
        <v>11.52</v>
      </c>
      <c r="L142">
        <f t="shared" si="8"/>
        <v>376.22765537279997</v>
      </c>
    </row>
    <row r="143" spans="1:12" x14ac:dyDescent="0.2">
      <c r="A143" s="4">
        <v>43434</v>
      </c>
      <c r="B143" t="s">
        <v>517</v>
      </c>
      <c r="C143">
        <v>2</v>
      </c>
      <c r="D143">
        <v>6</v>
      </c>
      <c r="E143">
        <v>1</v>
      </c>
      <c r="F143" t="s">
        <v>519</v>
      </c>
      <c r="G143" t="s">
        <v>847</v>
      </c>
      <c r="H143" t="s">
        <v>1073</v>
      </c>
      <c r="I143">
        <f t="shared" si="6"/>
        <v>12</v>
      </c>
      <c r="J143">
        <f t="shared" si="7"/>
        <v>5.4431084400000005</v>
      </c>
      <c r="K143">
        <v>9.9740000000000002</v>
      </c>
      <c r="L143">
        <f t="shared" si="8"/>
        <v>54.289563580560007</v>
      </c>
    </row>
    <row r="144" spans="1:12" x14ac:dyDescent="0.2">
      <c r="A144" s="4">
        <v>43434</v>
      </c>
      <c r="B144" t="s">
        <v>517</v>
      </c>
      <c r="C144">
        <v>2</v>
      </c>
      <c r="D144">
        <v>6</v>
      </c>
      <c r="E144">
        <v>3</v>
      </c>
      <c r="F144" t="s">
        <v>387</v>
      </c>
      <c r="G144" t="s">
        <v>847</v>
      </c>
      <c r="H144" t="s">
        <v>1073</v>
      </c>
      <c r="I144">
        <f t="shared" si="6"/>
        <v>36</v>
      </c>
      <c r="J144">
        <f t="shared" si="7"/>
        <v>16.329325319999999</v>
      </c>
      <c r="K144">
        <v>9.9740000000000002</v>
      </c>
      <c r="L144">
        <f t="shared" si="8"/>
        <v>162.86869074167998</v>
      </c>
    </row>
    <row r="145" spans="1:12" x14ac:dyDescent="0.2">
      <c r="A145" s="4">
        <v>43434</v>
      </c>
      <c r="B145" t="s">
        <v>517</v>
      </c>
      <c r="C145">
        <v>2</v>
      </c>
      <c r="D145">
        <v>4</v>
      </c>
      <c r="E145">
        <v>5</v>
      </c>
      <c r="F145" t="s">
        <v>389</v>
      </c>
      <c r="G145" t="s">
        <v>847</v>
      </c>
      <c r="H145" t="s">
        <v>1073</v>
      </c>
      <c r="I145">
        <f t="shared" si="6"/>
        <v>40</v>
      </c>
      <c r="J145">
        <f t="shared" si="7"/>
        <v>18.143694800000002</v>
      </c>
      <c r="K145">
        <v>9.9740000000000002</v>
      </c>
      <c r="L145">
        <f t="shared" si="8"/>
        <v>180.96521193520002</v>
      </c>
    </row>
    <row r="146" spans="1:12" x14ac:dyDescent="0.2">
      <c r="A146" s="4">
        <v>43434</v>
      </c>
      <c r="B146" t="s">
        <v>517</v>
      </c>
      <c r="C146">
        <v>15</v>
      </c>
      <c r="D146">
        <v>4</v>
      </c>
      <c r="E146">
        <v>5</v>
      </c>
      <c r="F146" t="s">
        <v>521</v>
      </c>
      <c r="G146" t="s">
        <v>847</v>
      </c>
      <c r="H146" t="s">
        <v>1073</v>
      </c>
      <c r="I146">
        <f t="shared" si="6"/>
        <v>300</v>
      </c>
      <c r="J146">
        <f t="shared" si="7"/>
        <v>136.07771100000002</v>
      </c>
      <c r="K146">
        <v>9.9740000000000002</v>
      </c>
      <c r="L146">
        <f t="shared" si="8"/>
        <v>1357.2390895140002</v>
      </c>
    </row>
    <row r="147" spans="1:12" x14ac:dyDescent="0.2">
      <c r="A147" s="4">
        <v>43434</v>
      </c>
      <c r="B147" t="s">
        <v>517</v>
      </c>
      <c r="C147">
        <v>1</v>
      </c>
      <c r="D147">
        <v>4</v>
      </c>
      <c r="E147">
        <v>5</v>
      </c>
      <c r="F147" t="s">
        <v>390</v>
      </c>
      <c r="G147" t="s">
        <v>847</v>
      </c>
      <c r="H147" t="s">
        <v>1073</v>
      </c>
      <c r="I147">
        <f t="shared" si="6"/>
        <v>20</v>
      </c>
      <c r="J147">
        <f t="shared" si="7"/>
        <v>9.0718474000000011</v>
      </c>
      <c r="K147">
        <v>9.9740000000000002</v>
      </c>
      <c r="L147">
        <f t="shared" si="8"/>
        <v>90.482605967600009</v>
      </c>
    </row>
    <row r="148" spans="1:12" x14ac:dyDescent="0.2">
      <c r="A148" s="4">
        <v>43434</v>
      </c>
      <c r="B148" t="s">
        <v>517</v>
      </c>
      <c r="C148">
        <v>4</v>
      </c>
      <c r="D148">
        <v>4</v>
      </c>
      <c r="E148">
        <v>5</v>
      </c>
      <c r="F148" t="s">
        <v>391</v>
      </c>
      <c r="G148" t="s">
        <v>847</v>
      </c>
      <c r="H148" t="s">
        <v>1073</v>
      </c>
      <c r="I148">
        <f t="shared" si="6"/>
        <v>80</v>
      </c>
      <c r="J148">
        <f t="shared" si="7"/>
        <v>36.287389600000004</v>
      </c>
      <c r="K148">
        <v>9.9740000000000002</v>
      </c>
      <c r="L148">
        <f t="shared" si="8"/>
        <v>361.93042387040003</v>
      </c>
    </row>
    <row r="149" spans="1:12" x14ac:dyDescent="0.2">
      <c r="A149" s="4">
        <v>43434</v>
      </c>
      <c r="B149" t="s">
        <v>517</v>
      </c>
      <c r="C149">
        <v>3</v>
      </c>
      <c r="D149">
        <v>4</v>
      </c>
      <c r="E149">
        <v>5</v>
      </c>
      <c r="F149" t="s">
        <v>522</v>
      </c>
      <c r="G149" t="s">
        <v>847</v>
      </c>
      <c r="H149" t="s">
        <v>1073</v>
      </c>
      <c r="I149">
        <f t="shared" si="6"/>
        <v>60</v>
      </c>
      <c r="J149">
        <f t="shared" si="7"/>
        <v>27.215542200000002</v>
      </c>
      <c r="K149">
        <v>9.9740000000000002</v>
      </c>
      <c r="L149">
        <f t="shared" si="8"/>
        <v>271.44781790280001</v>
      </c>
    </row>
    <row r="150" spans="1:12" x14ac:dyDescent="0.2">
      <c r="A150" s="4">
        <v>43434</v>
      </c>
      <c r="B150" t="s">
        <v>517</v>
      </c>
      <c r="C150">
        <v>2</v>
      </c>
      <c r="D150">
        <v>4</v>
      </c>
      <c r="E150">
        <v>2.5</v>
      </c>
      <c r="F150" t="s">
        <v>1008</v>
      </c>
      <c r="G150" t="s">
        <v>847</v>
      </c>
      <c r="H150" t="s">
        <v>1073</v>
      </c>
      <c r="I150">
        <f t="shared" si="6"/>
        <v>20</v>
      </c>
      <c r="J150">
        <f t="shared" si="7"/>
        <v>9.0718474000000011</v>
      </c>
      <c r="K150">
        <v>9.9740000000000002</v>
      </c>
      <c r="L150">
        <f t="shared" si="8"/>
        <v>90.482605967600009</v>
      </c>
    </row>
    <row r="151" spans="1:12" x14ac:dyDescent="0.2">
      <c r="A151" s="4">
        <v>43434</v>
      </c>
      <c r="B151" t="s">
        <v>517</v>
      </c>
      <c r="C151">
        <v>2</v>
      </c>
      <c r="D151">
        <v>4</v>
      </c>
      <c r="E151">
        <v>2.5</v>
      </c>
      <c r="F151" t="s">
        <v>1009</v>
      </c>
      <c r="G151" t="s">
        <v>847</v>
      </c>
      <c r="H151" t="s">
        <v>1073</v>
      </c>
      <c r="I151">
        <f t="shared" si="6"/>
        <v>20</v>
      </c>
      <c r="J151">
        <f t="shared" si="7"/>
        <v>9.0718474000000011</v>
      </c>
      <c r="K151">
        <v>9.9740000000000002</v>
      </c>
      <c r="L151">
        <f t="shared" si="8"/>
        <v>90.482605967600009</v>
      </c>
    </row>
    <row r="152" spans="1:12" x14ac:dyDescent="0.2">
      <c r="A152" s="4">
        <v>43434</v>
      </c>
      <c r="B152" t="s">
        <v>517</v>
      </c>
      <c r="C152">
        <v>2</v>
      </c>
      <c r="D152">
        <v>8</v>
      </c>
      <c r="E152">
        <v>1.25</v>
      </c>
      <c r="F152" t="s">
        <v>1010</v>
      </c>
      <c r="G152" t="s">
        <v>847</v>
      </c>
      <c r="H152" t="s">
        <v>1073</v>
      </c>
      <c r="I152">
        <f t="shared" si="6"/>
        <v>20</v>
      </c>
      <c r="J152">
        <f t="shared" si="7"/>
        <v>9.0718474000000011</v>
      </c>
      <c r="K152">
        <v>9.9740000000000002</v>
      </c>
      <c r="L152">
        <f t="shared" si="8"/>
        <v>90.482605967600009</v>
      </c>
    </row>
    <row r="153" spans="1:12" x14ac:dyDescent="0.2">
      <c r="A153" s="4">
        <v>43434</v>
      </c>
      <c r="B153" t="s">
        <v>517</v>
      </c>
      <c r="C153">
        <v>2</v>
      </c>
      <c r="D153">
        <v>4</v>
      </c>
      <c r="E153">
        <v>2.5</v>
      </c>
      <c r="F153" t="s">
        <v>1011</v>
      </c>
      <c r="G153" t="s">
        <v>847</v>
      </c>
      <c r="H153" t="s">
        <v>1073</v>
      </c>
      <c r="I153">
        <f t="shared" si="6"/>
        <v>20</v>
      </c>
      <c r="J153">
        <f t="shared" si="7"/>
        <v>9.0718474000000011</v>
      </c>
      <c r="K153">
        <v>9.9740000000000002</v>
      </c>
      <c r="L153">
        <f t="shared" si="8"/>
        <v>90.482605967600009</v>
      </c>
    </row>
    <row r="154" spans="1:12" x14ac:dyDescent="0.2">
      <c r="A154" s="4">
        <v>43434</v>
      </c>
      <c r="B154" t="s">
        <v>517</v>
      </c>
      <c r="C154">
        <v>1</v>
      </c>
      <c r="D154">
        <v>2</v>
      </c>
      <c r="E154">
        <v>5</v>
      </c>
      <c r="F154" t="s">
        <v>393</v>
      </c>
      <c r="G154" t="s">
        <v>847</v>
      </c>
      <c r="H154" t="s">
        <v>1073</v>
      </c>
      <c r="I154">
        <f t="shared" si="6"/>
        <v>10</v>
      </c>
      <c r="J154">
        <f t="shared" si="7"/>
        <v>4.5359237000000006</v>
      </c>
      <c r="K154">
        <v>9.9740000000000002</v>
      </c>
      <c r="L154">
        <f t="shared" si="8"/>
        <v>45.241302983800004</v>
      </c>
    </row>
    <row r="155" spans="1:12" x14ac:dyDescent="0.2">
      <c r="A155" s="4">
        <v>43434</v>
      </c>
      <c r="B155" t="s">
        <v>517</v>
      </c>
      <c r="C155">
        <v>1</v>
      </c>
      <c r="D155">
        <v>6</v>
      </c>
      <c r="E155">
        <v>2</v>
      </c>
      <c r="F155" t="s">
        <v>523</v>
      </c>
      <c r="G155" t="s">
        <v>847</v>
      </c>
      <c r="H155" t="s">
        <v>1073</v>
      </c>
      <c r="I155">
        <f t="shared" si="6"/>
        <v>12</v>
      </c>
      <c r="J155">
        <f t="shared" si="7"/>
        <v>5.4431084400000005</v>
      </c>
      <c r="K155">
        <v>9.9740000000000002</v>
      </c>
      <c r="L155">
        <f t="shared" si="8"/>
        <v>54.289563580560007</v>
      </c>
    </row>
    <row r="156" spans="1:12" x14ac:dyDescent="0.2">
      <c r="A156" s="4">
        <v>43434</v>
      </c>
      <c r="B156" t="s">
        <v>517</v>
      </c>
      <c r="C156">
        <v>1</v>
      </c>
      <c r="D156">
        <v>6</v>
      </c>
      <c r="E156">
        <v>3</v>
      </c>
      <c r="F156" t="s">
        <v>394</v>
      </c>
      <c r="G156" t="s">
        <v>847</v>
      </c>
      <c r="H156" t="s">
        <v>1073</v>
      </c>
      <c r="I156">
        <f t="shared" si="6"/>
        <v>18</v>
      </c>
      <c r="J156">
        <f t="shared" si="7"/>
        <v>8.1646626599999994</v>
      </c>
      <c r="K156">
        <v>9.9740000000000002</v>
      </c>
      <c r="L156">
        <f t="shared" si="8"/>
        <v>81.434345370839992</v>
      </c>
    </row>
    <row r="157" spans="1:12" x14ac:dyDescent="0.2">
      <c r="A157" s="4">
        <v>43437</v>
      </c>
      <c r="B157" t="s">
        <v>517</v>
      </c>
      <c r="C157">
        <v>4</v>
      </c>
      <c r="D157">
        <v>4</v>
      </c>
      <c r="E157">
        <v>5</v>
      </c>
      <c r="F157" t="s">
        <v>391</v>
      </c>
      <c r="G157" t="s">
        <v>847</v>
      </c>
      <c r="H157" t="s">
        <v>1073</v>
      </c>
      <c r="I157">
        <f t="shared" si="6"/>
        <v>80</v>
      </c>
      <c r="J157">
        <f t="shared" si="7"/>
        <v>36.287389600000004</v>
      </c>
      <c r="K157">
        <v>9.9740000000000002</v>
      </c>
      <c r="L157">
        <f t="shared" si="8"/>
        <v>361.93042387040003</v>
      </c>
    </row>
    <row r="158" spans="1:12" x14ac:dyDescent="0.2">
      <c r="A158" s="4">
        <v>43437</v>
      </c>
      <c r="B158" t="s">
        <v>517</v>
      </c>
      <c r="C158">
        <v>6</v>
      </c>
      <c r="D158">
        <v>4</v>
      </c>
      <c r="E158">
        <v>5</v>
      </c>
      <c r="F158" t="s">
        <v>392</v>
      </c>
      <c r="G158" t="s">
        <v>847</v>
      </c>
      <c r="H158" t="s">
        <v>1073</v>
      </c>
      <c r="I158">
        <f t="shared" si="6"/>
        <v>120</v>
      </c>
      <c r="J158">
        <f t="shared" si="7"/>
        <v>54.431084400000003</v>
      </c>
      <c r="K158">
        <v>9.9740000000000002</v>
      </c>
      <c r="L158">
        <f t="shared" si="8"/>
        <v>542.89563580560002</v>
      </c>
    </row>
    <row r="159" spans="1:12" x14ac:dyDescent="0.2">
      <c r="A159" s="4">
        <v>43437</v>
      </c>
      <c r="B159" t="s">
        <v>517</v>
      </c>
      <c r="C159">
        <v>3</v>
      </c>
      <c r="D159">
        <v>2</v>
      </c>
      <c r="E159">
        <v>5</v>
      </c>
      <c r="F159" t="s">
        <v>393</v>
      </c>
      <c r="G159" t="s">
        <v>847</v>
      </c>
      <c r="H159" t="s">
        <v>1073</v>
      </c>
      <c r="I159">
        <f t="shared" si="6"/>
        <v>30</v>
      </c>
      <c r="J159">
        <f t="shared" si="7"/>
        <v>13.607771100000001</v>
      </c>
      <c r="K159">
        <v>9.9740000000000002</v>
      </c>
      <c r="L159">
        <f t="shared" si="8"/>
        <v>135.72390895140001</v>
      </c>
    </row>
    <row r="160" spans="1:12" x14ac:dyDescent="0.2">
      <c r="A160" s="4">
        <v>43439</v>
      </c>
      <c r="B160" t="s">
        <v>517</v>
      </c>
      <c r="C160">
        <v>1</v>
      </c>
      <c r="D160">
        <v>10</v>
      </c>
      <c r="E160">
        <v>3</v>
      </c>
      <c r="F160" t="s">
        <v>587</v>
      </c>
      <c r="G160" t="s">
        <v>847</v>
      </c>
      <c r="H160" t="s">
        <v>1073</v>
      </c>
      <c r="I160">
        <f t="shared" si="6"/>
        <v>30</v>
      </c>
      <c r="J160">
        <f t="shared" si="7"/>
        <v>13.607771100000001</v>
      </c>
      <c r="K160">
        <v>9.9740000000000002</v>
      </c>
      <c r="L160">
        <f t="shared" si="8"/>
        <v>135.72390895140001</v>
      </c>
    </row>
    <row r="161" spans="1:13" x14ac:dyDescent="0.2">
      <c r="A161" s="4">
        <v>43439</v>
      </c>
      <c r="B161" t="s">
        <v>517</v>
      </c>
      <c r="C161">
        <v>2</v>
      </c>
      <c r="D161">
        <v>4</v>
      </c>
      <c r="E161">
        <v>5</v>
      </c>
      <c r="F161" t="s">
        <v>390</v>
      </c>
      <c r="G161" t="s">
        <v>847</v>
      </c>
      <c r="H161" t="s">
        <v>1073</v>
      </c>
      <c r="I161">
        <f t="shared" si="6"/>
        <v>40</v>
      </c>
      <c r="J161">
        <f t="shared" si="7"/>
        <v>18.143694800000002</v>
      </c>
      <c r="K161">
        <v>9.9740000000000002</v>
      </c>
      <c r="L161">
        <f t="shared" si="8"/>
        <v>180.96521193520002</v>
      </c>
    </row>
    <row r="162" spans="1:13" x14ac:dyDescent="0.2">
      <c r="A162" s="4">
        <v>43439</v>
      </c>
      <c r="B162" t="s">
        <v>517</v>
      </c>
      <c r="C162">
        <v>2</v>
      </c>
      <c r="D162">
        <v>4</v>
      </c>
      <c r="E162">
        <v>5</v>
      </c>
      <c r="F162" t="s">
        <v>391</v>
      </c>
      <c r="G162" t="s">
        <v>847</v>
      </c>
      <c r="H162" t="s">
        <v>1073</v>
      </c>
      <c r="I162">
        <f t="shared" si="6"/>
        <v>40</v>
      </c>
      <c r="J162">
        <f t="shared" si="7"/>
        <v>18.143694800000002</v>
      </c>
      <c r="K162">
        <v>9.9740000000000002</v>
      </c>
      <c r="L162">
        <f t="shared" si="8"/>
        <v>180.96521193520002</v>
      </c>
    </row>
    <row r="163" spans="1:13" x14ac:dyDescent="0.2">
      <c r="A163" s="4">
        <v>43439</v>
      </c>
      <c r="B163" t="s">
        <v>517</v>
      </c>
      <c r="C163">
        <v>5</v>
      </c>
      <c r="D163">
        <v>4</v>
      </c>
      <c r="E163">
        <v>5</v>
      </c>
      <c r="F163" t="s">
        <v>392</v>
      </c>
      <c r="G163" t="s">
        <v>847</v>
      </c>
      <c r="H163" t="s">
        <v>1073</v>
      </c>
      <c r="I163">
        <f t="shared" si="6"/>
        <v>100</v>
      </c>
      <c r="J163">
        <f t="shared" si="7"/>
        <v>45.359237</v>
      </c>
      <c r="K163">
        <v>9.9740000000000002</v>
      </c>
      <c r="L163">
        <f t="shared" si="8"/>
        <v>452.413029838</v>
      </c>
    </row>
    <row r="164" spans="1:13" x14ac:dyDescent="0.2">
      <c r="A164" s="4">
        <v>43439</v>
      </c>
      <c r="B164" t="s">
        <v>517</v>
      </c>
      <c r="C164">
        <v>1</v>
      </c>
      <c r="D164">
        <v>4</v>
      </c>
      <c r="E164">
        <v>2.5</v>
      </c>
      <c r="F164" t="s">
        <v>1008</v>
      </c>
      <c r="G164" t="s">
        <v>847</v>
      </c>
      <c r="H164" t="s">
        <v>1073</v>
      </c>
      <c r="I164">
        <f t="shared" si="6"/>
        <v>10</v>
      </c>
      <c r="J164">
        <f t="shared" si="7"/>
        <v>4.5359237000000006</v>
      </c>
      <c r="K164">
        <v>9.9740000000000002</v>
      </c>
      <c r="L164">
        <f t="shared" si="8"/>
        <v>45.241302983800004</v>
      </c>
    </row>
    <row r="165" spans="1:13" x14ac:dyDescent="0.2">
      <c r="A165" s="4">
        <v>43439</v>
      </c>
      <c r="B165" t="s">
        <v>517</v>
      </c>
      <c r="C165">
        <v>1</v>
      </c>
      <c r="D165">
        <v>8</v>
      </c>
      <c r="E165">
        <v>1.25</v>
      </c>
      <c r="F165" t="s">
        <v>1010</v>
      </c>
      <c r="G165" t="s">
        <v>847</v>
      </c>
      <c r="H165" t="s">
        <v>1073</v>
      </c>
      <c r="I165">
        <f t="shared" si="6"/>
        <v>10</v>
      </c>
      <c r="J165">
        <f t="shared" si="7"/>
        <v>4.5359237000000006</v>
      </c>
      <c r="K165">
        <v>9.9740000000000002</v>
      </c>
      <c r="L165">
        <f t="shared" si="8"/>
        <v>45.241302983800004</v>
      </c>
    </row>
    <row r="166" spans="1:13" x14ac:dyDescent="0.2">
      <c r="A166" s="4">
        <v>43439</v>
      </c>
      <c r="B166" t="s">
        <v>517</v>
      </c>
      <c r="C166">
        <v>2</v>
      </c>
      <c r="D166">
        <v>4</v>
      </c>
      <c r="E166">
        <v>2.5</v>
      </c>
      <c r="F166" t="s">
        <v>1011</v>
      </c>
      <c r="G166" t="s">
        <v>847</v>
      </c>
      <c r="H166" t="s">
        <v>1073</v>
      </c>
      <c r="I166">
        <f t="shared" si="6"/>
        <v>20</v>
      </c>
      <c r="J166">
        <f t="shared" si="7"/>
        <v>9.0718474000000011</v>
      </c>
      <c r="K166">
        <v>9.9740000000000002</v>
      </c>
      <c r="L166">
        <f t="shared" si="8"/>
        <v>90.482605967600009</v>
      </c>
      <c r="M166">
        <f>SUM(L143:L166)</f>
        <v>5193.7015825402405</v>
      </c>
    </row>
    <row r="167" spans="1:13" x14ac:dyDescent="0.2">
      <c r="A167" s="4">
        <v>43434</v>
      </c>
      <c r="B167" t="s">
        <v>517</v>
      </c>
      <c r="C167">
        <v>1</v>
      </c>
      <c r="D167">
        <v>1</v>
      </c>
      <c r="E167">
        <v>2</v>
      </c>
      <c r="F167" t="s">
        <v>380</v>
      </c>
      <c r="G167" t="s">
        <v>841</v>
      </c>
      <c r="H167" s="9" t="s">
        <v>1073</v>
      </c>
      <c r="I167">
        <f t="shared" si="6"/>
        <v>2</v>
      </c>
      <c r="J167">
        <f t="shared" si="7"/>
        <v>0.90718474000000004</v>
      </c>
      <c r="K167">
        <v>5.32</v>
      </c>
      <c r="L167">
        <f t="shared" si="8"/>
        <v>4.8262228168000005</v>
      </c>
    </row>
    <row r="168" spans="1:13" x14ac:dyDescent="0.2">
      <c r="A168" s="4">
        <v>43439</v>
      </c>
      <c r="B168" t="s">
        <v>517</v>
      </c>
      <c r="C168">
        <v>1</v>
      </c>
      <c r="D168">
        <v>1</v>
      </c>
      <c r="E168">
        <v>2</v>
      </c>
      <c r="F168" t="s">
        <v>380</v>
      </c>
      <c r="G168" t="s">
        <v>841</v>
      </c>
      <c r="H168" s="9" t="s">
        <v>1073</v>
      </c>
      <c r="I168">
        <f t="shared" si="6"/>
        <v>2</v>
      </c>
      <c r="J168">
        <f t="shared" si="7"/>
        <v>0.90718474000000004</v>
      </c>
      <c r="K168">
        <v>5.32</v>
      </c>
      <c r="L168">
        <f t="shared" si="8"/>
        <v>4.8262228168000005</v>
      </c>
    </row>
    <row r="169" spans="1:13" x14ac:dyDescent="0.2">
      <c r="A169" s="4">
        <v>43434</v>
      </c>
      <c r="B169" t="s">
        <v>517</v>
      </c>
      <c r="C169">
        <v>12</v>
      </c>
      <c r="D169">
        <v>2</v>
      </c>
      <c r="E169">
        <v>20</v>
      </c>
      <c r="F169" t="s">
        <v>381</v>
      </c>
      <c r="G169" t="s">
        <v>843</v>
      </c>
      <c r="H169" s="9" t="s">
        <v>1073</v>
      </c>
      <c r="I169">
        <f t="shared" si="6"/>
        <v>480</v>
      </c>
      <c r="J169">
        <f t="shared" si="7"/>
        <v>217.72433760000001</v>
      </c>
      <c r="K169">
        <v>3.754</v>
      </c>
      <c r="L169">
        <f t="shared" si="8"/>
        <v>817.33716335040003</v>
      </c>
    </row>
    <row r="170" spans="1:13" x14ac:dyDescent="0.2">
      <c r="A170" s="4">
        <v>43434</v>
      </c>
      <c r="B170" t="s">
        <v>517</v>
      </c>
      <c r="C170">
        <v>1</v>
      </c>
      <c r="D170">
        <v>15</v>
      </c>
      <c r="E170">
        <v>2</v>
      </c>
      <c r="F170" t="s">
        <v>385</v>
      </c>
      <c r="G170" t="s">
        <v>843</v>
      </c>
      <c r="H170" s="9" t="s">
        <v>1073</v>
      </c>
      <c r="I170">
        <f t="shared" si="6"/>
        <v>30</v>
      </c>
      <c r="J170">
        <f t="shared" si="7"/>
        <v>13.607771100000001</v>
      </c>
      <c r="K170">
        <v>3.754</v>
      </c>
      <c r="L170">
        <f t="shared" si="8"/>
        <v>51.083572709400002</v>
      </c>
    </row>
    <row r="171" spans="1:13" x14ac:dyDescent="0.2">
      <c r="A171" s="4">
        <v>43434</v>
      </c>
      <c r="B171" t="s">
        <v>517</v>
      </c>
      <c r="C171">
        <v>2</v>
      </c>
      <c r="D171">
        <v>15</v>
      </c>
      <c r="E171">
        <f>24/16</f>
        <v>1.5</v>
      </c>
      <c r="F171" t="s">
        <v>386</v>
      </c>
      <c r="G171" t="s">
        <v>843</v>
      </c>
      <c r="H171" s="9" t="s">
        <v>1073</v>
      </c>
      <c r="I171">
        <f t="shared" si="6"/>
        <v>45</v>
      </c>
      <c r="J171">
        <f t="shared" si="7"/>
        <v>20.411656650000001</v>
      </c>
      <c r="K171">
        <v>3.754</v>
      </c>
      <c r="L171">
        <f t="shared" si="8"/>
        <v>76.62535906410001</v>
      </c>
    </row>
    <row r="172" spans="1:13" x14ac:dyDescent="0.2">
      <c r="A172" s="4">
        <v>43437</v>
      </c>
      <c r="B172" t="s">
        <v>517</v>
      </c>
      <c r="C172">
        <v>13</v>
      </c>
      <c r="D172">
        <v>2</v>
      </c>
      <c r="E172">
        <v>20</v>
      </c>
      <c r="F172" t="s">
        <v>381</v>
      </c>
      <c r="G172" t="s">
        <v>843</v>
      </c>
      <c r="H172" s="9" t="s">
        <v>1073</v>
      </c>
      <c r="I172">
        <f t="shared" si="6"/>
        <v>520</v>
      </c>
      <c r="J172">
        <f t="shared" si="7"/>
        <v>235.8680324</v>
      </c>
      <c r="K172">
        <v>3.754</v>
      </c>
      <c r="L172">
        <f t="shared" si="8"/>
        <v>885.44859362960005</v>
      </c>
    </row>
    <row r="173" spans="1:13" x14ac:dyDescent="0.2">
      <c r="A173" s="4">
        <v>43437</v>
      </c>
      <c r="B173" t="s">
        <v>517</v>
      </c>
      <c r="C173">
        <v>2</v>
      </c>
      <c r="D173">
        <v>15</v>
      </c>
      <c r="E173">
        <v>2</v>
      </c>
      <c r="F173" t="s">
        <v>385</v>
      </c>
      <c r="G173" t="s">
        <v>843</v>
      </c>
      <c r="H173" s="9" t="s">
        <v>1073</v>
      </c>
      <c r="I173">
        <f t="shared" si="6"/>
        <v>60</v>
      </c>
      <c r="J173">
        <f t="shared" si="7"/>
        <v>27.215542200000002</v>
      </c>
      <c r="K173">
        <v>3.754</v>
      </c>
      <c r="L173">
        <f t="shared" si="8"/>
        <v>102.1671454188</v>
      </c>
    </row>
    <row r="174" spans="1:13" x14ac:dyDescent="0.2">
      <c r="A174" s="4">
        <v>43439</v>
      </c>
      <c r="B174" t="s">
        <v>517</v>
      </c>
      <c r="C174">
        <v>8</v>
      </c>
      <c r="D174">
        <v>2</v>
      </c>
      <c r="E174">
        <v>20</v>
      </c>
      <c r="F174" t="s">
        <v>381</v>
      </c>
      <c r="G174" t="s">
        <v>843</v>
      </c>
      <c r="H174" s="9" t="s">
        <v>1073</v>
      </c>
      <c r="I174">
        <f t="shared" si="6"/>
        <v>320</v>
      </c>
      <c r="J174">
        <f t="shared" si="7"/>
        <v>145.14955840000002</v>
      </c>
      <c r="K174">
        <v>3.754</v>
      </c>
      <c r="L174">
        <f t="shared" si="8"/>
        <v>544.89144223360006</v>
      </c>
    </row>
    <row r="175" spans="1:13" x14ac:dyDescent="0.2">
      <c r="A175" s="4">
        <v>43439</v>
      </c>
      <c r="B175" t="s">
        <v>517</v>
      </c>
      <c r="C175">
        <v>2</v>
      </c>
      <c r="D175">
        <v>15</v>
      </c>
      <c r="E175">
        <v>2</v>
      </c>
      <c r="F175" t="s">
        <v>385</v>
      </c>
      <c r="G175" t="s">
        <v>843</v>
      </c>
      <c r="H175" s="9" t="s">
        <v>1073</v>
      </c>
      <c r="I175">
        <f t="shared" si="6"/>
        <v>60</v>
      </c>
      <c r="J175">
        <f t="shared" si="7"/>
        <v>27.215542200000002</v>
      </c>
      <c r="K175">
        <v>3.754</v>
      </c>
      <c r="L175">
        <f t="shared" si="8"/>
        <v>102.1671454188</v>
      </c>
    </row>
    <row r="176" spans="1:13" x14ac:dyDescent="0.2">
      <c r="A176" s="4">
        <v>43439</v>
      </c>
      <c r="B176" t="s">
        <v>517</v>
      </c>
      <c r="C176">
        <v>4</v>
      </c>
      <c r="D176">
        <v>15</v>
      </c>
      <c r="E176">
        <f>24/16</f>
        <v>1.5</v>
      </c>
      <c r="F176" t="s">
        <v>386</v>
      </c>
      <c r="G176" t="s">
        <v>843</v>
      </c>
      <c r="H176" s="9" t="s">
        <v>1073</v>
      </c>
      <c r="I176">
        <f t="shared" si="6"/>
        <v>90</v>
      </c>
      <c r="J176">
        <f t="shared" si="7"/>
        <v>40.823313300000002</v>
      </c>
      <c r="K176">
        <v>3.754</v>
      </c>
      <c r="L176">
        <f t="shared" si="8"/>
        <v>153.25071812820002</v>
      </c>
    </row>
    <row r="177" spans="1:12" x14ac:dyDescent="0.2">
      <c r="A177" s="4">
        <v>43434</v>
      </c>
      <c r="B177" t="s">
        <v>517</v>
      </c>
      <c r="C177">
        <v>4</v>
      </c>
      <c r="D177">
        <v>1</v>
      </c>
      <c r="E177">
        <f t="shared" ref="E177:E184" si="9">3*8.6</f>
        <v>25.799999999999997</v>
      </c>
      <c r="F177" t="s">
        <v>518</v>
      </c>
      <c r="G177" s="6" t="s">
        <v>888</v>
      </c>
      <c r="H177" s="9" t="s">
        <v>1073</v>
      </c>
      <c r="I177">
        <f t="shared" si="6"/>
        <v>103.19999999999999</v>
      </c>
      <c r="J177">
        <f t="shared" si="7"/>
        <v>46.810732584</v>
      </c>
      <c r="K177" s="6">
        <v>3.84</v>
      </c>
      <c r="L177">
        <f t="shared" si="8"/>
        <v>179.75321312256</v>
      </c>
    </row>
    <row r="178" spans="1:12" x14ac:dyDescent="0.2">
      <c r="A178" s="4">
        <v>43434</v>
      </c>
      <c r="B178" t="s">
        <v>517</v>
      </c>
      <c r="C178">
        <v>4</v>
      </c>
      <c r="D178">
        <v>1</v>
      </c>
      <c r="E178">
        <f t="shared" si="9"/>
        <v>25.799999999999997</v>
      </c>
      <c r="F178" t="s">
        <v>468</v>
      </c>
      <c r="G178" s="6" t="s">
        <v>888</v>
      </c>
      <c r="H178" s="9" t="s">
        <v>1073</v>
      </c>
      <c r="I178">
        <f t="shared" si="6"/>
        <v>103.19999999999999</v>
      </c>
      <c r="J178">
        <f t="shared" si="7"/>
        <v>46.810732584</v>
      </c>
      <c r="K178" s="6">
        <v>3.84</v>
      </c>
      <c r="L178">
        <f t="shared" si="8"/>
        <v>179.75321312256</v>
      </c>
    </row>
    <row r="179" spans="1:12" x14ac:dyDescent="0.2">
      <c r="A179" s="4">
        <v>43434</v>
      </c>
      <c r="B179" t="s">
        <v>517</v>
      </c>
      <c r="C179">
        <v>4</v>
      </c>
      <c r="D179">
        <v>1</v>
      </c>
      <c r="E179">
        <f t="shared" si="9"/>
        <v>25.799999999999997</v>
      </c>
      <c r="F179" t="s">
        <v>524</v>
      </c>
      <c r="G179" s="6" t="s">
        <v>888</v>
      </c>
      <c r="H179" s="9" t="s">
        <v>1073</v>
      </c>
      <c r="I179">
        <f t="shared" si="6"/>
        <v>103.19999999999999</v>
      </c>
      <c r="J179">
        <f t="shared" si="7"/>
        <v>46.810732584</v>
      </c>
      <c r="K179" s="6">
        <v>3.84</v>
      </c>
      <c r="L179">
        <f t="shared" si="8"/>
        <v>179.75321312256</v>
      </c>
    </row>
    <row r="180" spans="1:12" x14ac:dyDescent="0.2">
      <c r="A180" s="4">
        <v>43439</v>
      </c>
      <c r="B180" t="s">
        <v>517</v>
      </c>
      <c r="C180">
        <v>2</v>
      </c>
      <c r="D180">
        <v>1</v>
      </c>
      <c r="E180">
        <f t="shared" si="9"/>
        <v>25.799999999999997</v>
      </c>
      <c r="F180" t="s">
        <v>600</v>
      </c>
      <c r="G180" s="6" t="s">
        <v>888</v>
      </c>
      <c r="H180" s="9" t="s">
        <v>1073</v>
      </c>
      <c r="I180">
        <f t="shared" si="6"/>
        <v>51.599999999999994</v>
      </c>
      <c r="J180">
        <f t="shared" si="7"/>
        <v>23.405366292</v>
      </c>
      <c r="K180" s="6">
        <v>3.84</v>
      </c>
      <c r="L180">
        <f t="shared" si="8"/>
        <v>89.876606561279999</v>
      </c>
    </row>
    <row r="181" spans="1:12" x14ac:dyDescent="0.2">
      <c r="A181" s="4">
        <v>43439</v>
      </c>
      <c r="B181" t="s">
        <v>517</v>
      </c>
      <c r="C181">
        <v>2</v>
      </c>
      <c r="D181">
        <v>1</v>
      </c>
      <c r="E181">
        <f t="shared" si="9"/>
        <v>25.799999999999997</v>
      </c>
      <c r="F181" t="s">
        <v>466</v>
      </c>
      <c r="G181" s="6" t="s">
        <v>888</v>
      </c>
      <c r="H181" s="9" t="s">
        <v>1073</v>
      </c>
      <c r="I181">
        <f t="shared" si="6"/>
        <v>51.599999999999994</v>
      </c>
      <c r="J181">
        <f t="shared" si="7"/>
        <v>23.405366292</v>
      </c>
      <c r="K181" s="6">
        <v>3.84</v>
      </c>
      <c r="L181">
        <f t="shared" si="8"/>
        <v>89.876606561279999</v>
      </c>
    </row>
    <row r="182" spans="1:12" x14ac:dyDescent="0.2">
      <c r="A182" s="4">
        <v>43439</v>
      </c>
      <c r="B182" t="s">
        <v>517</v>
      </c>
      <c r="C182">
        <v>3</v>
      </c>
      <c r="D182">
        <v>1</v>
      </c>
      <c r="E182">
        <f t="shared" si="9"/>
        <v>25.799999999999997</v>
      </c>
      <c r="F182" t="s">
        <v>467</v>
      </c>
      <c r="G182" s="6" t="s">
        <v>888</v>
      </c>
      <c r="H182" s="9" t="s">
        <v>1073</v>
      </c>
      <c r="I182">
        <f t="shared" si="6"/>
        <v>77.399999999999991</v>
      </c>
      <c r="J182">
        <f t="shared" si="7"/>
        <v>35.108049437999995</v>
      </c>
      <c r="K182" s="6">
        <v>3.84</v>
      </c>
      <c r="L182">
        <f t="shared" si="8"/>
        <v>134.81490984191998</v>
      </c>
    </row>
    <row r="183" spans="1:12" x14ac:dyDescent="0.2">
      <c r="A183" s="4">
        <v>43439</v>
      </c>
      <c r="B183" t="s">
        <v>517</v>
      </c>
      <c r="C183">
        <v>3</v>
      </c>
      <c r="D183">
        <v>1</v>
      </c>
      <c r="E183">
        <f t="shared" si="9"/>
        <v>25.799999999999997</v>
      </c>
      <c r="F183" t="s">
        <v>468</v>
      </c>
      <c r="G183" s="6" t="s">
        <v>888</v>
      </c>
      <c r="H183" s="9" t="s">
        <v>1073</v>
      </c>
      <c r="I183">
        <f t="shared" si="6"/>
        <v>77.399999999999991</v>
      </c>
      <c r="J183">
        <f t="shared" si="7"/>
        <v>35.108049437999995</v>
      </c>
      <c r="K183" s="6">
        <v>3.84</v>
      </c>
      <c r="L183">
        <f t="shared" si="8"/>
        <v>134.81490984191998</v>
      </c>
    </row>
    <row r="184" spans="1:12" x14ac:dyDescent="0.2">
      <c r="A184" s="4">
        <v>43439</v>
      </c>
      <c r="B184" t="s">
        <v>517</v>
      </c>
      <c r="C184">
        <v>3</v>
      </c>
      <c r="D184">
        <v>1</v>
      </c>
      <c r="E184">
        <f t="shared" si="9"/>
        <v>25.799999999999997</v>
      </c>
      <c r="F184" t="s">
        <v>469</v>
      </c>
      <c r="G184" s="6" t="s">
        <v>888</v>
      </c>
      <c r="H184" s="9" t="s">
        <v>1073</v>
      </c>
      <c r="I184">
        <f t="shared" si="6"/>
        <v>77.399999999999991</v>
      </c>
      <c r="J184">
        <f t="shared" si="7"/>
        <v>35.108049437999995</v>
      </c>
      <c r="K184" s="6">
        <v>3.84</v>
      </c>
      <c r="L184">
        <f t="shared" si="8"/>
        <v>134.81490984191998</v>
      </c>
    </row>
    <row r="185" spans="1:12" x14ac:dyDescent="0.2">
      <c r="A185" s="4">
        <v>43434</v>
      </c>
      <c r="B185" t="s">
        <v>517</v>
      </c>
      <c r="C185">
        <v>3</v>
      </c>
      <c r="D185">
        <v>1</v>
      </c>
      <c r="E185">
        <f>2.5*8.6</f>
        <v>21.5</v>
      </c>
      <c r="F185" t="s">
        <v>463</v>
      </c>
      <c r="G185" t="s">
        <v>933</v>
      </c>
      <c r="H185" s="9" t="s">
        <v>1071</v>
      </c>
      <c r="I185">
        <f t="shared" si="6"/>
        <v>64.5</v>
      </c>
      <c r="J185">
        <f t="shared" si="7"/>
        <v>29.256707864999999</v>
      </c>
      <c r="K185">
        <v>0.25800000000000001</v>
      </c>
      <c r="L185">
        <f t="shared" si="8"/>
        <v>7.5482306291699999</v>
      </c>
    </row>
    <row r="186" spans="1:12" x14ac:dyDescent="0.2">
      <c r="A186" s="4">
        <v>43434</v>
      </c>
      <c r="B186" t="s">
        <v>517</v>
      </c>
      <c r="C186">
        <v>3</v>
      </c>
      <c r="D186">
        <v>1</v>
      </c>
      <c r="E186">
        <f>2.5*8.6</f>
        <v>21.5</v>
      </c>
      <c r="F186" t="s">
        <v>464</v>
      </c>
      <c r="G186" t="s">
        <v>933</v>
      </c>
      <c r="H186" s="9" t="s">
        <v>1071</v>
      </c>
      <c r="I186">
        <f t="shared" si="6"/>
        <v>64.5</v>
      </c>
      <c r="J186">
        <f t="shared" si="7"/>
        <v>29.256707864999999</v>
      </c>
      <c r="K186">
        <v>0.25800000000000001</v>
      </c>
      <c r="L186">
        <f t="shared" si="8"/>
        <v>7.5482306291699999</v>
      </c>
    </row>
    <row r="187" spans="1:12" x14ac:dyDescent="0.2">
      <c r="A187" s="4">
        <v>43434</v>
      </c>
      <c r="B187" t="s">
        <v>517</v>
      </c>
      <c r="C187">
        <v>1</v>
      </c>
      <c r="D187">
        <v>12</v>
      </c>
      <c r="E187">
        <f>2</f>
        <v>2</v>
      </c>
      <c r="F187" t="s">
        <v>520</v>
      </c>
      <c r="G187" t="s">
        <v>933</v>
      </c>
      <c r="H187" s="9" t="s">
        <v>1071</v>
      </c>
      <c r="I187">
        <f t="shared" si="6"/>
        <v>24</v>
      </c>
      <c r="J187">
        <f t="shared" si="7"/>
        <v>10.886216880000001</v>
      </c>
      <c r="K187">
        <v>0.25800000000000001</v>
      </c>
      <c r="L187">
        <f t="shared" si="8"/>
        <v>2.8086439550400004</v>
      </c>
    </row>
    <row r="188" spans="1:12" x14ac:dyDescent="0.2">
      <c r="A188" s="4">
        <v>43437</v>
      </c>
      <c r="B188" t="s">
        <v>517</v>
      </c>
      <c r="C188">
        <v>2</v>
      </c>
      <c r="D188">
        <v>1</v>
      </c>
      <c r="E188">
        <f>2.5*8.6</f>
        <v>21.5</v>
      </c>
      <c r="F188" t="s">
        <v>463</v>
      </c>
      <c r="G188" t="s">
        <v>933</v>
      </c>
      <c r="H188" s="9" t="s">
        <v>1071</v>
      </c>
      <c r="I188">
        <f t="shared" si="6"/>
        <v>43</v>
      </c>
      <c r="J188">
        <f t="shared" si="7"/>
        <v>19.504471909999999</v>
      </c>
      <c r="K188">
        <v>0.25800000000000001</v>
      </c>
      <c r="L188">
        <f t="shared" si="8"/>
        <v>5.0321537527800002</v>
      </c>
    </row>
    <row r="189" spans="1:12" x14ac:dyDescent="0.2">
      <c r="A189" s="4">
        <v>43437</v>
      </c>
      <c r="B189" t="s">
        <v>517</v>
      </c>
      <c r="C189">
        <v>1</v>
      </c>
      <c r="D189">
        <v>1</v>
      </c>
      <c r="E189">
        <f>2.5*8.6</f>
        <v>21.5</v>
      </c>
      <c r="F189" t="s">
        <v>464</v>
      </c>
      <c r="G189" t="s">
        <v>933</v>
      </c>
      <c r="H189" s="9" t="s">
        <v>1071</v>
      </c>
      <c r="I189">
        <f t="shared" si="6"/>
        <v>21.5</v>
      </c>
      <c r="J189">
        <f t="shared" si="7"/>
        <v>9.7522359549999997</v>
      </c>
      <c r="K189">
        <v>0.25800000000000001</v>
      </c>
      <c r="L189">
        <f t="shared" si="8"/>
        <v>2.5160768763900001</v>
      </c>
    </row>
    <row r="190" spans="1:12" x14ac:dyDescent="0.2">
      <c r="A190" s="4">
        <v>43437</v>
      </c>
      <c r="B190" t="s">
        <v>517</v>
      </c>
      <c r="C190">
        <v>1</v>
      </c>
      <c r="D190">
        <v>20</v>
      </c>
      <c r="E190">
        <f>1/2</f>
        <v>0.5</v>
      </c>
      <c r="F190" t="s">
        <v>465</v>
      </c>
      <c r="G190" t="s">
        <v>774</v>
      </c>
      <c r="H190" s="9" t="s">
        <v>1073</v>
      </c>
      <c r="I190">
        <f t="shared" si="6"/>
        <v>10</v>
      </c>
      <c r="J190">
        <f t="shared" si="7"/>
        <v>4.5359237000000006</v>
      </c>
      <c r="K190">
        <v>1.23</v>
      </c>
      <c r="L190">
        <f t="shared" si="8"/>
        <v>5.5791861510000009</v>
      </c>
    </row>
    <row r="191" spans="1:12" x14ac:dyDescent="0.2">
      <c r="A191" s="4">
        <v>43439</v>
      </c>
      <c r="B191" t="s">
        <v>517</v>
      </c>
      <c r="C191">
        <v>2</v>
      </c>
      <c r="D191">
        <v>1</v>
      </c>
      <c r="E191">
        <f>2.5*8.6</f>
        <v>21.5</v>
      </c>
      <c r="F191" t="s">
        <v>463</v>
      </c>
      <c r="G191" t="s">
        <v>933</v>
      </c>
      <c r="H191" s="9" t="s">
        <v>1071</v>
      </c>
      <c r="I191">
        <f t="shared" si="6"/>
        <v>43</v>
      </c>
      <c r="J191">
        <f t="shared" si="7"/>
        <v>19.504471909999999</v>
      </c>
      <c r="K191">
        <v>0.25800000000000001</v>
      </c>
      <c r="L191">
        <f t="shared" si="8"/>
        <v>5.0321537527800002</v>
      </c>
    </row>
    <row r="192" spans="1:12" x14ac:dyDescent="0.2">
      <c r="A192" s="4">
        <v>43439</v>
      </c>
      <c r="B192" t="s">
        <v>517</v>
      </c>
      <c r="C192">
        <v>2</v>
      </c>
      <c r="D192">
        <v>1</v>
      </c>
      <c r="E192">
        <f>2.5*8.6</f>
        <v>21.5</v>
      </c>
      <c r="F192" t="s">
        <v>464</v>
      </c>
      <c r="G192" t="s">
        <v>933</v>
      </c>
      <c r="H192" s="9" t="s">
        <v>1071</v>
      </c>
      <c r="I192">
        <f t="shared" si="6"/>
        <v>43</v>
      </c>
      <c r="J192">
        <f t="shared" si="7"/>
        <v>19.504471909999999</v>
      </c>
      <c r="K192">
        <v>0.25800000000000001</v>
      </c>
      <c r="L192">
        <f t="shared" si="8"/>
        <v>5.0321537527800002</v>
      </c>
    </row>
    <row r="193" spans="1:18" x14ac:dyDescent="0.2">
      <c r="A193" s="4">
        <v>43434</v>
      </c>
      <c r="B193" t="s">
        <v>517</v>
      </c>
      <c r="C193">
        <v>10</v>
      </c>
      <c r="D193">
        <v>2</v>
      </c>
      <c r="E193">
        <v>6</v>
      </c>
      <c r="F193" t="s">
        <v>383</v>
      </c>
      <c r="G193" t="s">
        <v>846</v>
      </c>
      <c r="H193" s="9" t="s">
        <v>1073</v>
      </c>
      <c r="I193">
        <f t="shared" si="6"/>
        <v>120</v>
      </c>
      <c r="J193">
        <f t="shared" si="7"/>
        <v>54.431084400000003</v>
      </c>
      <c r="K193">
        <v>1.33</v>
      </c>
      <c r="L193">
        <f t="shared" si="8"/>
        <v>72.393342252000011</v>
      </c>
    </row>
    <row r="194" spans="1:18" x14ac:dyDescent="0.2">
      <c r="A194" s="4">
        <v>43434</v>
      </c>
      <c r="B194" t="s">
        <v>517</v>
      </c>
      <c r="C194">
        <v>10</v>
      </c>
      <c r="D194">
        <v>2</v>
      </c>
      <c r="E194">
        <v>6</v>
      </c>
      <c r="F194" t="s">
        <v>384</v>
      </c>
      <c r="G194" t="s">
        <v>846</v>
      </c>
      <c r="H194" s="9" t="s">
        <v>1073</v>
      </c>
      <c r="I194">
        <f t="shared" si="6"/>
        <v>120</v>
      </c>
      <c r="J194">
        <f t="shared" si="7"/>
        <v>54.431084400000003</v>
      </c>
      <c r="K194">
        <v>1.33</v>
      </c>
      <c r="L194">
        <f t="shared" si="8"/>
        <v>72.393342252000011</v>
      </c>
      <c r="N194" s="6"/>
      <c r="O194" s="6"/>
      <c r="P194" s="6"/>
      <c r="Q194" s="6"/>
      <c r="R194" s="6"/>
    </row>
    <row r="195" spans="1:18" x14ac:dyDescent="0.2">
      <c r="A195" s="4">
        <v>43439</v>
      </c>
      <c r="B195" t="s">
        <v>517</v>
      </c>
      <c r="C195">
        <v>2</v>
      </c>
      <c r="D195">
        <v>2</v>
      </c>
      <c r="E195">
        <v>6</v>
      </c>
      <c r="F195" t="s">
        <v>384</v>
      </c>
      <c r="G195" t="s">
        <v>846</v>
      </c>
      <c r="H195" s="9" t="s">
        <v>1073</v>
      </c>
      <c r="I195">
        <f t="shared" ref="I195:I245" si="10">C195*D195*E195</f>
        <v>24</v>
      </c>
      <c r="J195">
        <f t="shared" ref="J195:J245" si="11">CONVERT(I195,"lbm","kg")</f>
        <v>10.886216880000001</v>
      </c>
      <c r="K195">
        <v>1.33</v>
      </c>
      <c r="L195">
        <f t="shared" ref="L195:L245" si="12">J195*K195</f>
        <v>14.478668450400002</v>
      </c>
      <c r="N195" s="6"/>
      <c r="O195" s="6"/>
      <c r="P195" s="6"/>
      <c r="Q195" s="6"/>
      <c r="R195" s="6"/>
    </row>
    <row r="196" spans="1:18" x14ac:dyDescent="0.2">
      <c r="A196" s="4">
        <v>43434</v>
      </c>
      <c r="B196" t="s">
        <v>531</v>
      </c>
      <c r="C196">
        <v>4</v>
      </c>
      <c r="D196">
        <v>4</v>
      </c>
      <c r="E196">
        <v>6</v>
      </c>
      <c r="F196" t="s">
        <v>537</v>
      </c>
      <c r="G196" t="s">
        <v>858</v>
      </c>
      <c r="H196" t="s">
        <v>1071</v>
      </c>
      <c r="I196">
        <f t="shared" si="10"/>
        <v>96</v>
      </c>
      <c r="J196">
        <f t="shared" si="11"/>
        <v>43.544867520000004</v>
      </c>
      <c r="K196">
        <v>0.374</v>
      </c>
      <c r="L196">
        <f t="shared" si="12"/>
        <v>16.285780452480001</v>
      </c>
      <c r="N196" s="57"/>
      <c r="O196" s="6"/>
      <c r="P196" s="58"/>
      <c r="Q196" s="59"/>
      <c r="R196" s="59"/>
    </row>
    <row r="197" spans="1:18" x14ac:dyDescent="0.2">
      <c r="A197" s="4">
        <v>43437</v>
      </c>
      <c r="B197" t="s">
        <v>531</v>
      </c>
      <c r="C197">
        <v>5</v>
      </c>
      <c r="D197">
        <v>4</v>
      </c>
      <c r="E197">
        <v>6</v>
      </c>
      <c r="F197" t="s">
        <v>413</v>
      </c>
      <c r="G197" t="s">
        <v>858</v>
      </c>
      <c r="H197" t="s">
        <v>1071</v>
      </c>
      <c r="I197">
        <f t="shared" si="10"/>
        <v>120</v>
      </c>
      <c r="J197">
        <f t="shared" si="11"/>
        <v>54.431084400000003</v>
      </c>
      <c r="K197">
        <v>0.374</v>
      </c>
      <c r="L197">
        <f t="shared" si="12"/>
        <v>20.3572255656</v>
      </c>
      <c r="N197" s="57"/>
      <c r="O197" s="6"/>
      <c r="P197" s="58"/>
      <c r="Q197" s="59"/>
      <c r="R197" s="6"/>
    </row>
    <row r="198" spans="1:18" x14ac:dyDescent="0.2">
      <c r="A198" s="4">
        <v>43434</v>
      </c>
      <c r="B198" t="s">
        <v>531</v>
      </c>
      <c r="C198">
        <v>4</v>
      </c>
      <c r="D198">
        <v>40</v>
      </c>
      <c r="E198">
        <f>4/16</f>
        <v>0.25</v>
      </c>
      <c r="F198" t="s">
        <v>536</v>
      </c>
      <c r="G198" s="6" t="s">
        <v>893</v>
      </c>
      <c r="H198" t="s">
        <v>1071</v>
      </c>
      <c r="I198">
        <f t="shared" si="10"/>
        <v>40</v>
      </c>
      <c r="J198">
        <f t="shared" si="11"/>
        <v>18.143694800000002</v>
      </c>
      <c r="K198">
        <v>3.5270000000000001</v>
      </c>
      <c r="L198">
        <f t="shared" si="12"/>
        <v>63.992811559600007</v>
      </c>
      <c r="N198" s="6"/>
      <c r="O198" s="6"/>
      <c r="P198" s="6"/>
      <c r="Q198" s="6"/>
      <c r="R198" s="6"/>
    </row>
    <row r="199" spans="1:18" x14ac:dyDescent="0.2">
      <c r="A199" s="4">
        <v>43434</v>
      </c>
      <c r="B199" t="s">
        <v>531</v>
      </c>
      <c r="C199">
        <v>4</v>
      </c>
      <c r="D199">
        <v>48</v>
      </c>
      <c r="E199">
        <v>0.18124999999999999</v>
      </c>
      <c r="F199" t="s">
        <v>417</v>
      </c>
      <c r="G199" s="6" t="s">
        <v>895</v>
      </c>
      <c r="H199" t="s">
        <v>1071</v>
      </c>
      <c r="I199">
        <f t="shared" si="10"/>
        <v>34.799999999999997</v>
      </c>
      <c r="J199">
        <f t="shared" si="11"/>
        <v>15.785014475999999</v>
      </c>
      <c r="K199">
        <v>6.87</v>
      </c>
      <c r="L199">
        <f t="shared" si="12"/>
        <v>108.44304945012</v>
      </c>
      <c r="N199" s="6"/>
      <c r="O199" s="6"/>
      <c r="P199" s="59"/>
      <c r="Q199" s="6"/>
      <c r="R199" s="59"/>
    </row>
    <row r="200" spans="1:18" x14ac:dyDescent="0.2">
      <c r="A200" s="4">
        <v>43439</v>
      </c>
      <c r="B200" t="s">
        <v>531</v>
      </c>
      <c r="C200">
        <v>1</v>
      </c>
      <c r="D200">
        <v>10</v>
      </c>
      <c r="E200">
        <v>1</v>
      </c>
      <c r="F200" t="s">
        <v>410</v>
      </c>
      <c r="G200" s="6" t="s">
        <v>868</v>
      </c>
      <c r="H200" t="s">
        <v>1071</v>
      </c>
      <c r="I200">
        <f t="shared" si="10"/>
        <v>10</v>
      </c>
      <c r="J200">
        <f t="shared" si="11"/>
        <v>4.5359237000000006</v>
      </c>
      <c r="K200">
        <v>1.28</v>
      </c>
      <c r="L200">
        <f t="shared" si="12"/>
        <v>5.8059823360000005</v>
      </c>
      <c r="N200" s="6"/>
      <c r="O200" s="6"/>
      <c r="P200" s="6"/>
      <c r="Q200" s="6"/>
      <c r="R200" s="59"/>
    </row>
    <row r="201" spans="1:18" x14ac:dyDescent="0.2">
      <c r="A201" s="4">
        <v>43439</v>
      </c>
      <c r="B201" t="s">
        <v>531</v>
      </c>
      <c r="C201">
        <v>2</v>
      </c>
      <c r="D201">
        <v>12</v>
      </c>
      <c r="E201">
        <f>6*(3.5/16)</f>
        <v>1.3125</v>
      </c>
      <c r="F201" t="s">
        <v>589</v>
      </c>
      <c r="G201" s="6" t="s">
        <v>880</v>
      </c>
      <c r="H201" t="s">
        <v>1071</v>
      </c>
      <c r="I201">
        <f t="shared" si="10"/>
        <v>31.5</v>
      </c>
      <c r="J201">
        <f t="shared" si="11"/>
        <v>14.288159655000001</v>
      </c>
      <c r="K201">
        <v>1.28</v>
      </c>
      <c r="L201">
        <f t="shared" si="12"/>
        <v>18.288844358400002</v>
      </c>
      <c r="N201" s="6"/>
      <c r="O201" s="6"/>
      <c r="P201" s="6"/>
      <c r="Q201" s="6"/>
      <c r="R201" s="6"/>
    </row>
    <row r="202" spans="1:18" x14ac:dyDescent="0.2">
      <c r="A202" s="4">
        <v>43434</v>
      </c>
      <c r="B202" t="s">
        <v>531</v>
      </c>
      <c r="C202">
        <v>2</v>
      </c>
      <c r="D202">
        <v>2</v>
      </c>
      <c r="E202">
        <v>5</v>
      </c>
      <c r="F202" t="s">
        <v>535</v>
      </c>
      <c r="G202" s="14" t="s">
        <v>1087</v>
      </c>
      <c r="H202" s="6" t="s">
        <v>1071</v>
      </c>
      <c r="I202">
        <f t="shared" si="10"/>
        <v>20</v>
      </c>
      <c r="J202">
        <f t="shared" si="11"/>
        <v>9.0718474000000011</v>
      </c>
      <c r="K202">
        <v>0</v>
      </c>
      <c r="L202">
        <f t="shared" si="12"/>
        <v>0</v>
      </c>
      <c r="N202" s="6"/>
      <c r="O202" s="59"/>
      <c r="P202" s="6"/>
      <c r="Q202" s="6"/>
      <c r="R202" s="6"/>
    </row>
    <row r="203" spans="1:18" x14ac:dyDescent="0.2">
      <c r="A203" s="4">
        <v>43434</v>
      </c>
      <c r="B203" t="s">
        <v>531</v>
      </c>
      <c r="C203">
        <v>11</v>
      </c>
      <c r="D203">
        <v>100</v>
      </c>
      <c r="E203">
        <f>2.6/16</f>
        <v>0.16250000000000001</v>
      </c>
      <c r="F203" t="s">
        <v>532</v>
      </c>
      <c r="G203" s="6" t="s">
        <v>853</v>
      </c>
      <c r="H203" s="6" t="s">
        <v>1071</v>
      </c>
      <c r="I203">
        <f t="shared" si="10"/>
        <v>178.75</v>
      </c>
      <c r="J203">
        <f t="shared" si="11"/>
        <v>81.079636137500003</v>
      </c>
      <c r="K203">
        <v>1.2</v>
      </c>
      <c r="L203">
        <f t="shared" si="12"/>
        <v>97.295563365000007</v>
      </c>
      <c r="N203" s="6"/>
      <c r="O203" s="6"/>
      <c r="P203" s="6"/>
      <c r="Q203" s="6"/>
      <c r="R203" s="6"/>
    </row>
    <row r="204" spans="1:18" x14ac:dyDescent="0.2">
      <c r="A204" s="4">
        <v>43437</v>
      </c>
      <c r="B204" t="s">
        <v>531</v>
      </c>
      <c r="C204">
        <v>3</v>
      </c>
      <c r="D204">
        <v>1</v>
      </c>
      <c r="E204">
        <v>30</v>
      </c>
      <c r="F204" t="s">
        <v>411</v>
      </c>
      <c r="G204" t="s">
        <v>849</v>
      </c>
      <c r="H204" s="6" t="s">
        <v>1071</v>
      </c>
      <c r="I204">
        <f t="shared" si="10"/>
        <v>90</v>
      </c>
      <c r="J204">
        <f t="shared" si="11"/>
        <v>40.823313300000002</v>
      </c>
      <c r="K204">
        <v>0.75700000000000001</v>
      </c>
      <c r="L204">
        <f t="shared" si="12"/>
        <v>30.903248168100003</v>
      </c>
      <c r="N204" s="6"/>
      <c r="O204" s="6"/>
      <c r="P204" s="6"/>
      <c r="Q204" s="6"/>
      <c r="R204" s="6"/>
    </row>
    <row r="205" spans="1:18" x14ac:dyDescent="0.2">
      <c r="A205" s="4">
        <v>43439</v>
      </c>
      <c r="B205" t="s">
        <v>531</v>
      </c>
      <c r="C205">
        <v>1</v>
      </c>
      <c r="D205">
        <v>1</v>
      </c>
      <c r="E205">
        <v>30</v>
      </c>
      <c r="F205" t="s">
        <v>411</v>
      </c>
      <c r="G205" t="s">
        <v>849</v>
      </c>
      <c r="H205" s="6" t="s">
        <v>1071</v>
      </c>
      <c r="I205">
        <f t="shared" si="10"/>
        <v>30</v>
      </c>
      <c r="J205">
        <f t="shared" si="11"/>
        <v>13.607771100000001</v>
      </c>
      <c r="K205">
        <v>0.75700000000000001</v>
      </c>
      <c r="L205">
        <f t="shared" si="12"/>
        <v>10.3010827227</v>
      </c>
    </row>
    <row r="206" spans="1:18" x14ac:dyDescent="0.2">
      <c r="A206" s="4">
        <v>43434</v>
      </c>
      <c r="B206" t="s">
        <v>531</v>
      </c>
      <c r="C206">
        <v>2</v>
      </c>
      <c r="D206">
        <v>210</v>
      </c>
      <c r="E206" t="s">
        <v>1017</v>
      </c>
      <c r="F206" t="s">
        <v>409</v>
      </c>
      <c r="G206" s="14" t="s">
        <v>1086</v>
      </c>
      <c r="H206" s="9" t="s">
        <v>1071</v>
      </c>
      <c r="I206">
        <v>0</v>
      </c>
      <c r="J206">
        <f t="shared" si="11"/>
        <v>0</v>
      </c>
      <c r="K206">
        <v>2.2999999999999998</v>
      </c>
      <c r="L206">
        <f t="shared" si="12"/>
        <v>0</v>
      </c>
    </row>
    <row r="207" spans="1:18" x14ac:dyDescent="0.2">
      <c r="A207" s="4">
        <v>43437</v>
      </c>
      <c r="B207" t="s">
        <v>531</v>
      </c>
      <c r="C207">
        <v>3</v>
      </c>
      <c r="D207">
        <v>4</v>
      </c>
      <c r="E207">
        <v>5</v>
      </c>
      <c r="F207" t="s">
        <v>418</v>
      </c>
      <c r="G207" s="6" t="s">
        <v>876</v>
      </c>
      <c r="H207" s="9" t="s">
        <v>1071</v>
      </c>
      <c r="I207">
        <f t="shared" si="10"/>
        <v>60</v>
      </c>
      <c r="J207">
        <f t="shared" si="11"/>
        <v>27.215542200000002</v>
      </c>
      <c r="K207" s="6">
        <v>5.99</v>
      </c>
      <c r="L207">
        <f t="shared" si="12"/>
        <v>163.02109777800001</v>
      </c>
    </row>
    <row r="208" spans="1:18" x14ac:dyDescent="0.2">
      <c r="A208" s="4">
        <v>43434</v>
      </c>
      <c r="B208" t="s">
        <v>531</v>
      </c>
      <c r="C208">
        <v>2</v>
      </c>
      <c r="D208">
        <v>12</v>
      </c>
      <c r="E208">
        <v>2.5</v>
      </c>
      <c r="F208" t="s">
        <v>405</v>
      </c>
      <c r="G208" t="s">
        <v>891</v>
      </c>
      <c r="H208" s="9" t="s">
        <v>1071</v>
      </c>
      <c r="I208">
        <f t="shared" si="10"/>
        <v>60</v>
      </c>
      <c r="J208">
        <f t="shared" si="11"/>
        <v>27.215542200000002</v>
      </c>
      <c r="K208">
        <v>0.61699999999999999</v>
      </c>
      <c r="L208">
        <f t="shared" si="12"/>
        <v>16.791989537399999</v>
      </c>
    </row>
    <row r="209" spans="1:12" x14ac:dyDescent="0.2">
      <c r="A209" s="4">
        <v>43437</v>
      </c>
      <c r="B209" t="s">
        <v>531</v>
      </c>
      <c r="C209">
        <v>1</v>
      </c>
      <c r="D209">
        <v>12</v>
      </c>
      <c r="E209">
        <v>2.5</v>
      </c>
      <c r="F209" t="s">
        <v>405</v>
      </c>
      <c r="G209" t="s">
        <v>891</v>
      </c>
      <c r="H209" s="9" t="s">
        <v>1071</v>
      </c>
      <c r="I209">
        <f t="shared" si="10"/>
        <v>30</v>
      </c>
      <c r="J209">
        <f t="shared" si="11"/>
        <v>13.607771100000001</v>
      </c>
      <c r="K209">
        <v>0.61699999999999999</v>
      </c>
      <c r="L209">
        <f t="shared" si="12"/>
        <v>8.3959947686999996</v>
      </c>
    </row>
    <row r="210" spans="1:12" x14ac:dyDescent="0.2">
      <c r="A210" s="4">
        <v>43434</v>
      </c>
      <c r="B210" t="s">
        <v>531</v>
      </c>
      <c r="C210">
        <v>4</v>
      </c>
      <c r="D210">
        <v>6</v>
      </c>
      <c r="E210">
        <v>6</v>
      </c>
      <c r="F210" t="s">
        <v>533</v>
      </c>
      <c r="G210" t="s">
        <v>854</v>
      </c>
      <c r="H210" s="9" t="s">
        <v>1071</v>
      </c>
      <c r="I210">
        <f t="shared" si="10"/>
        <v>144</v>
      </c>
      <c r="J210">
        <f t="shared" si="11"/>
        <v>65.317301279999995</v>
      </c>
      <c r="K210">
        <v>0.217</v>
      </c>
      <c r="L210">
        <f t="shared" si="12"/>
        <v>14.17385437776</v>
      </c>
    </row>
    <row r="211" spans="1:12" x14ac:dyDescent="0.2">
      <c r="A211" s="4">
        <v>43434</v>
      </c>
      <c r="B211" t="s">
        <v>531</v>
      </c>
      <c r="C211">
        <v>4</v>
      </c>
      <c r="D211">
        <v>6</v>
      </c>
      <c r="E211">
        <v>3</v>
      </c>
      <c r="F211" t="s">
        <v>404</v>
      </c>
      <c r="G211" t="s">
        <v>854</v>
      </c>
      <c r="H211" s="9" t="s">
        <v>1071</v>
      </c>
      <c r="I211">
        <f t="shared" si="10"/>
        <v>72</v>
      </c>
      <c r="J211">
        <f t="shared" si="11"/>
        <v>32.658650639999998</v>
      </c>
      <c r="K211">
        <v>0.217</v>
      </c>
      <c r="L211">
        <f t="shared" si="12"/>
        <v>7.0869271888799998</v>
      </c>
    </row>
    <row r="212" spans="1:12" x14ac:dyDescent="0.2">
      <c r="A212" s="4">
        <v>43434</v>
      </c>
      <c r="B212" t="s">
        <v>531</v>
      </c>
      <c r="C212">
        <v>6</v>
      </c>
      <c r="D212">
        <v>6</v>
      </c>
      <c r="E212">
        <v>5</v>
      </c>
      <c r="F212" t="s">
        <v>419</v>
      </c>
      <c r="G212" t="s">
        <v>854</v>
      </c>
      <c r="H212" s="9" t="s">
        <v>1071</v>
      </c>
      <c r="I212">
        <f t="shared" si="10"/>
        <v>180</v>
      </c>
      <c r="J212">
        <f t="shared" si="11"/>
        <v>81.646626600000005</v>
      </c>
      <c r="K212">
        <v>0.217</v>
      </c>
      <c r="L212">
        <f t="shared" si="12"/>
        <v>17.7173179722</v>
      </c>
    </row>
    <row r="213" spans="1:12" x14ac:dyDescent="0.2">
      <c r="A213" s="4">
        <v>43437</v>
      </c>
      <c r="B213" t="s">
        <v>531</v>
      </c>
      <c r="C213">
        <v>4</v>
      </c>
      <c r="D213">
        <v>6</v>
      </c>
      <c r="E213">
        <v>6</v>
      </c>
      <c r="F213" t="s">
        <v>533</v>
      </c>
      <c r="G213" t="s">
        <v>854</v>
      </c>
      <c r="H213" s="9" t="s">
        <v>1071</v>
      </c>
      <c r="I213">
        <f t="shared" si="10"/>
        <v>144</v>
      </c>
      <c r="J213">
        <f t="shared" si="11"/>
        <v>65.317301279999995</v>
      </c>
      <c r="K213">
        <v>0.217</v>
      </c>
      <c r="L213">
        <f t="shared" si="12"/>
        <v>14.17385437776</v>
      </c>
    </row>
    <row r="214" spans="1:12" x14ac:dyDescent="0.2">
      <c r="A214" s="4">
        <v>43437</v>
      </c>
      <c r="B214" t="s">
        <v>531</v>
      </c>
      <c r="C214">
        <v>4</v>
      </c>
      <c r="D214">
        <v>6</v>
      </c>
      <c r="E214">
        <v>3</v>
      </c>
      <c r="F214" t="s">
        <v>404</v>
      </c>
      <c r="G214" t="s">
        <v>854</v>
      </c>
      <c r="H214" s="9" t="s">
        <v>1071</v>
      </c>
      <c r="I214">
        <f t="shared" si="10"/>
        <v>72</v>
      </c>
      <c r="J214">
        <f t="shared" si="11"/>
        <v>32.658650639999998</v>
      </c>
      <c r="K214">
        <v>0.217</v>
      </c>
      <c r="L214">
        <f t="shared" si="12"/>
        <v>7.0869271888799998</v>
      </c>
    </row>
    <row r="215" spans="1:12" x14ac:dyDescent="0.2">
      <c r="A215" s="4">
        <v>43437</v>
      </c>
      <c r="B215" t="s">
        <v>531</v>
      </c>
      <c r="C215">
        <v>4</v>
      </c>
      <c r="D215">
        <v>6</v>
      </c>
      <c r="E215">
        <v>5</v>
      </c>
      <c r="F215" t="s">
        <v>406</v>
      </c>
      <c r="G215" t="s">
        <v>854</v>
      </c>
      <c r="H215" s="9" t="s">
        <v>1071</v>
      </c>
      <c r="I215">
        <f t="shared" si="10"/>
        <v>120</v>
      </c>
      <c r="J215">
        <f t="shared" si="11"/>
        <v>54.431084400000003</v>
      </c>
      <c r="K215">
        <v>0.217</v>
      </c>
      <c r="L215">
        <f t="shared" si="12"/>
        <v>11.8115453148</v>
      </c>
    </row>
    <row r="216" spans="1:12" x14ac:dyDescent="0.2">
      <c r="A216" s="4">
        <v>43439</v>
      </c>
      <c r="B216" t="s">
        <v>531</v>
      </c>
      <c r="C216">
        <v>4</v>
      </c>
      <c r="D216">
        <v>6</v>
      </c>
      <c r="E216">
        <v>5</v>
      </c>
      <c r="F216" t="s">
        <v>403</v>
      </c>
      <c r="G216" t="s">
        <v>854</v>
      </c>
      <c r="H216" s="9" t="s">
        <v>1071</v>
      </c>
      <c r="I216">
        <f t="shared" si="10"/>
        <v>120</v>
      </c>
      <c r="J216">
        <f t="shared" si="11"/>
        <v>54.431084400000003</v>
      </c>
      <c r="K216">
        <v>0.217</v>
      </c>
      <c r="L216">
        <f t="shared" si="12"/>
        <v>11.8115453148</v>
      </c>
    </row>
    <row r="217" spans="1:12" x14ac:dyDescent="0.2">
      <c r="A217" s="4">
        <v>43439</v>
      </c>
      <c r="B217" t="s">
        <v>531</v>
      </c>
      <c r="C217">
        <v>4</v>
      </c>
      <c r="D217">
        <v>6</v>
      </c>
      <c r="E217">
        <v>5</v>
      </c>
      <c r="F217" t="s">
        <v>406</v>
      </c>
      <c r="G217" t="s">
        <v>854</v>
      </c>
      <c r="H217" s="9" t="s">
        <v>1071</v>
      </c>
      <c r="I217">
        <f t="shared" si="10"/>
        <v>120</v>
      </c>
      <c r="J217">
        <f t="shared" si="11"/>
        <v>54.431084400000003</v>
      </c>
      <c r="K217">
        <v>0.217</v>
      </c>
      <c r="L217">
        <f t="shared" si="12"/>
        <v>11.8115453148</v>
      </c>
    </row>
    <row r="218" spans="1:12" x14ac:dyDescent="0.2">
      <c r="A218" s="4">
        <v>43439</v>
      </c>
      <c r="B218" t="s">
        <v>531</v>
      </c>
      <c r="C218">
        <v>8</v>
      </c>
      <c r="D218">
        <v>6</v>
      </c>
      <c r="E218">
        <v>5</v>
      </c>
      <c r="F218" t="s">
        <v>419</v>
      </c>
      <c r="G218" t="s">
        <v>854</v>
      </c>
      <c r="H218" s="9" t="s">
        <v>1071</v>
      </c>
      <c r="I218">
        <f t="shared" si="10"/>
        <v>240</v>
      </c>
      <c r="J218">
        <f t="shared" si="11"/>
        <v>108.86216880000001</v>
      </c>
      <c r="K218">
        <v>0.217</v>
      </c>
      <c r="L218">
        <f t="shared" si="12"/>
        <v>23.6230906296</v>
      </c>
    </row>
    <row r="219" spans="1:12" x14ac:dyDescent="0.2">
      <c r="A219" s="4">
        <v>43437</v>
      </c>
      <c r="B219" t="s">
        <v>531</v>
      </c>
      <c r="C219">
        <v>4</v>
      </c>
      <c r="D219">
        <v>6</v>
      </c>
      <c r="E219">
        <v>5</v>
      </c>
      <c r="F219" t="s">
        <v>412</v>
      </c>
      <c r="G219" t="s">
        <v>914</v>
      </c>
      <c r="H219" s="9" t="s">
        <v>1071</v>
      </c>
      <c r="I219">
        <f t="shared" si="10"/>
        <v>120</v>
      </c>
      <c r="J219">
        <f t="shared" si="11"/>
        <v>54.431084400000003</v>
      </c>
      <c r="K219">
        <v>1.5449999999999999</v>
      </c>
      <c r="L219">
        <f t="shared" si="12"/>
        <v>84.096025397999995</v>
      </c>
    </row>
    <row r="220" spans="1:12" x14ac:dyDescent="0.2">
      <c r="A220" s="4">
        <v>43437</v>
      </c>
      <c r="B220" t="s">
        <v>531</v>
      </c>
      <c r="C220">
        <v>4</v>
      </c>
      <c r="D220">
        <v>5</v>
      </c>
      <c r="E220">
        <v>3</v>
      </c>
      <c r="F220" t="s">
        <v>416</v>
      </c>
      <c r="G220" t="s">
        <v>915</v>
      </c>
      <c r="H220" s="9" t="s">
        <v>1071</v>
      </c>
      <c r="I220">
        <f t="shared" si="10"/>
        <v>60</v>
      </c>
      <c r="J220">
        <f t="shared" si="11"/>
        <v>27.215542200000002</v>
      </c>
      <c r="K220">
        <v>0.30199999999999999</v>
      </c>
      <c r="L220">
        <f t="shared" si="12"/>
        <v>8.2190937444000003</v>
      </c>
    </row>
    <row r="221" spans="1:12" x14ac:dyDescent="0.2">
      <c r="A221" s="4">
        <v>43434</v>
      </c>
      <c r="B221" t="s">
        <v>531</v>
      </c>
      <c r="C221">
        <v>2</v>
      </c>
      <c r="D221">
        <v>12</v>
      </c>
      <c r="E221">
        <f>60*0.0661387</f>
        <v>3.9683219999999997</v>
      </c>
      <c r="F221" t="s">
        <v>534</v>
      </c>
      <c r="G221" s="6" t="s">
        <v>892</v>
      </c>
      <c r="H221" s="9" t="s">
        <v>1071</v>
      </c>
      <c r="I221">
        <f t="shared" si="10"/>
        <v>95.239727999999985</v>
      </c>
      <c r="J221">
        <f t="shared" si="11"/>
        <v>43.200013941675351</v>
      </c>
      <c r="K221">
        <v>1.28</v>
      </c>
      <c r="L221">
        <f t="shared" si="12"/>
        <v>55.296017845344451</v>
      </c>
    </row>
    <row r="222" spans="1:12" x14ac:dyDescent="0.2">
      <c r="A222" s="4">
        <v>43434</v>
      </c>
      <c r="B222" t="s">
        <v>531</v>
      </c>
      <c r="C222">
        <v>2</v>
      </c>
      <c r="D222">
        <v>6</v>
      </c>
      <c r="E222">
        <f>12*0.0661387</f>
        <v>0.79366439999999994</v>
      </c>
      <c r="F222" t="s">
        <v>414</v>
      </c>
      <c r="G222" s="6" t="s">
        <v>894</v>
      </c>
      <c r="H222" s="9" t="s">
        <v>1071</v>
      </c>
      <c r="I222">
        <f t="shared" si="10"/>
        <v>9.5239727999999992</v>
      </c>
      <c r="J222">
        <f t="shared" si="11"/>
        <v>4.3200013941675364</v>
      </c>
      <c r="K222">
        <v>1.28</v>
      </c>
      <c r="L222">
        <f t="shared" si="12"/>
        <v>5.5296017845344467</v>
      </c>
    </row>
    <row r="223" spans="1:12" x14ac:dyDescent="0.2">
      <c r="A223" s="4">
        <v>43434</v>
      </c>
      <c r="B223" t="s">
        <v>531</v>
      </c>
      <c r="C223">
        <v>2</v>
      </c>
      <c r="D223">
        <v>6</v>
      </c>
      <c r="E223">
        <f>12*0.0661387</f>
        <v>0.79366439999999994</v>
      </c>
      <c r="F223" t="s">
        <v>415</v>
      </c>
      <c r="G223" s="6" t="s">
        <v>894</v>
      </c>
      <c r="H223" s="9" t="s">
        <v>1071</v>
      </c>
      <c r="I223">
        <f t="shared" si="10"/>
        <v>9.5239727999999992</v>
      </c>
      <c r="J223">
        <f t="shared" si="11"/>
        <v>4.3200013941675364</v>
      </c>
      <c r="K223">
        <v>1.28</v>
      </c>
      <c r="L223">
        <f t="shared" si="12"/>
        <v>5.5296017845344467</v>
      </c>
    </row>
    <row r="224" spans="1:12" x14ac:dyDescent="0.2">
      <c r="A224" s="4">
        <v>43437</v>
      </c>
      <c r="B224" t="s">
        <v>531</v>
      </c>
      <c r="C224">
        <v>1</v>
      </c>
      <c r="D224">
        <v>24</v>
      </c>
      <c r="E224">
        <f>12*0.0661387</f>
        <v>0.79366439999999994</v>
      </c>
      <c r="F224" t="s">
        <v>408</v>
      </c>
      <c r="G224" s="6" t="s">
        <v>913</v>
      </c>
      <c r="H224" s="9" t="s">
        <v>1071</v>
      </c>
      <c r="I224">
        <f t="shared" si="10"/>
        <v>19.047945599999998</v>
      </c>
      <c r="J224">
        <f t="shared" si="11"/>
        <v>8.6400027883350727</v>
      </c>
      <c r="K224">
        <v>1.28</v>
      </c>
      <c r="L224">
        <f t="shared" si="12"/>
        <v>11.059203569068893</v>
      </c>
    </row>
    <row r="225" spans="1:13" x14ac:dyDescent="0.2">
      <c r="A225" s="4">
        <v>43437</v>
      </c>
      <c r="B225" t="s">
        <v>531</v>
      </c>
      <c r="C225">
        <v>1</v>
      </c>
      <c r="D225">
        <v>6</v>
      </c>
      <c r="E225">
        <f>12*0.0661387</f>
        <v>0.79366439999999994</v>
      </c>
      <c r="F225" t="s">
        <v>415</v>
      </c>
      <c r="G225" s="6" t="s">
        <v>913</v>
      </c>
      <c r="H225" s="9" t="s">
        <v>1071</v>
      </c>
      <c r="I225">
        <f t="shared" si="10"/>
        <v>4.7619863999999996</v>
      </c>
      <c r="J225">
        <f t="shared" si="11"/>
        <v>2.1600006970837682</v>
      </c>
      <c r="K225">
        <v>1.28</v>
      </c>
      <c r="L225">
        <f t="shared" si="12"/>
        <v>2.7648008922672234</v>
      </c>
    </row>
    <row r="226" spans="1:13" x14ac:dyDescent="0.2">
      <c r="A226" s="4">
        <v>43439</v>
      </c>
      <c r="B226" t="s">
        <v>531</v>
      </c>
      <c r="C226">
        <v>1</v>
      </c>
      <c r="D226">
        <v>6</v>
      </c>
      <c r="E226">
        <f>12*0.0661387</f>
        <v>0.79366439999999994</v>
      </c>
      <c r="F226" t="s">
        <v>415</v>
      </c>
      <c r="G226" s="6" t="s">
        <v>856</v>
      </c>
      <c r="H226" s="9" t="s">
        <v>1071</v>
      </c>
      <c r="I226">
        <f t="shared" si="10"/>
        <v>4.7619863999999996</v>
      </c>
      <c r="J226">
        <f t="shared" si="11"/>
        <v>2.1600006970837682</v>
      </c>
      <c r="K226">
        <v>1.28</v>
      </c>
      <c r="L226">
        <f t="shared" si="12"/>
        <v>2.7648008922672234</v>
      </c>
    </row>
    <row r="227" spans="1:13" x14ac:dyDescent="0.2">
      <c r="A227" s="10">
        <v>43434</v>
      </c>
      <c r="B227" s="8" t="s">
        <v>525</v>
      </c>
      <c r="C227" s="8">
        <v>2</v>
      </c>
      <c r="D227" s="8">
        <v>2</v>
      </c>
      <c r="E227">
        <v>5</v>
      </c>
      <c r="F227" t="s">
        <v>398</v>
      </c>
      <c r="G227" s="6" t="s">
        <v>890</v>
      </c>
      <c r="H227" s="6" t="s">
        <v>1072</v>
      </c>
      <c r="I227">
        <f t="shared" si="10"/>
        <v>20</v>
      </c>
      <c r="J227">
        <f t="shared" si="11"/>
        <v>9.0718474000000011</v>
      </c>
      <c r="K227">
        <f>(0.5*32.846)+(0.5*5.56)</f>
        <v>19.202999999999999</v>
      </c>
      <c r="L227">
        <f t="shared" si="12"/>
        <v>174.20668562220001</v>
      </c>
    </row>
    <row r="228" spans="1:13" x14ac:dyDescent="0.2">
      <c r="A228" s="4">
        <v>43439</v>
      </c>
      <c r="B228" t="s">
        <v>525</v>
      </c>
      <c r="C228">
        <v>1</v>
      </c>
      <c r="D228">
        <v>2</v>
      </c>
      <c r="E228">
        <v>5</v>
      </c>
      <c r="F228" t="s">
        <v>398</v>
      </c>
      <c r="G228" t="s">
        <v>890</v>
      </c>
      <c r="H228" t="s">
        <v>1072</v>
      </c>
      <c r="I228">
        <f t="shared" si="10"/>
        <v>10</v>
      </c>
      <c r="J228">
        <f t="shared" si="11"/>
        <v>4.5359237000000006</v>
      </c>
      <c r="K228">
        <f>(0.5*32.846)+(0.5*5.56)</f>
        <v>19.202999999999999</v>
      </c>
      <c r="L228">
        <f t="shared" si="12"/>
        <v>87.103342811100006</v>
      </c>
    </row>
    <row r="229" spans="1:13" x14ac:dyDescent="0.2">
      <c r="A229" s="4">
        <v>43434</v>
      </c>
      <c r="B229" t="s">
        <v>525</v>
      </c>
      <c r="C229">
        <v>1</v>
      </c>
      <c r="D229">
        <v>1</v>
      </c>
      <c r="E229">
        <v>220.62</v>
      </c>
      <c r="F229" t="s">
        <v>397</v>
      </c>
      <c r="G229" t="s">
        <v>850</v>
      </c>
      <c r="H229" t="s">
        <v>1072</v>
      </c>
      <c r="I229">
        <f t="shared" si="10"/>
        <v>220.62</v>
      </c>
      <c r="J229">
        <f t="shared" si="11"/>
        <v>100.0715486694</v>
      </c>
      <c r="K229">
        <v>32.845999999999997</v>
      </c>
      <c r="L229">
        <f t="shared" si="12"/>
        <v>3286.9500875951121</v>
      </c>
    </row>
    <row r="230" spans="1:13" x14ac:dyDescent="0.2">
      <c r="A230" s="4">
        <v>43439</v>
      </c>
      <c r="B230" t="s">
        <v>525</v>
      </c>
      <c r="C230">
        <v>4</v>
      </c>
      <c r="D230">
        <v>1</v>
      </c>
      <c r="E230">
        <v>10</v>
      </c>
      <c r="F230" t="s">
        <v>588</v>
      </c>
      <c r="G230" t="s">
        <v>10</v>
      </c>
      <c r="H230" t="s">
        <v>1072</v>
      </c>
      <c r="I230">
        <f t="shared" si="10"/>
        <v>40</v>
      </c>
      <c r="J230">
        <f t="shared" si="11"/>
        <v>18.143694800000002</v>
      </c>
      <c r="K230">
        <v>32.845999999999997</v>
      </c>
      <c r="L230">
        <f t="shared" si="12"/>
        <v>595.94779940080002</v>
      </c>
    </row>
    <row r="231" spans="1:13" x14ac:dyDescent="0.2">
      <c r="A231" s="4">
        <v>43439</v>
      </c>
      <c r="B231" t="s">
        <v>525</v>
      </c>
      <c r="C231">
        <v>1</v>
      </c>
      <c r="D231">
        <v>1</v>
      </c>
      <c r="E231">
        <v>143.28</v>
      </c>
      <c r="F231" t="s">
        <v>397</v>
      </c>
      <c r="G231" t="s">
        <v>850</v>
      </c>
      <c r="H231" t="s">
        <v>1072</v>
      </c>
      <c r="I231">
        <f t="shared" si="10"/>
        <v>143.28</v>
      </c>
      <c r="J231">
        <f t="shared" si="11"/>
        <v>64.990714773600004</v>
      </c>
      <c r="K231">
        <v>32.845999999999997</v>
      </c>
      <c r="L231">
        <f t="shared" si="12"/>
        <v>2134.6850174536653</v>
      </c>
    </row>
    <row r="232" spans="1:13" x14ac:dyDescent="0.2">
      <c r="A232" s="4">
        <v>43434</v>
      </c>
      <c r="B232" t="s">
        <v>525</v>
      </c>
      <c r="C232">
        <v>12</v>
      </c>
      <c r="D232">
        <v>1</v>
      </c>
      <c r="E232">
        <v>10</v>
      </c>
      <c r="F232" t="s">
        <v>526</v>
      </c>
      <c r="G232" s="9" t="s">
        <v>889</v>
      </c>
      <c r="H232" s="9" t="s">
        <v>1072</v>
      </c>
      <c r="I232">
        <f t="shared" si="10"/>
        <v>120</v>
      </c>
      <c r="J232">
        <f t="shared" si="11"/>
        <v>54.431084400000003</v>
      </c>
      <c r="K232">
        <v>32.845999999999997</v>
      </c>
      <c r="L232">
        <f t="shared" si="12"/>
        <v>1787.8433982023998</v>
      </c>
    </row>
    <row r="233" spans="1:13" x14ac:dyDescent="0.2">
      <c r="A233" s="4">
        <v>43434</v>
      </c>
      <c r="B233" t="s">
        <v>525</v>
      </c>
      <c r="C233">
        <v>1</v>
      </c>
      <c r="D233">
        <v>1</v>
      </c>
      <c r="E233">
        <v>89.1</v>
      </c>
      <c r="F233" t="s">
        <v>396</v>
      </c>
      <c r="G233" t="s">
        <v>15</v>
      </c>
      <c r="H233" s="9" t="s">
        <v>1072</v>
      </c>
      <c r="I233">
        <f t="shared" si="10"/>
        <v>89.1</v>
      </c>
      <c r="J233">
        <f t="shared" si="11"/>
        <v>40.415080166999999</v>
      </c>
      <c r="K233">
        <v>5.56</v>
      </c>
      <c r="L233">
        <f t="shared" si="12"/>
        <v>224.70784572851997</v>
      </c>
    </row>
    <row r="234" spans="1:13" x14ac:dyDescent="0.2">
      <c r="A234" s="4">
        <v>43439</v>
      </c>
      <c r="B234" t="s">
        <v>525</v>
      </c>
      <c r="C234">
        <v>1</v>
      </c>
      <c r="D234">
        <v>1</v>
      </c>
      <c r="E234">
        <v>29.8</v>
      </c>
      <c r="F234" t="s">
        <v>396</v>
      </c>
      <c r="G234" t="s">
        <v>15</v>
      </c>
      <c r="H234" s="9" t="s">
        <v>1072</v>
      </c>
      <c r="I234">
        <f t="shared" si="10"/>
        <v>29.8</v>
      </c>
      <c r="J234">
        <f t="shared" si="11"/>
        <v>13.517052626000002</v>
      </c>
      <c r="K234">
        <v>5.56</v>
      </c>
      <c r="L234">
        <f t="shared" si="12"/>
        <v>75.154812600560007</v>
      </c>
    </row>
    <row r="235" spans="1:13" x14ac:dyDescent="0.2">
      <c r="A235" s="4">
        <v>43434</v>
      </c>
      <c r="B235" t="s">
        <v>530</v>
      </c>
      <c r="C235">
        <v>1</v>
      </c>
      <c r="D235">
        <v>1</v>
      </c>
      <c r="E235">
        <v>72.5</v>
      </c>
      <c r="F235" t="s">
        <v>400</v>
      </c>
      <c r="G235" t="s">
        <v>852</v>
      </c>
      <c r="H235" s="9" t="s">
        <v>1072</v>
      </c>
      <c r="I235">
        <f t="shared" si="10"/>
        <v>72.5</v>
      </c>
      <c r="J235">
        <f t="shared" si="11"/>
        <v>32.885446825000002</v>
      </c>
      <c r="K235">
        <v>2.5710000000000002</v>
      </c>
      <c r="L235">
        <f t="shared" si="12"/>
        <v>84.548483787075014</v>
      </c>
    </row>
    <row r="236" spans="1:13" x14ac:dyDescent="0.2">
      <c r="A236" s="4">
        <v>43437</v>
      </c>
      <c r="B236" t="s">
        <v>530</v>
      </c>
      <c r="C236">
        <v>1</v>
      </c>
      <c r="D236">
        <v>1</v>
      </c>
      <c r="E236">
        <v>124.53</v>
      </c>
      <c r="F236" t="s">
        <v>568</v>
      </c>
      <c r="G236" t="s">
        <v>852</v>
      </c>
      <c r="H236" s="9" t="s">
        <v>1072</v>
      </c>
      <c r="I236">
        <f t="shared" si="10"/>
        <v>124.53</v>
      </c>
      <c r="J236">
        <f t="shared" si="11"/>
        <v>56.485857836100003</v>
      </c>
      <c r="K236">
        <v>2.5710000000000002</v>
      </c>
      <c r="L236">
        <f t="shared" si="12"/>
        <v>145.22514049661311</v>
      </c>
    </row>
    <row r="237" spans="1:13" x14ac:dyDescent="0.2">
      <c r="A237" s="4">
        <v>43437</v>
      </c>
      <c r="B237" t="s">
        <v>530</v>
      </c>
      <c r="C237">
        <v>4</v>
      </c>
      <c r="D237">
        <v>160</v>
      </c>
      <c r="E237">
        <f>1/16</f>
        <v>6.25E-2</v>
      </c>
      <c r="F237" t="s">
        <v>569</v>
      </c>
      <c r="G237" t="s">
        <v>852</v>
      </c>
      <c r="H237" s="9" t="s">
        <v>1072</v>
      </c>
      <c r="I237">
        <f t="shared" si="10"/>
        <v>40</v>
      </c>
      <c r="J237">
        <f t="shared" si="11"/>
        <v>18.143694800000002</v>
      </c>
      <c r="K237">
        <v>2.5710000000000002</v>
      </c>
      <c r="L237">
        <f t="shared" si="12"/>
        <v>46.647439330800012</v>
      </c>
    </row>
    <row r="238" spans="1:13" x14ac:dyDescent="0.2">
      <c r="A238" s="4">
        <v>43437</v>
      </c>
      <c r="B238" t="s">
        <v>530</v>
      </c>
      <c r="C238">
        <v>4</v>
      </c>
      <c r="D238">
        <v>2</v>
      </c>
      <c r="E238">
        <v>6</v>
      </c>
      <c r="F238" t="s">
        <v>402</v>
      </c>
      <c r="G238" t="s">
        <v>912</v>
      </c>
      <c r="H238" s="9" t="s">
        <v>1072</v>
      </c>
      <c r="I238">
        <f t="shared" si="10"/>
        <v>48</v>
      </c>
      <c r="J238">
        <f t="shared" si="11"/>
        <v>21.772433760000002</v>
      </c>
      <c r="K238">
        <v>2.5710000000000002</v>
      </c>
      <c r="L238">
        <f t="shared" si="12"/>
        <v>55.976927196960006</v>
      </c>
    </row>
    <row r="239" spans="1:13" x14ac:dyDescent="0.2">
      <c r="A239" s="4">
        <v>43439</v>
      </c>
      <c r="B239" t="s">
        <v>530</v>
      </c>
      <c r="C239">
        <v>3</v>
      </c>
      <c r="D239">
        <v>160</v>
      </c>
      <c r="E239">
        <f>1/16</f>
        <v>6.25E-2</v>
      </c>
      <c r="F239" t="s">
        <v>569</v>
      </c>
      <c r="G239" t="s">
        <v>852</v>
      </c>
      <c r="H239" s="9" t="s">
        <v>1072</v>
      </c>
      <c r="I239">
        <f t="shared" si="10"/>
        <v>30</v>
      </c>
      <c r="J239">
        <f t="shared" si="11"/>
        <v>13.607771100000001</v>
      </c>
      <c r="K239">
        <v>2.5710000000000002</v>
      </c>
      <c r="L239">
        <f t="shared" si="12"/>
        <v>34.985579498100002</v>
      </c>
    </row>
    <row r="240" spans="1:13" s="6" customFormat="1" x14ac:dyDescent="0.2">
      <c r="A240" s="4">
        <v>43434</v>
      </c>
      <c r="B240" t="s">
        <v>527</v>
      </c>
      <c r="C240">
        <v>6</v>
      </c>
      <c r="D240">
        <v>1</v>
      </c>
      <c r="E240">
        <v>10</v>
      </c>
      <c r="F240" t="s">
        <v>528</v>
      </c>
      <c r="G240" t="s">
        <v>884</v>
      </c>
      <c r="H240" s="9" t="s">
        <v>1072</v>
      </c>
      <c r="I240">
        <f t="shared" si="10"/>
        <v>60</v>
      </c>
      <c r="J240">
        <f t="shared" si="11"/>
        <v>27.215542200000002</v>
      </c>
      <c r="K240">
        <v>3.0209999999999999</v>
      </c>
      <c r="L240">
        <f t="shared" si="12"/>
        <v>82.218152986199996</v>
      </c>
      <c r="M240"/>
    </row>
    <row r="241" spans="1:15" s="6" customFormat="1" x14ac:dyDescent="0.2">
      <c r="A241" s="4">
        <v>43434</v>
      </c>
      <c r="B241" t="s">
        <v>527</v>
      </c>
      <c r="C241">
        <v>8</v>
      </c>
      <c r="D241">
        <v>1</v>
      </c>
      <c r="E241">
        <v>10</v>
      </c>
      <c r="F241" t="s">
        <v>529</v>
      </c>
      <c r="G241" t="s">
        <v>884</v>
      </c>
      <c r="H241" s="9" t="s">
        <v>1072</v>
      </c>
      <c r="I241">
        <f t="shared" si="10"/>
        <v>80</v>
      </c>
      <c r="J241">
        <f t="shared" si="11"/>
        <v>36.287389600000004</v>
      </c>
      <c r="K241">
        <v>3.0209999999999999</v>
      </c>
      <c r="L241">
        <f t="shared" si="12"/>
        <v>109.6242039816</v>
      </c>
      <c r="M241"/>
    </row>
    <row r="242" spans="1:15" s="6" customFormat="1" x14ac:dyDescent="0.2">
      <c r="A242" s="4">
        <v>43437</v>
      </c>
      <c r="B242" t="s">
        <v>527</v>
      </c>
      <c r="C242">
        <v>10</v>
      </c>
      <c r="D242">
        <v>1</v>
      </c>
      <c r="E242">
        <v>10</v>
      </c>
      <c r="F242" t="s">
        <v>528</v>
      </c>
      <c r="G242" t="s">
        <v>884</v>
      </c>
      <c r="H242" s="9" t="s">
        <v>1072</v>
      </c>
      <c r="I242">
        <f t="shared" si="10"/>
        <v>100</v>
      </c>
      <c r="J242">
        <f t="shared" si="11"/>
        <v>45.359237</v>
      </c>
      <c r="K242">
        <v>3.0209999999999999</v>
      </c>
      <c r="L242">
        <f t="shared" si="12"/>
        <v>137.030254977</v>
      </c>
      <c r="M242"/>
    </row>
    <row r="243" spans="1:15" s="6" customFormat="1" x14ac:dyDescent="0.2">
      <c r="A243" s="4">
        <v>43437</v>
      </c>
      <c r="B243" t="s">
        <v>527</v>
      </c>
      <c r="C243">
        <v>5</v>
      </c>
      <c r="D243">
        <v>1</v>
      </c>
      <c r="E243">
        <v>10</v>
      </c>
      <c r="F243" t="s">
        <v>529</v>
      </c>
      <c r="G243" t="s">
        <v>884</v>
      </c>
      <c r="H243" s="9" t="s">
        <v>1072</v>
      </c>
      <c r="I243">
        <f t="shared" si="10"/>
        <v>50</v>
      </c>
      <c r="J243">
        <f t="shared" si="11"/>
        <v>22.6796185</v>
      </c>
      <c r="K243">
        <v>3.0209999999999999</v>
      </c>
      <c r="L243">
        <f t="shared" si="12"/>
        <v>68.515127488499999</v>
      </c>
      <c r="M243"/>
    </row>
    <row r="244" spans="1:15" s="6" customFormat="1" x14ac:dyDescent="0.2">
      <c r="A244" s="4">
        <v>43437</v>
      </c>
      <c r="B244" t="s">
        <v>527</v>
      </c>
      <c r="C244">
        <v>4</v>
      </c>
      <c r="D244">
        <v>1</v>
      </c>
      <c r="E244">
        <v>15</v>
      </c>
      <c r="F244" t="s">
        <v>1013</v>
      </c>
      <c r="G244" t="s">
        <v>884</v>
      </c>
      <c r="H244" s="9" t="s">
        <v>1072</v>
      </c>
      <c r="I244">
        <f t="shared" si="10"/>
        <v>60</v>
      </c>
      <c r="J244">
        <f t="shared" si="11"/>
        <v>27.215542200000002</v>
      </c>
      <c r="K244">
        <v>3.0209999999999999</v>
      </c>
      <c r="L244">
        <f t="shared" si="12"/>
        <v>82.218152986199996</v>
      </c>
      <c r="M244"/>
    </row>
    <row r="245" spans="1:15" s="6" customFormat="1" x14ac:dyDescent="0.2">
      <c r="A245" s="4">
        <v>43439</v>
      </c>
      <c r="B245" t="s">
        <v>527</v>
      </c>
      <c r="C245">
        <v>1</v>
      </c>
      <c r="D245">
        <v>1</v>
      </c>
      <c r="E245">
        <v>10</v>
      </c>
      <c r="F245" t="s">
        <v>528</v>
      </c>
      <c r="G245" t="s">
        <v>884</v>
      </c>
      <c r="H245" s="9" t="s">
        <v>1072</v>
      </c>
      <c r="I245">
        <f t="shared" si="10"/>
        <v>10</v>
      </c>
      <c r="J245">
        <f t="shared" si="11"/>
        <v>4.5359237000000006</v>
      </c>
      <c r="K245">
        <v>3.0209999999999999</v>
      </c>
      <c r="L245">
        <f t="shared" si="12"/>
        <v>13.703025497700001</v>
      </c>
      <c r="M245"/>
    </row>
    <row r="246" spans="1:15" s="6" customFormat="1" x14ac:dyDescent="0.2">
      <c r="A246" s="4">
        <v>43439</v>
      </c>
      <c r="B246" t="s">
        <v>527</v>
      </c>
      <c r="C246">
        <v>8</v>
      </c>
      <c r="D246">
        <v>1</v>
      </c>
      <c r="E246">
        <v>15</v>
      </c>
      <c r="F246" t="s">
        <v>1013</v>
      </c>
      <c r="G246" t="s">
        <v>884</v>
      </c>
      <c r="H246" s="9" t="s">
        <v>1072</v>
      </c>
      <c r="I246">
        <f>C246*D246*E246</f>
        <v>120</v>
      </c>
      <c r="J246">
        <f>CONVERT(I246,"lbm","kg")</f>
        <v>54.431084400000003</v>
      </c>
      <c r="K246">
        <v>3.0209999999999999</v>
      </c>
      <c r="L246">
        <f t="shared" ref="L246" si="13">J246*K246</f>
        <v>164.43630597239999</v>
      </c>
      <c r="M246"/>
    </row>
    <row r="247" spans="1:15" x14ac:dyDescent="0.2">
      <c r="L247" s="32">
        <f>SUM(L3:L246)</f>
        <v>27979.969276205349</v>
      </c>
      <c r="M247" t="s">
        <v>1061</v>
      </c>
      <c r="O247" t="s">
        <v>942</v>
      </c>
    </row>
    <row r="249" spans="1:15" x14ac:dyDescent="0.2">
      <c r="L249" s="6">
        <f>L247/1000</f>
        <v>27.979969276205349</v>
      </c>
      <c r="M249" s="33" t="s">
        <v>1062</v>
      </c>
    </row>
    <row r="250" spans="1:15" x14ac:dyDescent="0.2">
      <c r="O250" t="s">
        <v>944</v>
      </c>
    </row>
    <row r="251" spans="1:15" x14ac:dyDescent="0.2">
      <c r="G251" t="s">
        <v>1066</v>
      </c>
      <c r="I251">
        <v>9388.3311977643916</v>
      </c>
      <c r="J251" t="s">
        <v>1061</v>
      </c>
      <c r="L251">
        <f>L249*4</f>
        <v>111.9198771048214</v>
      </c>
      <c r="M251" s="33" t="s">
        <v>940</v>
      </c>
    </row>
    <row r="252" spans="1:15" x14ac:dyDescent="0.2">
      <c r="I252">
        <f>I251/1000</f>
        <v>9.3883311977643924</v>
      </c>
      <c r="J252" s="33" t="s">
        <v>1062</v>
      </c>
    </row>
    <row r="253" spans="1:15" x14ac:dyDescent="0.2">
      <c r="L253">
        <f>L251*8.5</f>
        <v>951.31895539098184</v>
      </c>
      <c r="M253" s="33" t="s">
        <v>943</v>
      </c>
    </row>
    <row r="254" spans="1:15" x14ac:dyDescent="0.2">
      <c r="I254">
        <f>33831.293513056/1000</f>
        <v>33.831293513055996</v>
      </c>
      <c r="O254" t="s">
        <v>941</v>
      </c>
    </row>
    <row r="255" spans="1:15" x14ac:dyDescent="0.2">
      <c r="I255">
        <f>I254+I252</f>
        <v>43.219624710820391</v>
      </c>
    </row>
    <row r="256" spans="1:15" x14ac:dyDescent="0.2">
      <c r="L256" t="e">
        <f>L247+#REF!</f>
        <v>#REF!</v>
      </c>
      <c r="O256" t="s">
        <v>942</v>
      </c>
    </row>
    <row r="258" spans="12:13" x14ac:dyDescent="0.2">
      <c r="L258" t="e">
        <f>L256/1000</f>
        <v>#REF!</v>
      </c>
      <c r="M258" s="33" t="s">
        <v>939</v>
      </c>
    </row>
    <row r="260" spans="12:13" x14ac:dyDescent="0.2">
      <c r="L260" t="e">
        <f>L258*4</f>
        <v>#REF!</v>
      </c>
      <c r="M260" s="33" t="s">
        <v>940</v>
      </c>
    </row>
    <row r="262" spans="12:13" x14ac:dyDescent="0.2">
      <c r="L262" s="34" t="e">
        <f>L260*8.5</f>
        <v>#REF!</v>
      </c>
      <c r="M262" s="34" t="s">
        <v>943</v>
      </c>
    </row>
  </sheetData>
  <sortState ref="A3:M515">
    <sortCondition ref="B514"/>
  </sortState>
  <mergeCells count="1">
    <mergeCell ref="A1:L1"/>
  </mergeCells>
  <phoneticPr fontId="12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X501"/>
  <sheetViews>
    <sheetView workbookViewId="0">
      <pane ySplit="2" topLeftCell="A20" activePane="bottomLeft" state="frozen"/>
      <selection activeCell="B126" sqref="B126"/>
      <selection pane="bottomLeft" activeCell="B126" sqref="B126"/>
    </sheetView>
  </sheetViews>
  <sheetFormatPr baseColWidth="10" defaultRowHeight="16" x14ac:dyDescent="0.2"/>
  <cols>
    <col min="2" max="2" width="21.5" customWidth="1"/>
    <col min="5" max="5" width="11.83203125" customWidth="1"/>
    <col min="6" max="7" width="22.33203125" customWidth="1"/>
    <col min="8" max="8" width="13.5" customWidth="1"/>
    <col min="11" max="11" width="18.1640625" bestFit="1" customWidth="1"/>
    <col min="12" max="12" width="17.6640625" customWidth="1"/>
    <col min="13" max="13" width="12" bestFit="1" customWidth="1"/>
    <col min="14" max="14" width="12" customWidth="1"/>
    <col min="15" max="15" width="11.1640625" bestFit="1" customWidth="1"/>
    <col min="16" max="16" width="16.33203125" bestFit="1" customWidth="1"/>
    <col min="17" max="17" width="14" bestFit="1" customWidth="1"/>
    <col min="18" max="18" width="21.5" bestFit="1" customWidth="1"/>
  </cols>
  <sheetData>
    <row r="1" spans="1:12" x14ac:dyDescent="0.2">
      <c r="A1" s="94" t="s">
        <v>171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x14ac:dyDescent="0.2">
      <c r="A2" s="1" t="s">
        <v>0</v>
      </c>
      <c r="B2" s="1" t="s">
        <v>1</v>
      </c>
      <c r="C2" s="61" t="s">
        <v>2</v>
      </c>
      <c r="D2" s="2" t="s">
        <v>280</v>
      </c>
      <c r="E2" s="2" t="s">
        <v>3</v>
      </c>
      <c r="F2" s="31" t="s">
        <v>1090</v>
      </c>
      <c r="G2" s="31" t="s">
        <v>780</v>
      </c>
      <c r="H2" s="3" t="s">
        <v>934</v>
      </c>
      <c r="I2" s="3" t="s">
        <v>938</v>
      </c>
      <c r="J2" s="3" t="s">
        <v>6</v>
      </c>
      <c r="K2" s="1" t="s">
        <v>7</v>
      </c>
      <c r="L2" s="1" t="s">
        <v>8</v>
      </c>
    </row>
    <row r="3" spans="1:12" x14ac:dyDescent="0.2">
      <c r="A3" s="10">
        <v>43434</v>
      </c>
      <c r="B3" s="8" t="s">
        <v>525</v>
      </c>
      <c r="C3" s="8">
        <v>2</v>
      </c>
      <c r="D3" s="8">
        <v>2</v>
      </c>
      <c r="E3">
        <v>5</v>
      </c>
      <c r="F3" t="s">
        <v>398</v>
      </c>
      <c r="G3" s="6" t="s">
        <v>890</v>
      </c>
      <c r="H3" s="6" t="s">
        <v>1072</v>
      </c>
      <c r="I3">
        <f t="shared" ref="I3:I48" si="0">C3*D3*E3</f>
        <v>20</v>
      </c>
      <c r="J3">
        <f t="shared" ref="J3:J66" si="1">CONVERT(I3,"lbm","kg")</f>
        <v>9.0718474000000011</v>
      </c>
      <c r="K3">
        <f>(0.5*32.846)+(0.5*5.56)</f>
        <v>19.202999999999999</v>
      </c>
      <c r="L3">
        <f t="shared" ref="L3:L66" si="2">J3*K3</f>
        <v>174.20668562220001</v>
      </c>
    </row>
    <row r="4" spans="1:12" x14ac:dyDescent="0.2">
      <c r="A4" s="4">
        <v>43439</v>
      </c>
      <c r="B4" t="s">
        <v>525</v>
      </c>
      <c r="C4">
        <v>1</v>
      </c>
      <c r="D4">
        <v>2</v>
      </c>
      <c r="E4">
        <v>5</v>
      </c>
      <c r="F4" t="s">
        <v>398</v>
      </c>
      <c r="G4" t="s">
        <v>890</v>
      </c>
      <c r="H4" t="s">
        <v>1072</v>
      </c>
      <c r="I4">
        <f t="shared" si="0"/>
        <v>10</v>
      </c>
      <c r="J4">
        <f t="shared" si="1"/>
        <v>4.5359237000000006</v>
      </c>
      <c r="K4">
        <f>(0.5*32.846)+(0.5*5.56)</f>
        <v>19.202999999999999</v>
      </c>
      <c r="L4">
        <f t="shared" si="2"/>
        <v>87.103342811100006</v>
      </c>
    </row>
    <row r="5" spans="1:12" x14ac:dyDescent="0.2">
      <c r="A5" s="10">
        <v>43371</v>
      </c>
      <c r="B5" s="8" t="s">
        <v>22</v>
      </c>
      <c r="C5">
        <v>1</v>
      </c>
      <c r="D5">
        <v>1</v>
      </c>
      <c r="E5" s="9">
        <v>100</v>
      </c>
      <c r="F5" s="9" t="s">
        <v>26</v>
      </c>
      <c r="G5" s="9" t="s">
        <v>767</v>
      </c>
      <c r="H5" s="8" t="s">
        <v>1067</v>
      </c>
      <c r="I5">
        <f t="shared" si="0"/>
        <v>100</v>
      </c>
      <c r="J5">
        <f t="shared" si="1"/>
        <v>45.359237</v>
      </c>
      <c r="K5">
        <v>0.22800000000000001</v>
      </c>
      <c r="L5" s="8">
        <f t="shared" si="2"/>
        <v>10.341906036000001</v>
      </c>
    </row>
    <row r="6" spans="1:12" x14ac:dyDescent="0.2">
      <c r="A6" s="10">
        <v>43371</v>
      </c>
      <c r="B6" s="8" t="s">
        <v>22</v>
      </c>
      <c r="C6">
        <v>1</v>
      </c>
      <c r="D6">
        <v>1</v>
      </c>
      <c r="E6" s="9">
        <v>160</v>
      </c>
      <c r="F6" s="9" t="s">
        <v>180</v>
      </c>
      <c r="G6" s="9" t="s">
        <v>767</v>
      </c>
      <c r="H6" s="8" t="s">
        <v>1067</v>
      </c>
      <c r="I6">
        <f t="shared" si="0"/>
        <v>160</v>
      </c>
      <c r="J6">
        <f t="shared" si="1"/>
        <v>72.574779200000009</v>
      </c>
      <c r="K6">
        <v>0.22800000000000001</v>
      </c>
      <c r="L6" s="8">
        <f t="shared" si="2"/>
        <v>16.547049657600002</v>
      </c>
    </row>
    <row r="7" spans="1:12" x14ac:dyDescent="0.2">
      <c r="A7" s="4">
        <v>43437</v>
      </c>
      <c r="B7" t="s">
        <v>538</v>
      </c>
      <c r="C7">
        <v>1</v>
      </c>
      <c r="D7">
        <v>6</v>
      </c>
      <c r="E7">
        <v>10</v>
      </c>
      <c r="F7" t="s">
        <v>577</v>
      </c>
      <c r="G7" s="6" t="s">
        <v>918</v>
      </c>
      <c r="H7" t="s">
        <v>1071</v>
      </c>
      <c r="I7">
        <f t="shared" si="0"/>
        <v>60</v>
      </c>
      <c r="J7">
        <f t="shared" si="1"/>
        <v>27.215542200000002</v>
      </c>
      <c r="K7">
        <v>3.25</v>
      </c>
      <c r="L7">
        <f t="shared" si="2"/>
        <v>88.450512150000009</v>
      </c>
    </row>
    <row r="8" spans="1:12" x14ac:dyDescent="0.2">
      <c r="A8" s="4">
        <v>43434</v>
      </c>
      <c r="B8" t="s">
        <v>538</v>
      </c>
      <c r="C8">
        <v>2</v>
      </c>
      <c r="D8">
        <v>6</v>
      </c>
      <c r="E8">
        <v>6.6138700000000004</v>
      </c>
      <c r="F8" t="s">
        <v>447</v>
      </c>
      <c r="G8" t="s">
        <v>870</v>
      </c>
      <c r="H8" t="s">
        <v>1071</v>
      </c>
      <c r="I8">
        <f t="shared" si="0"/>
        <v>79.366440000000011</v>
      </c>
      <c r="J8">
        <f t="shared" si="1"/>
        <v>36.000011618062807</v>
      </c>
      <c r="K8">
        <v>0.84599999999999997</v>
      </c>
      <c r="L8">
        <f t="shared" si="2"/>
        <v>30.456009828881133</v>
      </c>
    </row>
    <row r="9" spans="1:12" x14ac:dyDescent="0.2">
      <c r="A9" s="4">
        <v>43374</v>
      </c>
      <c r="B9" t="s">
        <v>48</v>
      </c>
      <c r="C9">
        <v>1</v>
      </c>
      <c r="D9">
        <v>1</v>
      </c>
      <c r="E9">
        <f>2*1.5</f>
        <v>3</v>
      </c>
      <c r="F9" t="s">
        <v>230</v>
      </c>
      <c r="G9" t="s">
        <v>769</v>
      </c>
      <c r="H9" s="8" t="s">
        <v>1067</v>
      </c>
      <c r="I9">
        <f t="shared" si="0"/>
        <v>3</v>
      </c>
      <c r="J9">
        <f t="shared" si="1"/>
        <v>1.3607771100000001</v>
      </c>
      <c r="K9">
        <v>0.3</v>
      </c>
      <c r="L9" s="8">
        <f t="shared" si="2"/>
        <v>0.40823313300000003</v>
      </c>
    </row>
    <row r="10" spans="1:12" x14ac:dyDescent="0.2">
      <c r="A10" s="4">
        <v>43372</v>
      </c>
      <c r="B10" t="s">
        <v>48</v>
      </c>
      <c r="C10">
        <v>4</v>
      </c>
      <c r="D10">
        <v>1</v>
      </c>
      <c r="E10">
        <v>11</v>
      </c>
      <c r="F10" t="s">
        <v>80</v>
      </c>
      <c r="G10" t="s">
        <v>80</v>
      </c>
      <c r="H10" s="8" t="s">
        <v>1067</v>
      </c>
      <c r="I10">
        <f t="shared" si="0"/>
        <v>44</v>
      </c>
      <c r="J10">
        <f t="shared" si="1"/>
        <v>19.958064280000002</v>
      </c>
      <c r="K10">
        <v>2.1709999999999998</v>
      </c>
      <c r="L10" s="8">
        <f t="shared" si="2"/>
        <v>43.328957551880002</v>
      </c>
    </row>
    <row r="11" spans="1:12" x14ac:dyDescent="0.2">
      <c r="A11" s="4">
        <v>43372</v>
      </c>
      <c r="B11" t="s">
        <v>48</v>
      </c>
      <c r="C11">
        <v>8</v>
      </c>
      <c r="D11">
        <v>1</v>
      </c>
      <c r="E11">
        <v>11</v>
      </c>
      <c r="F11" t="s">
        <v>80</v>
      </c>
      <c r="G11" t="s">
        <v>80</v>
      </c>
      <c r="H11" s="8" t="s">
        <v>1067</v>
      </c>
      <c r="I11">
        <f t="shared" si="0"/>
        <v>88</v>
      </c>
      <c r="J11">
        <f t="shared" si="1"/>
        <v>39.916128560000004</v>
      </c>
      <c r="K11">
        <v>2.1709999999999998</v>
      </c>
      <c r="L11" s="8">
        <f t="shared" si="2"/>
        <v>86.657915103760004</v>
      </c>
    </row>
    <row r="12" spans="1:12" x14ac:dyDescent="0.2">
      <c r="A12" s="4">
        <v>43371</v>
      </c>
      <c r="B12" t="s">
        <v>48</v>
      </c>
      <c r="C12">
        <v>1</v>
      </c>
      <c r="D12">
        <v>1</v>
      </c>
      <c r="E12">
        <v>48</v>
      </c>
      <c r="F12" t="s">
        <v>202</v>
      </c>
      <c r="G12" t="s">
        <v>202</v>
      </c>
      <c r="H12" s="8" t="s">
        <v>1067</v>
      </c>
      <c r="I12">
        <f t="shared" si="0"/>
        <v>48</v>
      </c>
      <c r="J12">
        <f t="shared" si="1"/>
        <v>21.772433760000002</v>
      </c>
      <c r="K12">
        <v>0.54700000000000004</v>
      </c>
      <c r="L12" s="8">
        <f t="shared" si="2"/>
        <v>11.909521266720002</v>
      </c>
    </row>
    <row r="13" spans="1:12" x14ac:dyDescent="0.2">
      <c r="A13" s="4">
        <v>43434</v>
      </c>
      <c r="B13" t="s">
        <v>531</v>
      </c>
      <c r="C13">
        <v>4</v>
      </c>
      <c r="D13">
        <v>4</v>
      </c>
      <c r="E13">
        <v>6</v>
      </c>
      <c r="F13" t="s">
        <v>537</v>
      </c>
      <c r="G13" t="s">
        <v>858</v>
      </c>
      <c r="H13" t="s">
        <v>1071</v>
      </c>
      <c r="I13">
        <f t="shared" si="0"/>
        <v>96</v>
      </c>
      <c r="J13">
        <f t="shared" si="1"/>
        <v>43.544867520000004</v>
      </c>
      <c r="K13">
        <v>0.374</v>
      </c>
      <c r="L13">
        <f t="shared" si="2"/>
        <v>16.285780452480001</v>
      </c>
    </row>
    <row r="14" spans="1:12" x14ac:dyDescent="0.2">
      <c r="A14" s="4">
        <v>43437</v>
      </c>
      <c r="B14" t="s">
        <v>531</v>
      </c>
      <c r="C14">
        <v>5</v>
      </c>
      <c r="D14">
        <v>4</v>
      </c>
      <c r="E14">
        <v>6</v>
      </c>
      <c r="F14" t="s">
        <v>413</v>
      </c>
      <c r="G14" t="s">
        <v>858</v>
      </c>
      <c r="H14" t="s">
        <v>1071</v>
      </c>
      <c r="I14">
        <f t="shared" si="0"/>
        <v>120</v>
      </c>
      <c r="J14">
        <f t="shared" si="1"/>
        <v>54.431084400000003</v>
      </c>
      <c r="K14">
        <v>0.374</v>
      </c>
      <c r="L14">
        <f t="shared" si="2"/>
        <v>20.3572255656</v>
      </c>
    </row>
    <row r="15" spans="1:12" x14ac:dyDescent="0.2">
      <c r="A15" s="4">
        <v>43372</v>
      </c>
      <c r="B15" t="s">
        <v>48</v>
      </c>
      <c r="C15">
        <v>15</v>
      </c>
      <c r="D15">
        <v>1</v>
      </c>
      <c r="E15">
        <v>40</v>
      </c>
      <c r="F15" t="s">
        <v>81</v>
      </c>
      <c r="G15" t="s">
        <v>81</v>
      </c>
      <c r="H15" s="8" t="s">
        <v>1067</v>
      </c>
      <c r="I15">
        <f t="shared" si="0"/>
        <v>600</v>
      </c>
      <c r="J15">
        <f t="shared" si="1"/>
        <v>272.15542200000004</v>
      </c>
      <c r="K15">
        <v>0.374</v>
      </c>
      <c r="L15" s="8">
        <f t="shared" si="2"/>
        <v>101.78612782800002</v>
      </c>
    </row>
    <row r="16" spans="1:12" x14ac:dyDescent="0.2">
      <c r="A16" s="4">
        <v>43371</v>
      </c>
      <c r="B16" t="s">
        <v>48</v>
      </c>
      <c r="C16">
        <v>3</v>
      </c>
      <c r="D16">
        <v>1</v>
      </c>
      <c r="E16">
        <v>40</v>
      </c>
      <c r="F16" t="s">
        <v>81</v>
      </c>
      <c r="G16" t="s">
        <v>81</v>
      </c>
      <c r="H16" s="8" t="s">
        <v>1067</v>
      </c>
      <c r="I16">
        <f t="shared" si="0"/>
        <v>120</v>
      </c>
      <c r="J16">
        <f t="shared" si="1"/>
        <v>54.431084400000003</v>
      </c>
      <c r="K16">
        <v>0.374</v>
      </c>
      <c r="L16" s="8">
        <f t="shared" si="2"/>
        <v>20.3572255656</v>
      </c>
    </row>
    <row r="17" spans="1:24" x14ac:dyDescent="0.2">
      <c r="A17" s="4">
        <v>43374</v>
      </c>
      <c r="B17" t="s">
        <v>48</v>
      </c>
      <c r="C17">
        <v>10</v>
      </c>
      <c r="D17">
        <v>1</v>
      </c>
      <c r="E17">
        <v>40</v>
      </c>
      <c r="F17" t="s">
        <v>81</v>
      </c>
      <c r="G17" t="s">
        <v>81</v>
      </c>
      <c r="H17" s="8" t="s">
        <v>1067</v>
      </c>
      <c r="I17">
        <f t="shared" si="0"/>
        <v>400</v>
      </c>
      <c r="J17">
        <f t="shared" si="1"/>
        <v>181.436948</v>
      </c>
      <c r="K17">
        <v>0.374</v>
      </c>
      <c r="L17" s="8">
        <f t="shared" si="2"/>
        <v>67.857418551999999</v>
      </c>
    </row>
    <row r="18" spans="1:24" x14ac:dyDescent="0.2">
      <c r="A18" s="4">
        <v>43375</v>
      </c>
      <c r="B18" t="s">
        <v>48</v>
      </c>
      <c r="C18">
        <v>4</v>
      </c>
      <c r="D18">
        <v>1</v>
      </c>
      <c r="E18">
        <v>40</v>
      </c>
      <c r="F18" t="s">
        <v>81</v>
      </c>
      <c r="G18" t="s">
        <v>81</v>
      </c>
      <c r="H18" s="8" t="s">
        <v>1067</v>
      </c>
      <c r="I18">
        <f t="shared" si="0"/>
        <v>160</v>
      </c>
      <c r="J18">
        <f t="shared" si="1"/>
        <v>72.574779200000009</v>
      </c>
      <c r="K18">
        <v>0.374</v>
      </c>
      <c r="L18" s="8">
        <f t="shared" si="2"/>
        <v>27.142967420800002</v>
      </c>
    </row>
    <row r="19" spans="1:24" x14ac:dyDescent="0.2">
      <c r="A19" s="4">
        <v>43376</v>
      </c>
      <c r="B19" t="s">
        <v>48</v>
      </c>
      <c r="C19">
        <v>10</v>
      </c>
      <c r="D19">
        <v>1</v>
      </c>
      <c r="E19">
        <v>40</v>
      </c>
      <c r="F19" t="s">
        <v>81</v>
      </c>
      <c r="G19" t="s">
        <v>81</v>
      </c>
      <c r="H19" s="8" t="s">
        <v>1067</v>
      </c>
      <c r="I19">
        <f t="shared" si="0"/>
        <v>400</v>
      </c>
      <c r="J19">
        <f t="shared" si="1"/>
        <v>181.436948</v>
      </c>
      <c r="K19">
        <v>0.374</v>
      </c>
      <c r="L19" s="8">
        <f t="shared" si="2"/>
        <v>67.857418551999999</v>
      </c>
    </row>
    <row r="20" spans="1:24" x14ac:dyDescent="0.2">
      <c r="A20" s="4">
        <v>43377</v>
      </c>
      <c r="B20" t="s">
        <v>48</v>
      </c>
      <c r="C20" s="28">
        <v>5</v>
      </c>
      <c r="D20">
        <v>1</v>
      </c>
      <c r="E20">
        <v>40</v>
      </c>
      <c r="F20" t="s">
        <v>249</v>
      </c>
      <c r="G20" t="s">
        <v>783</v>
      </c>
      <c r="H20" s="8" t="s">
        <v>1067</v>
      </c>
      <c r="I20">
        <f t="shared" si="0"/>
        <v>200</v>
      </c>
      <c r="J20">
        <f t="shared" si="1"/>
        <v>90.718474000000001</v>
      </c>
      <c r="K20">
        <v>0.374</v>
      </c>
      <c r="L20" s="8">
        <f t="shared" si="2"/>
        <v>33.928709275999999</v>
      </c>
    </row>
    <row r="21" spans="1:24" x14ac:dyDescent="0.2">
      <c r="A21" s="4">
        <v>43372</v>
      </c>
      <c r="B21" t="s">
        <v>48</v>
      </c>
      <c r="C21">
        <v>2</v>
      </c>
      <c r="D21">
        <v>1</v>
      </c>
      <c r="E21">
        <v>1</v>
      </c>
      <c r="F21" t="s">
        <v>184</v>
      </c>
      <c r="G21" t="s">
        <v>184</v>
      </c>
      <c r="H21" s="8" t="s">
        <v>1067</v>
      </c>
      <c r="I21">
        <f t="shared" si="0"/>
        <v>2</v>
      </c>
      <c r="J21">
        <f t="shared" si="1"/>
        <v>0.90718474000000004</v>
      </c>
      <c r="K21">
        <v>0.221</v>
      </c>
      <c r="L21" s="8">
        <f t="shared" si="2"/>
        <v>0.20048782754000002</v>
      </c>
    </row>
    <row r="22" spans="1:24" x14ac:dyDescent="0.2">
      <c r="A22" s="4">
        <v>43371</v>
      </c>
      <c r="B22" t="s">
        <v>48</v>
      </c>
      <c r="C22">
        <v>2</v>
      </c>
      <c r="D22">
        <v>1</v>
      </c>
      <c r="E22">
        <v>1</v>
      </c>
      <c r="F22" t="s">
        <v>206</v>
      </c>
      <c r="G22" t="s">
        <v>184</v>
      </c>
      <c r="H22" s="8" t="s">
        <v>1067</v>
      </c>
      <c r="I22">
        <f t="shared" si="0"/>
        <v>2</v>
      </c>
      <c r="J22">
        <f t="shared" si="1"/>
        <v>0.90718474000000004</v>
      </c>
      <c r="K22">
        <v>0.221</v>
      </c>
      <c r="L22" s="8">
        <f t="shared" si="2"/>
        <v>0.20048782754000002</v>
      </c>
    </row>
    <row r="23" spans="1:24" x14ac:dyDescent="0.2">
      <c r="A23" s="4">
        <v>43374</v>
      </c>
      <c r="B23" t="s">
        <v>48</v>
      </c>
      <c r="C23">
        <v>2</v>
      </c>
      <c r="D23">
        <v>1</v>
      </c>
      <c r="E23">
        <v>1</v>
      </c>
      <c r="F23" t="s">
        <v>206</v>
      </c>
      <c r="G23" t="s">
        <v>184</v>
      </c>
      <c r="H23" s="8" t="s">
        <v>1067</v>
      </c>
      <c r="I23">
        <f t="shared" si="0"/>
        <v>2</v>
      </c>
      <c r="J23">
        <f t="shared" si="1"/>
        <v>0.90718474000000004</v>
      </c>
      <c r="K23">
        <v>0.221</v>
      </c>
      <c r="L23" s="8">
        <f t="shared" si="2"/>
        <v>0.20048782754000002</v>
      </c>
      <c r="X23" s="5"/>
    </row>
    <row r="24" spans="1:24" x14ac:dyDescent="0.2">
      <c r="A24" s="4">
        <v>43376</v>
      </c>
      <c r="B24" t="s">
        <v>48</v>
      </c>
      <c r="C24">
        <v>2</v>
      </c>
      <c r="D24">
        <v>1</v>
      </c>
      <c r="E24">
        <v>1</v>
      </c>
      <c r="F24" t="s">
        <v>206</v>
      </c>
      <c r="G24" t="s">
        <v>184</v>
      </c>
      <c r="H24" s="8" t="s">
        <v>1067</v>
      </c>
      <c r="I24">
        <f t="shared" si="0"/>
        <v>2</v>
      </c>
      <c r="J24">
        <f t="shared" si="1"/>
        <v>0.90718474000000004</v>
      </c>
      <c r="K24">
        <v>0.221</v>
      </c>
      <c r="L24" s="8">
        <f t="shared" si="2"/>
        <v>0.20048782754000002</v>
      </c>
      <c r="X24" s="5"/>
    </row>
    <row r="25" spans="1:24" x14ac:dyDescent="0.2">
      <c r="A25" s="4">
        <v>43434</v>
      </c>
      <c r="B25" t="s">
        <v>538</v>
      </c>
      <c r="C25">
        <v>3</v>
      </c>
      <c r="D25">
        <v>6</v>
      </c>
      <c r="E25">
        <v>10</v>
      </c>
      <c r="F25" t="s">
        <v>420</v>
      </c>
      <c r="G25" t="s">
        <v>898</v>
      </c>
      <c r="H25" t="s">
        <v>1071</v>
      </c>
      <c r="I25">
        <f t="shared" si="0"/>
        <v>180</v>
      </c>
      <c r="J25">
        <f t="shared" si="1"/>
        <v>81.646626600000005</v>
      </c>
      <c r="K25">
        <v>0.308</v>
      </c>
      <c r="L25">
        <f t="shared" si="2"/>
        <v>25.1471609928</v>
      </c>
      <c r="O25" s="8"/>
      <c r="P25" s="8"/>
      <c r="Q25" s="8"/>
      <c r="R25" s="9"/>
      <c r="S25" s="9"/>
      <c r="T25" s="9"/>
      <c r="U25" s="9"/>
      <c r="V25" s="8"/>
      <c r="W25" s="9"/>
      <c r="X25" s="5"/>
    </row>
    <row r="26" spans="1:24" x14ac:dyDescent="0.2">
      <c r="A26" s="4">
        <v>43439</v>
      </c>
      <c r="B26" t="s">
        <v>538</v>
      </c>
      <c r="C26">
        <v>1</v>
      </c>
      <c r="D26">
        <v>6</v>
      </c>
      <c r="E26">
        <v>10</v>
      </c>
      <c r="F26" t="s">
        <v>420</v>
      </c>
      <c r="G26" t="s">
        <v>898</v>
      </c>
      <c r="H26" t="s">
        <v>1071</v>
      </c>
      <c r="I26">
        <f t="shared" si="0"/>
        <v>60</v>
      </c>
      <c r="J26">
        <f t="shared" si="1"/>
        <v>27.215542200000002</v>
      </c>
      <c r="K26">
        <v>0.308</v>
      </c>
      <c r="L26">
        <f t="shared" si="2"/>
        <v>8.3823869976000012</v>
      </c>
    </row>
    <row r="27" spans="1:24" x14ac:dyDescent="0.2">
      <c r="A27" s="4">
        <v>43434</v>
      </c>
      <c r="B27" t="s">
        <v>538</v>
      </c>
      <c r="C27">
        <v>2</v>
      </c>
      <c r="D27">
        <v>6</v>
      </c>
      <c r="E27">
        <v>10</v>
      </c>
      <c r="F27" t="s">
        <v>565</v>
      </c>
      <c r="G27" t="s">
        <v>935</v>
      </c>
      <c r="H27" t="s">
        <v>1071</v>
      </c>
      <c r="I27">
        <f t="shared" si="0"/>
        <v>120</v>
      </c>
      <c r="J27">
        <f t="shared" si="1"/>
        <v>54.431084400000003</v>
      </c>
      <c r="K27">
        <v>0.308</v>
      </c>
      <c r="L27">
        <f t="shared" si="2"/>
        <v>16.764773995200002</v>
      </c>
    </row>
    <row r="28" spans="1:24" x14ac:dyDescent="0.2">
      <c r="A28" s="4">
        <v>43434</v>
      </c>
      <c r="B28" t="s">
        <v>538</v>
      </c>
      <c r="C28">
        <v>3</v>
      </c>
      <c r="D28">
        <v>6</v>
      </c>
      <c r="E28">
        <v>10</v>
      </c>
      <c r="F28" t="s">
        <v>540</v>
      </c>
      <c r="G28" t="s">
        <v>897</v>
      </c>
      <c r="H28" t="s">
        <v>1071</v>
      </c>
      <c r="I28">
        <f t="shared" si="0"/>
        <v>180</v>
      </c>
      <c r="J28">
        <f t="shared" si="1"/>
        <v>81.646626600000005</v>
      </c>
      <c r="K28">
        <v>0.308</v>
      </c>
      <c r="L28">
        <f t="shared" si="2"/>
        <v>25.1471609928</v>
      </c>
    </row>
    <row r="29" spans="1:24" x14ac:dyDescent="0.2">
      <c r="A29" s="4">
        <v>43439</v>
      </c>
      <c r="B29" t="s">
        <v>538</v>
      </c>
      <c r="C29">
        <v>1</v>
      </c>
      <c r="D29">
        <v>6</v>
      </c>
      <c r="E29">
        <v>10</v>
      </c>
      <c r="F29" t="s">
        <v>440</v>
      </c>
      <c r="G29" t="s">
        <v>922</v>
      </c>
      <c r="H29" t="s">
        <v>1071</v>
      </c>
      <c r="I29">
        <f t="shared" si="0"/>
        <v>60</v>
      </c>
      <c r="J29">
        <f t="shared" si="1"/>
        <v>27.215542200000002</v>
      </c>
      <c r="K29">
        <v>0.308</v>
      </c>
      <c r="L29">
        <f t="shared" si="2"/>
        <v>8.3823869976000012</v>
      </c>
    </row>
    <row r="30" spans="1:24" x14ac:dyDescent="0.2">
      <c r="A30" s="4">
        <v>43439</v>
      </c>
      <c r="B30" t="s">
        <v>538</v>
      </c>
      <c r="C30">
        <v>1</v>
      </c>
      <c r="D30">
        <v>1</v>
      </c>
      <c r="E30">
        <v>20</v>
      </c>
      <c r="F30" t="s">
        <v>591</v>
      </c>
      <c r="G30" t="s">
        <v>920</v>
      </c>
      <c r="H30" t="s">
        <v>1071</v>
      </c>
      <c r="I30">
        <f t="shared" si="0"/>
        <v>20</v>
      </c>
      <c r="J30">
        <f t="shared" si="1"/>
        <v>9.0718474000000011</v>
      </c>
      <c r="K30">
        <v>0.308</v>
      </c>
      <c r="L30">
        <f t="shared" si="2"/>
        <v>2.7941289992000002</v>
      </c>
      <c r="O30" s="10"/>
      <c r="P30" s="8"/>
      <c r="Q30" s="8"/>
      <c r="R30" s="9"/>
      <c r="S30" s="9"/>
      <c r="T30" s="9"/>
      <c r="U30" s="9"/>
      <c r="V30" s="8"/>
      <c r="W30" s="9"/>
      <c r="X30" s="5"/>
    </row>
    <row r="31" spans="1:24" x14ac:dyDescent="0.2">
      <c r="A31" s="4">
        <v>43371</v>
      </c>
      <c r="B31" t="s">
        <v>48</v>
      </c>
      <c r="C31">
        <v>6</v>
      </c>
      <c r="D31">
        <v>1</v>
      </c>
      <c r="E31" s="6">
        <v>10</v>
      </c>
      <c r="F31" t="s">
        <v>83</v>
      </c>
      <c r="G31" t="s">
        <v>936</v>
      </c>
      <c r="H31" s="8" t="s">
        <v>1067</v>
      </c>
      <c r="I31">
        <f t="shared" si="0"/>
        <v>60</v>
      </c>
      <c r="J31">
        <f t="shared" si="1"/>
        <v>27.215542200000002</v>
      </c>
      <c r="K31">
        <v>0.66200000000000003</v>
      </c>
      <c r="L31" s="8">
        <f t="shared" si="2"/>
        <v>18.016688936400001</v>
      </c>
      <c r="O31" s="8"/>
      <c r="P31" s="8"/>
      <c r="Q31" s="8"/>
      <c r="R31" s="9"/>
      <c r="S31" s="9"/>
      <c r="T31" s="9"/>
      <c r="U31" s="9"/>
      <c r="V31" s="8"/>
      <c r="W31" s="9"/>
      <c r="X31" s="5"/>
    </row>
    <row r="32" spans="1:24" x14ac:dyDescent="0.2">
      <c r="A32" s="4">
        <v>43374</v>
      </c>
      <c r="B32" t="s">
        <v>48</v>
      </c>
      <c r="C32">
        <v>10</v>
      </c>
      <c r="D32">
        <v>1</v>
      </c>
      <c r="E32">
        <v>10</v>
      </c>
      <c r="F32" t="s">
        <v>83</v>
      </c>
      <c r="G32" t="s">
        <v>936</v>
      </c>
      <c r="H32" s="8" t="s">
        <v>1067</v>
      </c>
      <c r="I32">
        <f t="shared" si="0"/>
        <v>100</v>
      </c>
      <c r="J32">
        <f t="shared" si="1"/>
        <v>45.359237</v>
      </c>
      <c r="K32">
        <v>0.66200000000000003</v>
      </c>
      <c r="L32" s="8">
        <f t="shared" si="2"/>
        <v>30.027814894000002</v>
      </c>
      <c r="O32" s="8"/>
      <c r="P32" s="8"/>
      <c r="Q32" s="8"/>
      <c r="R32" s="9"/>
      <c r="S32" s="9"/>
      <c r="T32" s="9"/>
      <c r="U32" s="9"/>
      <c r="V32" s="8"/>
      <c r="W32" s="9"/>
      <c r="X32" s="5"/>
    </row>
    <row r="33" spans="1:24" x14ac:dyDescent="0.2">
      <c r="A33" s="4">
        <v>43375</v>
      </c>
      <c r="B33" t="s">
        <v>48</v>
      </c>
      <c r="C33">
        <v>6</v>
      </c>
      <c r="D33">
        <v>1</v>
      </c>
      <c r="E33">
        <v>10</v>
      </c>
      <c r="F33" t="s">
        <v>83</v>
      </c>
      <c r="G33" t="s">
        <v>936</v>
      </c>
      <c r="H33" s="8" t="s">
        <v>1067</v>
      </c>
      <c r="I33">
        <f t="shared" si="0"/>
        <v>60</v>
      </c>
      <c r="J33">
        <f t="shared" si="1"/>
        <v>27.215542200000002</v>
      </c>
      <c r="K33">
        <v>0.66200000000000003</v>
      </c>
      <c r="L33" s="8">
        <f t="shared" si="2"/>
        <v>18.016688936400001</v>
      </c>
      <c r="O33" s="8"/>
      <c r="P33" s="8"/>
      <c r="Q33" s="8"/>
      <c r="R33" s="9"/>
      <c r="S33" s="9"/>
      <c r="T33" s="9"/>
      <c r="U33" s="9"/>
      <c r="V33" s="8"/>
      <c r="W33" s="9"/>
      <c r="X33" s="11"/>
    </row>
    <row r="34" spans="1:24" x14ac:dyDescent="0.2">
      <c r="A34" s="4">
        <v>43376</v>
      </c>
      <c r="B34" t="s">
        <v>48</v>
      </c>
      <c r="C34">
        <v>13</v>
      </c>
      <c r="D34">
        <v>1</v>
      </c>
      <c r="E34">
        <v>10</v>
      </c>
      <c r="F34" t="s">
        <v>236</v>
      </c>
      <c r="G34" t="s">
        <v>936</v>
      </c>
      <c r="H34" s="8" t="s">
        <v>1067</v>
      </c>
      <c r="I34">
        <f t="shared" si="0"/>
        <v>130</v>
      </c>
      <c r="J34">
        <f t="shared" si="1"/>
        <v>58.967008100000001</v>
      </c>
      <c r="K34">
        <v>0.66200000000000003</v>
      </c>
      <c r="L34" s="8">
        <f t="shared" si="2"/>
        <v>39.036159362200003</v>
      </c>
    </row>
    <row r="35" spans="1:24" x14ac:dyDescent="0.2">
      <c r="A35" s="4">
        <v>43377</v>
      </c>
      <c r="B35" t="s">
        <v>48</v>
      </c>
      <c r="C35" s="28">
        <v>3</v>
      </c>
      <c r="D35">
        <v>1</v>
      </c>
      <c r="E35">
        <v>10</v>
      </c>
      <c r="F35" t="s">
        <v>251</v>
      </c>
      <c r="G35" t="s">
        <v>936</v>
      </c>
      <c r="H35" s="8" t="s">
        <v>1067</v>
      </c>
      <c r="I35">
        <f t="shared" si="0"/>
        <v>30</v>
      </c>
      <c r="J35">
        <f t="shared" si="1"/>
        <v>13.607771100000001</v>
      </c>
      <c r="K35">
        <v>0.66200000000000003</v>
      </c>
      <c r="L35" s="8">
        <f t="shared" si="2"/>
        <v>9.0083444682000007</v>
      </c>
    </row>
    <row r="36" spans="1:24" x14ac:dyDescent="0.2">
      <c r="A36" s="4">
        <v>43376</v>
      </c>
      <c r="B36" t="s">
        <v>9</v>
      </c>
      <c r="C36">
        <v>1</v>
      </c>
      <c r="D36">
        <v>1</v>
      </c>
      <c r="E36">
        <v>100</v>
      </c>
      <c r="F36" t="s">
        <v>11</v>
      </c>
      <c r="G36" t="s">
        <v>10</v>
      </c>
      <c r="H36" s="8" t="s">
        <v>1072</v>
      </c>
      <c r="I36">
        <f t="shared" si="0"/>
        <v>100</v>
      </c>
      <c r="J36">
        <f t="shared" si="1"/>
        <v>45.359237</v>
      </c>
      <c r="K36">
        <v>32.845999999999997</v>
      </c>
      <c r="L36" s="8">
        <f t="shared" si="2"/>
        <v>1489.8694985019999</v>
      </c>
    </row>
    <row r="37" spans="1:24" x14ac:dyDescent="0.2">
      <c r="A37" s="4">
        <v>43376</v>
      </c>
      <c r="B37" t="s">
        <v>9</v>
      </c>
      <c r="C37">
        <v>1</v>
      </c>
      <c r="D37">
        <v>1</v>
      </c>
      <c r="E37">
        <v>96</v>
      </c>
      <c r="F37" t="s">
        <v>12</v>
      </c>
      <c r="G37" t="s">
        <v>10</v>
      </c>
      <c r="H37" s="8" t="s">
        <v>1072</v>
      </c>
      <c r="I37">
        <f t="shared" si="0"/>
        <v>96</v>
      </c>
      <c r="J37">
        <f t="shared" si="1"/>
        <v>43.544867520000004</v>
      </c>
      <c r="K37">
        <v>32.845999999999997</v>
      </c>
      <c r="L37" s="8">
        <f t="shared" si="2"/>
        <v>1430.2747185619201</v>
      </c>
    </row>
    <row r="38" spans="1:24" x14ac:dyDescent="0.2">
      <c r="A38" s="10">
        <v>43371</v>
      </c>
      <c r="B38" s="8" t="s">
        <v>9</v>
      </c>
      <c r="C38">
        <v>1</v>
      </c>
      <c r="D38">
        <v>1</v>
      </c>
      <c r="E38" s="9">
        <v>120</v>
      </c>
      <c r="F38" s="9" t="s">
        <v>12</v>
      </c>
      <c r="G38" s="9" t="s">
        <v>10</v>
      </c>
      <c r="H38" s="8" t="s">
        <v>1072</v>
      </c>
      <c r="I38">
        <f t="shared" si="0"/>
        <v>120</v>
      </c>
      <c r="J38">
        <f t="shared" si="1"/>
        <v>54.431084400000003</v>
      </c>
      <c r="K38">
        <v>32.845999999999997</v>
      </c>
      <c r="L38" s="8">
        <f t="shared" si="2"/>
        <v>1787.8433982023998</v>
      </c>
    </row>
    <row r="39" spans="1:24" x14ac:dyDescent="0.2">
      <c r="A39" s="10">
        <v>43371</v>
      </c>
      <c r="B39" s="8" t="s">
        <v>9</v>
      </c>
      <c r="C39">
        <v>1</v>
      </c>
      <c r="D39">
        <v>1</v>
      </c>
      <c r="E39" s="9">
        <v>30</v>
      </c>
      <c r="F39" s="9" t="s">
        <v>174</v>
      </c>
      <c r="G39" s="9" t="s">
        <v>10</v>
      </c>
      <c r="H39" s="8" t="s">
        <v>1072</v>
      </c>
      <c r="I39">
        <f t="shared" si="0"/>
        <v>30</v>
      </c>
      <c r="J39">
        <f t="shared" si="1"/>
        <v>13.607771100000001</v>
      </c>
      <c r="K39">
        <v>32.845999999999997</v>
      </c>
      <c r="L39" s="8">
        <f t="shared" si="2"/>
        <v>446.96084955059996</v>
      </c>
    </row>
    <row r="40" spans="1:24" x14ac:dyDescent="0.2">
      <c r="A40" s="10">
        <v>43371</v>
      </c>
      <c r="B40" s="9" t="s">
        <v>175</v>
      </c>
      <c r="C40">
        <v>1</v>
      </c>
      <c r="D40">
        <v>1</v>
      </c>
      <c r="E40" s="9">
        <v>150.88</v>
      </c>
      <c r="F40" s="9" t="s">
        <v>177</v>
      </c>
      <c r="G40" s="9" t="s">
        <v>10</v>
      </c>
      <c r="H40" s="8" t="s">
        <v>1072</v>
      </c>
      <c r="I40">
        <f t="shared" si="0"/>
        <v>150.88</v>
      </c>
      <c r="J40">
        <f t="shared" si="1"/>
        <v>68.438016785600013</v>
      </c>
      <c r="K40">
        <v>32.845999999999997</v>
      </c>
      <c r="L40" s="8">
        <f t="shared" si="2"/>
        <v>2247.915099339818</v>
      </c>
    </row>
    <row r="41" spans="1:24" x14ac:dyDescent="0.2">
      <c r="A41" s="10">
        <v>43371</v>
      </c>
      <c r="B41" s="8" t="s">
        <v>9</v>
      </c>
      <c r="C41">
        <v>1</v>
      </c>
      <c r="D41">
        <v>1</v>
      </c>
      <c r="E41" s="9">
        <v>90</v>
      </c>
      <c r="F41" s="9" t="s">
        <v>12</v>
      </c>
      <c r="G41" s="9" t="s">
        <v>10</v>
      </c>
      <c r="H41" s="8" t="s">
        <v>1072</v>
      </c>
      <c r="I41">
        <f t="shared" si="0"/>
        <v>90</v>
      </c>
      <c r="J41">
        <f t="shared" si="1"/>
        <v>40.823313300000002</v>
      </c>
      <c r="K41">
        <v>32.845999999999997</v>
      </c>
      <c r="L41" s="8">
        <f t="shared" si="2"/>
        <v>1340.8825486517999</v>
      </c>
      <c r="O41" s="4"/>
      <c r="R41" s="9"/>
      <c r="S41" s="9"/>
      <c r="T41" s="9"/>
      <c r="U41" s="9"/>
      <c r="V41" s="8"/>
      <c r="W41" s="8"/>
      <c r="X41" s="5"/>
    </row>
    <row r="42" spans="1:24" x14ac:dyDescent="0.2">
      <c r="A42" s="4">
        <v>43371</v>
      </c>
      <c r="B42" t="s">
        <v>201</v>
      </c>
      <c r="C42">
        <v>1</v>
      </c>
      <c r="D42">
        <v>1</v>
      </c>
      <c r="E42">
        <v>50</v>
      </c>
      <c r="F42" t="s">
        <v>198</v>
      </c>
      <c r="G42" t="s">
        <v>10</v>
      </c>
      <c r="H42" s="8" t="s">
        <v>1072</v>
      </c>
      <c r="I42">
        <f t="shared" si="0"/>
        <v>50</v>
      </c>
      <c r="J42">
        <f t="shared" si="1"/>
        <v>22.6796185</v>
      </c>
      <c r="K42">
        <v>32.845999999999997</v>
      </c>
      <c r="L42" s="8">
        <f t="shared" si="2"/>
        <v>744.93474925099997</v>
      </c>
      <c r="R42" s="9"/>
      <c r="S42" s="9"/>
      <c r="T42" s="9"/>
      <c r="U42" s="9"/>
      <c r="V42" s="8"/>
      <c r="W42" s="8"/>
      <c r="X42" s="5"/>
    </row>
    <row r="43" spans="1:24" x14ac:dyDescent="0.2">
      <c r="A43" s="4">
        <v>43434</v>
      </c>
      <c r="B43" t="s">
        <v>525</v>
      </c>
      <c r="C43">
        <v>1</v>
      </c>
      <c r="D43">
        <v>1</v>
      </c>
      <c r="E43">
        <v>220.62</v>
      </c>
      <c r="F43" t="s">
        <v>397</v>
      </c>
      <c r="G43" t="s">
        <v>850</v>
      </c>
      <c r="H43" t="s">
        <v>1072</v>
      </c>
      <c r="I43">
        <f t="shared" si="0"/>
        <v>220.62</v>
      </c>
      <c r="J43">
        <f t="shared" si="1"/>
        <v>100.0715486694</v>
      </c>
      <c r="K43">
        <v>32.845999999999997</v>
      </c>
      <c r="L43">
        <f t="shared" si="2"/>
        <v>3286.9500875951121</v>
      </c>
      <c r="R43" s="9"/>
      <c r="S43" s="9"/>
      <c r="T43" s="9"/>
      <c r="U43" s="9"/>
      <c r="V43" s="8"/>
      <c r="W43" s="8"/>
      <c r="X43" s="5"/>
    </row>
    <row r="44" spans="1:24" x14ac:dyDescent="0.2">
      <c r="A44" s="4">
        <v>43439</v>
      </c>
      <c r="B44" t="s">
        <v>525</v>
      </c>
      <c r="C44">
        <v>4</v>
      </c>
      <c r="D44">
        <v>1</v>
      </c>
      <c r="E44">
        <v>10</v>
      </c>
      <c r="F44" t="s">
        <v>588</v>
      </c>
      <c r="G44" t="s">
        <v>10</v>
      </c>
      <c r="H44" t="s">
        <v>1072</v>
      </c>
      <c r="I44">
        <f t="shared" si="0"/>
        <v>40</v>
      </c>
      <c r="J44">
        <f t="shared" si="1"/>
        <v>18.143694800000002</v>
      </c>
      <c r="K44">
        <v>32.845999999999997</v>
      </c>
      <c r="L44">
        <f t="shared" si="2"/>
        <v>595.94779940080002</v>
      </c>
      <c r="R44" s="9"/>
      <c r="S44" s="9"/>
      <c r="T44" s="9"/>
      <c r="U44" s="9"/>
      <c r="V44" s="8"/>
      <c r="W44" s="8"/>
      <c r="X44" s="5"/>
    </row>
    <row r="45" spans="1:24" x14ac:dyDescent="0.2">
      <c r="A45" s="4">
        <v>43439</v>
      </c>
      <c r="B45" t="s">
        <v>525</v>
      </c>
      <c r="C45">
        <v>1</v>
      </c>
      <c r="D45">
        <v>1</v>
      </c>
      <c r="E45">
        <v>143.28</v>
      </c>
      <c r="F45" t="s">
        <v>397</v>
      </c>
      <c r="G45" t="s">
        <v>850</v>
      </c>
      <c r="H45" t="s">
        <v>1072</v>
      </c>
      <c r="I45">
        <f t="shared" si="0"/>
        <v>143.28</v>
      </c>
      <c r="J45">
        <f t="shared" si="1"/>
        <v>64.990714773600004</v>
      </c>
      <c r="K45">
        <v>32.845999999999997</v>
      </c>
      <c r="L45">
        <f t="shared" si="2"/>
        <v>2134.6850174536653</v>
      </c>
      <c r="O45" s="4"/>
      <c r="R45" s="9"/>
      <c r="S45" s="9"/>
      <c r="T45" s="9"/>
      <c r="U45" s="9"/>
      <c r="V45" s="8"/>
      <c r="W45" s="8"/>
      <c r="X45" s="5"/>
    </row>
    <row r="46" spans="1:24" x14ac:dyDescent="0.2">
      <c r="A46" s="4">
        <v>43371</v>
      </c>
      <c r="B46" t="s">
        <v>48</v>
      </c>
      <c r="C46">
        <v>1</v>
      </c>
      <c r="D46">
        <v>1</v>
      </c>
      <c r="E46" s="6">
        <v>25</v>
      </c>
      <c r="F46" t="s">
        <v>203</v>
      </c>
      <c r="G46" t="s">
        <v>803</v>
      </c>
      <c r="H46" s="8" t="s">
        <v>1067</v>
      </c>
      <c r="I46">
        <f t="shared" si="0"/>
        <v>25</v>
      </c>
      <c r="J46">
        <f t="shared" si="1"/>
        <v>11.33980925</v>
      </c>
      <c r="K46">
        <v>0.19400000000000001</v>
      </c>
      <c r="L46" s="8">
        <f t="shared" si="2"/>
        <v>2.1999229945000001</v>
      </c>
      <c r="R46" s="9"/>
      <c r="S46" s="9"/>
      <c r="T46" s="9"/>
      <c r="U46" s="9"/>
      <c r="V46" s="8"/>
      <c r="W46" s="8"/>
      <c r="X46" s="5"/>
    </row>
    <row r="47" spans="1:24" x14ac:dyDescent="0.2">
      <c r="A47" s="4">
        <v>43434</v>
      </c>
      <c r="B47" t="s">
        <v>531</v>
      </c>
      <c r="C47">
        <v>4</v>
      </c>
      <c r="D47">
        <v>40</v>
      </c>
      <c r="E47">
        <f>4/16</f>
        <v>0.25</v>
      </c>
      <c r="F47" t="s">
        <v>536</v>
      </c>
      <c r="G47" s="6" t="s">
        <v>893</v>
      </c>
      <c r="H47" t="s">
        <v>1071</v>
      </c>
      <c r="I47">
        <f t="shared" si="0"/>
        <v>40</v>
      </c>
      <c r="J47">
        <f t="shared" si="1"/>
        <v>18.143694800000002</v>
      </c>
      <c r="K47">
        <v>3.5270000000000001</v>
      </c>
      <c r="L47">
        <f t="shared" si="2"/>
        <v>63.992811559600007</v>
      </c>
      <c r="R47" s="9"/>
      <c r="S47" s="9"/>
      <c r="T47" s="9"/>
      <c r="U47" s="9"/>
      <c r="V47" s="8"/>
      <c r="W47" s="8"/>
      <c r="X47" s="5"/>
    </row>
    <row r="48" spans="1:24" x14ac:dyDescent="0.2">
      <c r="A48" s="4">
        <v>43434</v>
      </c>
      <c r="B48" t="s">
        <v>531</v>
      </c>
      <c r="C48">
        <v>2</v>
      </c>
      <c r="D48">
        <v>2</v>
      </c>
      <c r="E48">
        <v>5</v>
      </c>
      <c r="F48" t="s">
        <v>535</v>
      </c>
      <c r="G48" s="14" t="s">
        <v>1087</v>
      </c>
      <c r="H48" s="6" t="s">
        <v>1071</v>
      </c>
      <c r="I48">
        <f t="shared" si="0"/>
        <v>20</v>
      </c>
      <c r="J48">
        <f t="shared" si="1"/>
        <v>9.0718474000000011</v>
      </c>
      <c r="K48">
        <v>0</v>
      </c>
      <c r="L48">
        <f t="shared" si="2"/>
        <v>0</v>
      </c>
      <c r="R48" s="9"/>
      <c r="S48" s="9"/>
      <c r="T48" s="9"/>
      <c r="U48" s="9"/>
      <c r="V48" s="8"/>
      <c r="W48" s="8"/>
      <c r="X48" s="5"/>
    </row>
    <row r="49" spans="1:12" x14ac:dyDescent="0.2">
      <c r="A49" s="4">
        <v>43434</v>
      </c>
      <c r="B49" t="s">
        <v>531</v>
      </c>
      <c r="C49">
        <v>2</v>
      </c>
      <c r="D49">
        <v>210</v>
      </c>
      <c r="E49" t="s">
        <v>1017</v>
      </c>
      <c r="F49" t="s">
        <v>409</v>
      </c>
      <c r="G49" s="14" t="s">
        <v>1086</v>
      </c>
      <c r="H49" s="9" t="s">
        <v>1071</v>
      </c>
      <c r="I49">
        <v>0</v>
      </c>
      <c r="J49">
        <f t="shared" si="1"/>
        <v>0</v>
      </c>
      <c r="K49">
        <v>2.2999999999999998</v>
      </c>
      <c r="L49">
        <f t="shared" si="2"/>
        <v>0</v>
      </c>
    </row>
    <row r="50" spans="1:12" x14ac:dyDescent="0.2">
      <c r="A50" s="4">
        <v>43434</v>
      </c>
      <c r="B50" t="s">
        <v>531</v>
      </c>
      <c r="C50">
        <v>4</v>
      </c>
      <c r="D50">
        <v>48</v>
      </c>
      <c r="E50">
        <v>0.18124999999999999</v>
      </c>
      <c r="F50" t="s">
        <v>417</v>
      </c>
      <c r="G50" s="6" t="s">
        <v>895</v>
      </c>
      <c r="H50" t="s">
        <v>1071</v>
      </c>
      <c r="I50">
        <f t="shared" ref="I50:I81" si="3">C50*D50*E50</f>
        <v>34.799999999999997</v>
      </c>
      <c r="J50">
        <f t="shared" si="1"/>
        <v>15.785014475999999</v>
      </c>
      <c r="K50">
        <v>6.87</v>
      </c>
      <c r="L50">
        <f t="shared" si="2"/>
        <v>108.44304945012</v>
      </c>
    </row>
    <row r="51" spans="1:12" x14ac:dyDescent="0.2">
      <c r="A51" s="4">
        <v>43372</v>
      </c>
      <c r="B51" t="s">
        <v>48</v>
      </c>
      <c r="C51">
        <v>2</v>
      </c>
      <c r="D51">
        <v>1</v>
      </c>
      <c r="E51">
        <v>6</v>
      </c>
      <c r="F51" t="s">
        <v>84</v>
      </c>
      <c r="G51" t="s">
        <v>84</v>
      </c>
      <c r="H51" s="8" t="s">
        <v>1067</v>
      </c>
      <c r="I51">
        <f t="shared" si="3"/>
        <v>12</v>
      </c>
      <c r="J51">
        <f t="shared" si="1"/>
        <v>5.4431084400000005</v>
      </c>
      <c r="K51">
        <v>0.59899999999999998</v>
      </c>
      <c r="L51" s="8">
        <f t="shared" si="2"/>
        <v>3.26042195556</v>
      </c>
    </row>
    <row r="52" spans="1:12" x14ac:dyDescent="0.2">
      <c r="A52" s="4">
        <v>43371</v>
      </c>
      <c r="B52" t="s">
        <v>48</v>
      </c>
      <c r="C52">
        <v>6</v>
      </c>
      <c r="D52">
        <v>1</v>
      </c>
      <c r="E52" s="6">
        <v>6</v>
      </c>
      <c r="F52" t="s">
        <v>84</v>
      </c>
      <c r="G52" t="s">
        <v>84</v>
      </c>
      <c r="H52" s="8" t="s">
        <v>1067</v>
      </c>
      <c r="I52">
        <f t="shared" si="3"/>
        <v>36</v>
      </c>
      <c r="J52">
        <f t="shared" si="1"/>
        <v>16.329325319999999</v>
      </c>
      <c r="K52">
        <v>0.59899999999999998</v>
      </c>
      <c r="L52" s="8">
        <f t="shared" si="2"/>
        <v>9.7812658666799983</v>
      </c>
    </row>
    <row r="53" spans="1:12" x14ac:dyDescent="0.2">
      <c r="A53" s="4">
        <v>43374</v>
      </c>
      <c r="B53" t="s">
        <v>48</v>
      </c>
      <c r="C53">
        <v>2</v>
      </c>
      <c r="D53">
        <v>1</v>
      </c>
      <c r="E53">
        <v>6</v>
      </c>
      <c r="F53" t="s">
        <v>84</v>
      </c>
      <c r="G53" t="s">
        <v>84</v>
      </c>
      <c r="H53" s="8" t="s">
        <v>1067</v>
      </c>
      <c r="I53">
        <f t="shared" si="3"/>
        <v>12</v>
      </c>
      <c r="J53">
        <f t="shared" si="1"/>
        <v>5.4431084400000005</v>
      </c>
      <c r="K53">
        <v>0.59899999999999998</v>
      </c>
      <c r="L53" s="8">
        <f t="shared" si="2"/>
        <v>3.26042195556</v>
      </c>
    </row>
    <row r="54" spans="1:12" x14ac:dyDescent="0.2">
      <c r="A54" s="4">
        <v>43375</v>
      </c>
      <c r="B54" t="s">
        <v>48</v>
      </c>
      <c r="C54">
        <v>5</v>
      </c>
      <c r="D54">
        <v>1</v>
      </c>
      <c r="E54">
        <v>6</v>
      </c>
      <c r="F54" t="s">
        <v>84</v>
      </c>
      <c r="G54" t="s">
        <v>84</v>
      </c>
      <c r="H54" s="8" t="s">
        <v>1067</v>
      </c>
      <c r="I54">
        <f t="shared" si="3"/>
        <v>30</v>
      </c>
      <c r="J54">
        <f t="shared" si="1"/>
        <v>13.607771100000001</v>
      </c>
      <c r="K54">
        <v>0.59899999999999998</v>
      </c>
      <c r="L54" s="8">
        <f t="shared" si="2"/>
        <v>8.151054888900001</v>
      </c>
    </row>
    <row r="55" spans="1:12" x14ac:dyDescent="0.2">
      <c r="A55" s="4">
        <v>43377</v>
      </c>
      <c r="B55" t="s">
        <v>48</v>
      </c>
      <c r="C55" s="28">
        <v>5</v>
      </c>
      <c r="D55">
        <v>1</v>
      </c>
      <c r="E55">
        <v>6</v>
      </c>
      <c r="F55" t="s">
        <v>252</v>
      </c>
      <c r="G55" t="s">
        <v>252</v>
      </c>
      <c r="H55" s="8" t="s">
        <v>1067</v>
      </c>
      <c r="I55">
        <f t="shared" si="3"/>
        <v>30</v>
      </c>
      <c r="J55">
        <f t="shared" si="1"/>
        <v>13.607771100000001</v>
      </c>
      <c r="K55">
        <v>0.59899999999999998</v>
      </c>
      <c r="L55" s="8">
        <f t="shared" si="2"/>
        <v>8.151054888900001</v>
      </c>
    </row>
    <row r="56" spans="1:12" x14ac:dyDescent="0.2">
      <c r="A56" s="4">
        <v>43376</v>
      </c>
      <c r="B56" t="s">
        <v>48</v>
      </c>
      <c r="C56">
        <v>1</v>
      </c>
      <c r="D56">
        <v>1</v>
      </c>
      <c r="E56">
        <v>30</v>
      </c>
      <c r="F56" t="s">
        <v>237</v>
      </c>
      <c r="G56" t="s">
        <v>237</v>
      </c>
      <c r="H56" s="8" t="s">
        <v>1067</v>
      </c>
      <c r="I56">
        <f t="shared" si="3"/>
        <v>30</v>
      </c>
      <c r="J56">
        <f t="shared" si="1"/>
        <v>13.607771100000001</v>
      </c>
      <c r="K56">
        <v>0.13400000000000001</v>
      </c>
      <c r="L56" s="8">
        <f t="shared" si="2"/>
        <v>1.8234413274000003</v>
      </c>
    </row>
    <row r="57" spans="1:12" x14ac:dyDescent="0.2">
      <c r="A57" s="4">
        <v>43434</v>
      </c>
      <c r="B57" t="s">
        <v>538</v>
      </c>
      <c r="C57">
        <v>1</v>
      </c>
      <c r="D57">
        <v>1</v>
      </c>
      <c r="E57">
        <v>25</v>
      </c>
      <c r="F57" t="s">
        <v>551</v>
      </c>
      <c r="G57" s="6" t="s">
        <v>868</v>
      </c>
      <c r="H57" t="s">
        <v>1071</v>
      </c>
      <c r="I57">
        <f t="shared" si="3"/>
        <v>25</v>
      </c>
      <c r="J57">
        <f t="shared" si="1"/>
        <v>11.33980925</v>
      </c>
      <c r="K57">
        <v>1.28</v>
      </c>
      <c r="L57">
        <f t="shared" si="2"/>
        <v>14.514955840000001</v>
      </c>
    </row>
    <row r="58" spans="1:12" x14ac:dyDescent="0.2">
      <c r="A58" s="4">
        <v>43439</v>
      </c>
      <c r="B58" t="s">
        <v>531</v>
      </c>
      <c r="C58">
        <v>1</v>
      </c>
      <c r="D58">
        <v>10</v>
      </c>
      <c r="E58">
        <v>1</v>
      </c>
      <c r="F58" t="s">
        <v>410</v>
      </c>
      <c r="G58" s="6" t="s">
        <v>868</v>
      </c>
      <c r="H58" t="s">
        <v>1071</v>
      </c>
      <c r="I58">
        <f t="shared" si="3"/>
        <v>10</v>
      </c>
      <c r="J58">
        <f t="shared" si="1"/>
        <v>4.5359237000000006</v>
      </c>
      <c r="K58">
        <v>1.28</v>
      </c>
      <c r="L58">
        <f t="shared" si="2"/>
        <v>5.8059823360000005</v>
      </c>
    </row>
    <row r="59" spans="1:12" x14ac:dyDescent="0.2">
      <c r="A59" s="4">
        <v>43371</v>
      </c>
      <c r="B59" t="s">
        <v>48</v>
      </c>
      <c r="C59">
        <v>10</v>
      </c>
      <c r="D59">
        <v>1</v>
      </c>
      <c r="E59" s="6">
        <v>12</v>
      </c>
      <c r="F59" t="s">
        <v>204</v>
      </c>
      <c r="G59" t="s">
        <v>204</v>
      </c>
      <c r="H59" s="8" t="s">
        <v>1067</v>
      </c>
      <c r="I59">
        <f t="shared" si="3"/>
        <v>120</v>
      </c>
      <c r="J59">
        <f t="shared" si="1"/>
        <v>54.431084400000003</v>
      </c>
      <c r="K59">
        <v>0.79700000000000004</v>
      </c>
      <c r="L59" s="8">
        <f t="shared" si="2"/>
        <v>43.381574266800001</v>
      </c>
    </row>
    <row r="60" spans="1:12" x14ac:dyDescent="0.2">
      <c r="A60" s="4">
        <v>43374</v>
      </c>
      <c r="B60" t="s">
        <v>48</v>
      </c>
      <c r="C60">
        <v>10</v>
      </c>
      <c r="D60">
        <v>1</v>
      </c>
      <c r="E60">
        <v>12</v>
      </c>
      <c r="F60" t="s">
        <v>204</v>
      </c>
      <c r="G60" t="s">
        <v>204</v>
      </c>
      <c r="H60" s="8" t="s">
        <v>1067</v>
      </c>
      <c r="I60">
        <f t="shared" si="3"/>
        <v>120</v>
      </c>
      <c r="J60">
        <f t="shared" si="1"/>
        <v>54.431084400000003</v>
      </c>
      <c r="K60">
        <v>0.79700000000000004</v>
      </c>
      <c r="L60" s="8">
        <f t="shared" si="2"/>
        <v>43.381574266800001</v>
      </c>
    </row>
    <row r="61" spans="1:12" x14ac:dyDescent="0.2">
      <c r="A61" s="4">
        <v>43375</v>
      </c>
      <c r="B61" t="s">
        <v>48</v>
      </c>
      <c r="C61">
        <v>10</v>
      </c>
      <c r="D61">
        <v>1</v>
      </c>
      <c r="E61">
        <v>12</v>
      </c>
      <c r="F61" t="s">
        <v>204</v>
      </c>
      <c r="G61" t="s">
        <v>204</v>
      </c>
      <c r="H61" s="8" t="s">
        <v>1067</v>
      </c>
      <c r="I61">
        <f t="shared" si="3"/>
        <v>120</v>
      </c>
      <c r="J61">
        <f t="shared" si="1"/>
        <v>54.431084400000003</v>
      </c>
      <c r="K61">
        <v>0.79700000000000004</v>
      </c>
      <c r="L61" s="8">
        <f t="shared" si="2"/>
        <v>43.381574266800001</v>
      </c>
    </row>
    <row r="62" spans="1:12" x14ac:dyDescent="0.2">
      <c r="A62" s="4">
        <v>43376</v>
      </c>
      <c r="B62" t="s">
        <v>48</v>
      </c>
      <c r="C62">
        <v>6</v>
      </c>
      <c r="D62">
        <v>1</v>
      </c>
      <c r="E62">
        <v>12</v>
      </c>
      <c r="F62" t="s">
        <v>204</v>
      </c>
      <c r="G62" t="s">
        <v>204</v>
      </c>
      <c r="H62" s="8" t="s">
        <v>1067</v>
      </c>
      <c r="I62">
        <f t="shared" si="3"/>
        <v>72</v>
      </c>
      <c r="J62">
        <f t="shared" si="1"/>
        <v>32.658650639999998</v>
      </c>
      <c r="K62">
        <v>0.79700000000000004</v>
      </c>
      <c r="L62" s="8">
        <f t="shared" si="2"/>
        <v>26.028944560079999</v>
      </c>
    </row>
    <row r="63" spans="1:12" x14ac:dyDescent="0.2">
      <c r="A63" s="4">
        <v>43377</v>
      </c>
      <c r="B63" t="s">
        <v>48</v>
      </c>
      <c r="C63" s="28">
        <v>7</v>
      </c>
      <c r="D63">
        <v>1</v>
      </c>
      <c r="E63">
        <v>12</v>
      </c>
      <c r="F63" t="s">
        <v>253</v>
      </c>
      <c r="G63" t="s">
        <v>784</v>
      </c>
      <c r="H63" s="8" t="s">
        <v>1067</v>
      </c>
      <c r="I63">
        <f t="shared" si="3"/>
        <v>84</v>
      </c>
      <c r="J63">
        <f t="shared" si="1"/>
        <v>38.101759080000001</v>
      </c>
      <c r="K63">
        <v>0.79700000000000004</v>
      </c>
      <c r="L63" s="8">
        <f t="shared" si="2"/>
        <v>30.367101986760002</v>
      </c>
    </row>
    <row r="64" spans="1:12" x14ac:dyDescent="0.2">
      <c r="A64" s="4">
        <v>43372</v>
      </c>
      <c r="B64" t="s">
        <v>48</v>
      </c>
      <c r="C64">
        <v>10</v>
      </c>
      <c r="D64">
        <v>1</v>
      </c>
      <c r="E64">
        <v>12</v>
      </c>
      <c r="F64" t="s">
        <v>86</v>
      </c>
      <c r="G64" t="s">
        <v>86</v>
      </c>
      <c r="H64" s="8" t="s">
        <v>1067</v>
      </c>
      <c r="I64">
        <f t="shared" si="3"/>
        <v>120</v>
      </c>
      <c r="J64">
        <f t="shared" si="1"/>
        <v>54.431084400000003</v>
      </c>
      <c r="K64">
        <v>0.79700000000000004</v>
      </c>
      <c r="L64" s="8">
        <f t="shared" si="2"/>
        <v>43.381574266800001</v>
      </c>
    </row>
    <row r="65" spans="1:12" x14ac:dyDescent="0.2">
      <c r="A65" s="4">
        <v>43374</v>
      </c>
      <c r="B65" t="s">
        <v>48</v>
      </c>
      <c r="C65">
        <v>2</v>
      </c>
      <c r="D65">
        <v>1</v>
      </c>
      <c r="E65">
        <v>20</v>
      </c>
      <c r="F65" t="s">
        <v>64</v>
      </c>
      <c r="G65" t="s">
        <v>64</v>
      </c>
      <c r="H65" s="8" t="s">
        <v>1067</v>
      </c>
      <c r="I65">
        <f t="shared" si="3"/>
        <v>40</v>
      </c>
      <c r="J65">
        <f t="shared" si="1"/>
        <v>18.143694800000002</v>
      </c>
      <c r="K65">
        <v>0.49</v>
      </c>
      <c r="L65" s="8">
        <f t="shared" si="2"/>
        <v>8.8904104520000011</v>
      </c>
    </row>
    <row r="66" spans="1:12" x14ac:dyDescent="0.2">
      <c r="A66" s="4">
        <v>43376</v>
      </c>
      <c r="B66" t="s">
        <v>48</v>
      </c>
      <c r="C66">
        <v>2</v>
      </c>
      <c r="D66">
        <v>1</v>
      </c>
      <c r="E66">
        <v>20</v>
      </c>
      <c r="F66" t="s">
        <v>245</v>
      </c>
      <c r="G66" t="s">
        <v>245</v>
      </c>
      <c r="H66" s="8" t="s">
        <v>1067</v>
      </c>
      <c r="I66">
        <f t="shared" si="3"/>
        <v>40</v>
      </c>
      <c r="J66">
        <f t="shared" si="1"/>
        <v>18.143694800000002</v>
      </c>
      <c r="K66">
        <v>0.49</v>
      </c>
      <c r="L66" s="8">
        <f t="shared" si="2"/>
        <v>8.8904104520000011</v>
      </c>
    </row>
    <row r="67" spans="1:12" x14ac:dyDescent="0.2">
      <c r="A67" s="4">
        <v>43439</v>
      </c>
      <c r="B67" t="s">
        <v>531</v>
      </c>
      <c r="C67">
        <v>2</v>
      </c>
      <c r="D67">
        <v>12</v>
      </c>
      <c r="E67">
        <f>6*(3.5/16)</f>
        <v>1.3125</v>
      </c>
      <c r="F67" t="s">
        <v>589</v>
      </c>
      <c r="G67" s="6" t="s">
        <v>880</v>
      </c>
      <c r="H67" t="s">
        <v>1071</v>
      </c>
      <c r="I67">
        <f t="shared" si="3"/>
        <v>31.5</v>
      </c>
      <c r="J67">
        <f t="shared" ref="J67:J130" si="4">CONVERT(I67,"lbm","kg")</f>
        <v>14.288159655000001</v>
      </c>
      <c r="K67">
        <v>1.28</v>
      </c>
      <c r="L67">
        <f t="shared" ref="L67:L130" si="5">J67*K67</f>
        <v>18.288844358400002</v>
      </c>
    </row>
    <row r="68" spans="1:12" x14ac:dyDescent="0.2">
      <c r="A68" s="4">
        <v>43434</v>
      </c>
      <c r="B68" t="s">
        <v>517</v>
      </c>
      <c r="C68">
        <v>2</v>
      </c>
      <c r="D68">
        <v>36</v>
      </c>
      <c r="E68">
        <v>1</v>
      </c>
      <c r="F68" t="s">
        <v>382</v>
      </c>
      <c r="G68" t="s">
        <v>845</v>
      </c>
      <c r="H68" t="s">
        <v>1073</v>
      </c>
      <c r="I68">
        <f t="shared" si="3"/>
        <v>72</v>
      </c>
      <c r="J68">
        <f t="shared" si="4"/>
        <v>32.658650639999998</v>
      </c>
      <c r="K68">
        <v>11.52</v>
      </c>
      <c r="L68">
        <f t="shared" si="5"/>
        <v>376.22765537279997</v>
      </c>
    </row>
    <row r="69" spans="1:12" x14ac:dyDescent="0.2">
      <c r="A69" s="4">
        <v>43376</v>
      </c>
      <c r="B69" t="s">
        <v>48</v>
      </c>
      <c r="C69">
        <v>2</v>
      </c>
      <c r="D69">
        <v>1</v>
      </c>
      <c r="E69">
        <v>45</v>
      </c>
      <c r="F69" t="s">
        <v>238</v>
      </c>
      <c r="G69" t="s">
        <v>753</v>
      </c>
      <c r="H69" s="8" t="s">
        <v>1067</v>
      </c>
      <c r="I69">
        <f t="shared" si="3"/>
        <v>90</v>
      </c>
      <c r="J69">
        <f t="shared" si="4"/>
        <v>40.823313300000002</v>
      </c>
      <c r="K69">
        <v>0.219</v>
      </c>
      <c r="L69" s="8">
        <f t="shared" si="5"/>
        <v>8.9403056127000013</v>
      </c>
    </row>
    <row r="70" spans="1:12" x14ac:dyDescent="0.2">
      <c r="A70" s="4">
        <v>43434</v>
      </c>
      <c r="B70" t="s">
        <v>538</v>
      </c>
      <c r="C70">
        <v>4</v>
      </c>
      <c r="D70">
        <v>1</v>
      </c>
      <c r="E70">
        <v>35</v>
      </c>
      <c r="F70" t="s">
        <v>441</v>
      </c>
      <c r="G70" t="s">
        <v>905</v>
      </c>
      <c r="H70" t="s">
        <v>1071</v>
      </c>
      <c r="I70">
        <f t="shared" si="3"/>
        <v>140</v>
      </c>
      <c r="J70">
        <f t="shared" si="4"/>
        <v>63.502931800000006</v>
      </c>
      <c r="K70">
        <v>2.6459999999999999</v>
      </c>
      <c r="L70">
        <f t="shared" si="5"/>
        <v>168.02875754280001</v>
      </c>
    </row>
    <row r="71" spans="1:12" x14ac:dyDescent="0.2">
      <c r="A71" s="4">
        <v>43372</v>
      </c>
      <c r="B71" t="s">
        <v>48</v>
      </c>
      <c r="C71">
        <v>5</v>
      </c>
      <c r="D71">
        <v>1</v>
      </c>
      <c r="E71">
        <v>27</v>
      </c>
      <c r="F71" t="s">
        <v>102</v>
      </c>
      <c r="G71" t="s">
        <v>102</v>
      </c>
      <c r="H71" s="8" t="s">
        <v>1067</v>
      </c>
      <c r="I71">
        <f t="shared" si="3"/>
        <v>135</v>
      </c>
      <c r="J71">
        <f t="shared" si="4"/>
        <v>61.23496995</v>
      </c>
      <c r="K71">
        <v>0.49</v>
      </c>
      <c r="L71" s="8">
        <f t="shared" si="5"/>
        <v>30.005135275499999</v>
      </c>
    </row>
    <row r="72" spans="1:12" x14ac:dyDescent="0.2">
      <c r="A72" s="4">
        <v>43371</v>
      </c>
      <c r="B72" t="s">
        <v>48</v>
      </c>
      <c r="C72">
        <v>7</v>
      </c>
      <c r="D72">
        <v>1</v>
      </c>
      <c r="E72">
        <v>27</v>
      </c>
      <c r="F72" t="s">
        <v>102</v>
      </c>
      <c r="G72" t="s">
        <v>102</v>
      </c>
      <c r="H72" s="8" t="s">
        <v>1067</v>
      </c>
      <c r="I72">
        <f t="shared" si="3"/>
        <v>189</v>
      </c>
      <c r="J72">
        <f t="shared" si="4"/>
        <v>85.728957930000007</v>
      </c>
      <c r="K72">
        <v>0.49</v>
      </c>
      <c r="L72" s="8">
        <f t="shared" si="5"/>
        <v>42.007189385700002</v>
      </c>
    </row>
    <row r="73" spans="1:12" x14ac:dyDescent="0.2">
      <c r="A73" s="4">
        <v>43374</v>
      </c>
      <c r="B73" t="s">
        <v>48</v>
      </c>
      <c r="C73">
        <v>7</v>
      </c>
      <c r="D73">
        <v>1</v>
      </c>
      <c r="E73">
        <v>27</v>
      </c>
      <c r="F73" t="s">
        <v>102</v>
      </c>
      <c r="G73" t="s">
        <v>102</v>
      </c>
      <c r="H73" s="8" t="s">
        <v>1067</v>
      </c>
      <c r="I73">
        <f t="shared" si="3"/>
        <v>189</v>
      </c>
      <c r="J73">
        <f t="shared" si="4"/>
        <v>85.728957930000007</v>
      </c>
      <c r="K73">
        <v>0.49</v>
      </c>
      <c r="L73" s="8">
        <f t="shared" si="5"/>
        <v>42.007189385700002</v>
      </c>
    </row>
    <row r="74" spans="1:12" x14ac:dyDescent="0.2">
      <c r="A74" s="4">
        <v>43376</v>
      </c>
      <c r="B74" t="s">
        <v>48</v>
      </c>
      <c r="C74">
        <v>3</v>
      </c>
      <c r="D74">
        <v>1</v>
      </c>
      <c r="E74">
        <v>27</v>
      </c>
      <c r="F74" t="s">
        <v>102</v>
      </c>
      <c r="G74" t="s">
        <v>102</v>
      </c>
      <c r="H74" s="8" t="s">
        <v>1067</v>
      </c>
      <c r="I74">
        <f t="shared" si="3"/>
        <v>81</v>
      </c>
      <c r="J74">
        <f t="shared" si="4"/>
        <v>36.74098197</v>
      </c>
      <c r="K74">
        <v>0.49</v>
      </c>
      <c r="L74" s="8">
        <f t="shared" si="5"/>
        <v>18.003081165299999</v>
      </c>
    </row>
    <row r="75" spans="1:12" x14ac:dyDescent="0.2">
      <c r="A75" s="4">
        <v>43377</v>
      </c>
      <c r="B75" t="s">
        <v>48</v>
      </c>
      <c r="C75" s="28">
        <v>7</v>
      </c>
      <c r="D75">
        <v>1</v>
      </c>
      <c r="E75">
        <v>27</v>
      </c>
      <c r="F75" t="s">
        <v>258</v>
      </c>
      <c r="G75" t="s">
        <v>788</v>
      </c>
      <c r="H75" s="8" t="s">
        <v>1067</v>
      </c>
      <c r="I75">
        <f t="shared" si="3"/>
        <v>189</v>
      </c>
      <c r="J75">
        <f t="shared" si="4"/>
        <v>85.728957930000007</v>
      </c>
      <c r="K75">
        <v>0.49</v>
      </c>
      <c r="L75" s="8">
        <f t="shared" si="5"/>
        <v>42.007189385700002</v>
      </c>
    </row>
    <row r="76" spans="1:12" x14ac:dyDescent="0.2">
      <c r="A76" s="4">
        <v>43372</v>
      </c>
      <c r="B76" t="s">
        <v>48</v>
      </c>
      <c r="C76">
        <v>1</v>
      </c>
      <c r="D76">
        <v>1</v>
      </c>
      <c r="E76">
        <v>50</v>
      </c>
      <c r="F76" t="s">
        <v>87</v>
      </c>
      <c r="G76" t="s">
        <v>87</v>
      </c>
      <c r="H76" s="8" t="s">
        <v>1067</v>
      </c>
      <c r="I76">
        <f t="shared" si="3"/>
        <v>50</v>
      </c>
      <c r="J76">
        <f t="shared" si="4"/>
        <v>22.6796185</v>
      </c>
      <c r="K76">
        <v>9.1999999999999998E-2</v>
      </c>
      <c r="L76" s="8">
        <f t="shared" si="5"/>
        <v>2.0865249019999998</v>
      </c>
    </row>
    <row r="77" spans="1:12" x14ac:dyDescent="0.2">
      <c r="A77" s="4">
        <v>43372</v>
      </c>
      <c r="B77" t="s">
        <v>48</v>
      </c>
      <c r="C77">
        <v>2</v>
      </c>
      <c r="D77">
        <v>1</v>
      </c>
      <c r="E77">
        <v>20</v>
      </c>
      <c r="F77" t="s">
        <v>87</v>
      </c>
      <c r="G77" t="s">
        <v>87</v>
      </c>
      <c r="H77" s="8" t="s">
        <v>1067</v>
      </c>
      <c r="I77">
        <f t="shared" si="3"/>
        <v>40</v>
      </c>
      <c r="J77">
        <f t="shared" si="4"/>
        <v>18.143694800000002</v>
      </c>
      <c r="K77">
        <v>9.1999999999999998E-2</v>
      </c>
      <c r="L77" s="8">
        <f t="shared" si="5"/>
        <v>1.6692199216000001</v>
      </c>
    </row>
    <row r="78" spans="1:12" x14ac:dyDescent="0.2">
      <c r="A78" s="4">
        <v>43371</v>
      </c>
      <c r="B78" t="s">
        <v>48</v>
      </c>
      <c r="C78">
        <v>1</v>
      </c>
      <c r="D78">
        <v>1</v>
      </c>
      <c r="E78" s="6">
        <v>50</v>
      </c>
      <c r="F78" t="s">
        <v>87</v>
      </c>
      <c r="G78" t="s">
        <v>87</v>
      </c>
      <c r="H78" s="8" t="s">
        <v>1067</v>
      </c>
      <c r="I78">
        <f t="shared" si="3"/>
        <v>50</v>
      </c>
      <c r="J78">
        <f t="shared" si="4"/>
        <v>22.6796185</v>
      </c>
      <c r="K78">
        <v>9.1999999999999998E-2</v>
      </c>
      <c r="L78" s="8">
        <f t="shared" si="5"/>
        <v>2.0865249019999998</v>
      </c>
    </row>
    <row r="79" spans="1:12" x14ac:dyDescent="0.2">
      <c r="A79" s="4">
        <v>43371</v>
      </c>
      <c r="B79" t="s">
        <v>48</v>
      </c>
      <c r="C79">
        <v>2</v>
      </c>
      <c r="D79">
        <v>1</v>
      </c>
      <c r="E79">
        <v>20</v>
      </c>
      <c r="F79" t="s">
        <v>87</v>
      </c>
      <c r="G79" t="s">
        <v>87</v>
      </c>
      <c r="H79" s="8" t="s">
        <v>1067</v>
      </c>
      <c r="I79">
        <f t="shared" si="3"/>
        <v>40</v>
      </c>
      <c r="J79">
        <f t="shared" si="4"/>
        <v>18.143694800000002</v>
      </c>
      <c r="K79">
        <v>9.1999999999999998E-2</v>
      </c>
      <c r="L79" s="8">
        <f t="shared" si="5"/>
        <v>1.6692199216000001</v>
      </c>
    </row>
    <row r="80" spans="1:12" x14ac:dyDescent="0.2">
      <c r="A80" s="4">
        <v>43372</v>
      </c>
      <c r="B80" t="s">
        <v>48</v>
      </c>
      <c r="C80">
        <v>3</v>
      </c>
      <c r="D80">
        <v>1</v>
      </c>
      <c r="E80">
        <v>20</v>
      </c>
      <c r="F80" t="s">
        <v>219</v>
      </c>
      <c r="G80" t="s">
        <v>87</v>
      </c>
      <c r="H80" s="8" t="s">
        <v>1067</v>
      </c>
      <c r="I80">
        <f t="shared" si="3"/>
        <v>60</v>
      </c>
      <c r="J80">
        <f t="shared" si="4"/>
        <v>27.215542200000002</v>
      </c>
      <c r="K80">
        <v>9.1999999999999998E-2</v>
      </c>
      <c r="L80" s="8">
        <f t="shared" si="5"/>
        <v>2.5038298824000003</v>
      </c>
    </row>
    <row r="81" spans="1:12" x14ac:dyDescent="0.2">
      <c r="A81" s="4">
        <v>43374</v>
      </c>
      <c r="B81" t="s">
        <v>48</v>
      </c>
      <c r="C81">
        <v>2</v>
      </c>
      <c r="D81">
        <v>1</v>
      </c>
      <c r="E81">
        <v>50</v>
      </c>
      <c r="F81" t="s">
        <v>87</v>
      </c>
      <c r="G81" t="s">
        <v>87</v>
      </c>
      <c r="H81" s="8" t="s">
        <v>1067</v>
      </c>
      <c r="I81">
        <f t="shared" si="3"/>
        <v>100</v>
      </c>
      <c r="J81">
        <f t="shared" si="4"/>
        <v>45.359237</v>
      </c>
      <c r="K81">
        <v>9.1999999999999998E-2</v>
      </c>
      <c r="L81" s="8">
        <f t="shared" si="5"/>
        <v>4.1730498039999997</v>
      </c>
    </row>
    <row r="82" spans="1:12" x14ac:dyDescent="0.2">
      <c r="A82" s="4">
        <v>43374</v>
      </c>
      <c r="B82" t="s">
        <v>48</v>
      </c>
      <c r="C82">
        <v>1</v>
      </c>
      <c r="D82">
        <v>1</v>
      </c>
      <c r="E82">
        <v>20</v>
      </c>
      <c r="F82" t="s">
        <v>87</v>
      </c>
      <c r="G82" t="s">
        <v>87</v>
      </c>
      <c r="H82" s="8" t="s">
        <v>1067</v>
      </c>
      <c r="I82">
        <f t="shared" ref="I82:I113" si="6">C82*D82*E82</f>
        <v>20</v>
      </c>
      <c r="J82">
        <f t="shared" si="4"/>
        <v>9.0718474000000011</v>
      </c>
      <c r="K82">
        <v>9.1999999999999998E-2</v>
      </c>
      <c r="L82" s="8">
        <f t="shared" si="5"/>
        <v>0.83460996080000005</v>
      </c>
    </row>
    <row r="83" spans="1:12" x14ac:dyDescent="0.2">
      <c r="A83" s="4">
        <v>43375</v>
      </c>
      <c r="B83" t="s">
        <v>48</v>
      </c>
      <c r="C83">
        <v>2</v>
      </c>
      <c r="D83">
        <v>1</v>
      </c>
      <c r="E83">
        <v>50</v>
      </c>
      <c r="F83" t="s">
        <v>87</v>
      </c>
      <c r="G83" t="s">
        <v>87</v>
      </c>
      <c r="H83" s="8" t="s">
        <v>1067</v>
      </c>
      <c r="I83">
        <f t="shared" si="6"/>
        <v>100</v>
      </c>
      <c r="J83">
        <f t="shared" si="4"/>
        <v>45.359237</v>
      </c>
      <c r="K83">
        <v>9.1999999999999998E-2</v>
      </c>
      <c r="L83" s="8">
        <f t="shared" si="5"/>
        <v>4.1730498039999997</v>
      </c>
    </row>
    <row r="84" spans="1:12" x14ac:dyDescent="0.2">
      <c r="A84" s="4">
        <v>43376</v>
      </c>
      <c r="B84" t="s">
        <v>48</v>
      </c>
      <c r="C84">
        <v>1</v>
      </c>
      <c r="D84">
        <v>1</v>
      </c>
      <c r="E84">
        <v>50</v>
      </c>
      <c r="F84" t="s">
        <v>87</v>
      </c>
      <c r="G84" t="s">
        <v>87</v>
      </c>
      <c r="H84" s="8" t="s">
        <v>1067</v>
      </c>
      <c r="I84">
        <f t="shared" si="6"/>
        <v>50</v>
      </c>
      <c r="J84">
        <f t="shared" si="4"/>
        <v>22.6796185</v>
      </c>
      <c r="K84">
        <v>9.1999999999999998E-2</v>
      </c>
      <c r="L84" s="8">
        <f t="shared" si="5"/>
        <v>2.0865249019999998</v>
      </c>
    </row>
    <row r="85" spans="1:12" x14ac:dyDescent="0.2">
      <c r="A85" s="4">
        <v>43376</v>
      </c>
      <c r="B85" t="s">
        <v>48</v>
      </c>
      <c r="C85">
        <v>1</v>
      </c>
      <c r="D85">
        <v>1</v>
      </c>
      <c r="E85">
        <v>20</v>
      </c>
      <c r="F85" t="s">
        <v>246</v>
      </c>
      <c r="G85" t="s">
        <v>87</v>
      </c>
      <c r="H85" s="8" t="s">
        <v>1067</v>
      </c>
      <c r="I85">
        <f t="shared" si="6"/>
        <v>20</v>
      </c>
      <c r="J85">
        <f t="shared" si="4"/>
        <v>9.0718474000000011</v>
      </c>
      <c r="K85">
        <v>9.1999999999999998E-2</v>
      </c>
      <c r="L85" s="8">
        <f t="shared" si="5"/>
        <v>0.83460996080000005</v>
      </c>
    </row>
    <row r="86" spans="1:12" x14ac:dyDescent="0.2">
      <c r="A86" s="4">
        <v>43377</v>
      </c>
      <c r="B86" t="s">
        <v>48</v>
      </c>
      <c r="C86" s="28">
        <v>1</v>
      </c>
      <c r="D86">
        <v>1</v>
      </c>
      <c r="E86">
        <v>20</v>
      </c>
      <c r="F86" t="s">
        <v>269</v>
      </c>
      <c r="G86" t="s">
        <v>299</v>
      </c>
      <c r="H86" s="8" t="s">
        <v>1067</v>
      </c>
      <c r="I86">
        <f t="shared" si="6"/>
        <v>20</v>
      </c>
      <c r="J86">
        <f t="shared" si="4"/>
        <v>9.0718474000000011</v>
      </c>
      <c r="K86">
        <v>9.1999999999999998E-2</v>
      </c>
      <c r="L86" s="8">
        <f t="shared" si="5"/>
        <v>0.83460996080000005</v>
      </c>
    </row>
    <row r="87" spans="1:12" x14ac:dyDescent="0.2">
      <c r="A87" s="4">
        <v>43372</v>
      </c>
      <c r="B87" t="s">
        <v>48</v>
      </c>
      <c r="C87">
        <v>1</v>
      </c>
      <c r="D87">
        <v>1</v>
      </c>
      <c r="E87">
        <v>20</v>
      </c>
      <c r="F87" t="s">
        <v>224</v>
      </c>
      <c r="G87" t="s">
        <v>761</v>
      </c>
      <c r="H87" s="8" t="s">
        <v>1067</v>
      </c>
      <c r="I87">
        <f t="shared" si="6"/>
        <v>20</v>
      </c>
      <c r="J87">
        <f t="shared" si="4"/>
        <v>9.0718474000000011</v>
      </c>
      <c r="K87">
        <v>9.1999999999999998E-2</v>
      </c>
      <c r="L87" s="8">
        <f t="shared" si="5"/>
        <v>0.83460996080000005</v>
      </c>
    </row>
    <row r="88" spans="1:12" x14ac:dyDescent="0.2">
      <c r="A88" s="4">
        <v>43376</v>
      </c>
      <c r="B88" t="s">
        <v>48</v>
      </c>
      <c r="C88">
        <v>1</v>
      </c>
      <c r="D88">
        <v>1</v>
      </c>
      <c r="E88">
        <v>20</v>
      </c>
      <c r="F88" t="s">
        <v>224</v>
      </c>
      <c r="G88" t="s">
        <v>808</v>
      </c>
      <c r="H88" s="8" t="s">
        <v>1067</v>
      </c>
      <c r="I88">
        <f t="shared" si="6"/>
        <v>20</v>
      </c>
      <c r="J88">
        <f t="shared" si="4"/>
        <v>9.0718474000000011</v>
      </c>
      <c r="K88">
        <f>(0.092*0.5)+(0.219*0.5)</f>
        <v>0.1555</v>
      </c>
      <c r="L88" s="8">
        <f t="shared" si="5"/>
        <v>1.4106722707000001</v>
      </c>
    </row>
    <row r="89" spans="1:12" x14ac:dyDescent="0.2">
      <c r="A89" s="4">
        <v>43372</v>
      </c>
      <c r="B89" t="s">
        <v>48</v>
      </c>
      <c r="C89">
        <v>8</v>
      </c>
      <c r="D89">
        <v>1</v>
      </c>
      <c r="E89">
        <v>12</v>
      </c>
      <c r="F89" t="s">
        <v>220</v>
      </c>
      <c r="G89" t="s">
        <v>220</v>
      </c>
      <c r="H89" s="8" t="s">
        <v>1067</v>
      </c>
      <c r="I89">
        <f t="shared" si="6"/>
        <v>96</v>
      </c>
      <c r="J89">
        <f t="shared" si="4"/>
        <v>43.544867520000004</v>
      </c>
      <c r="K89">
        <v>0.93400000000000005</v>
      </c>
      <c r="L89" s="8">
        <f t="shared" si="5"/>
        <v>40.670906263680003</v>
      </c>
    </row>
    <row r="90" spans="1:12" x14ac:dyDescent="0.2">
      <c r="A90" s="4">
        <v>43374</v>
      </c>
      <c r="B90" t="s">
        <v>48</v>
      </c>
      <c r="C90">
        <v>5</v>
      </c>
      <c r="D90">
        <v>1</v>
      </c>
      <c r="E90">
        <v>12</v>
      </c>
      <c r="F90" t="s">
        <v>220</v>
      </c>
      <c r="G90" t="s">
        <v>220</v>
      </c>
      <c r="H90" s="8" t="s">
        <v>1067</v>
      </c>
      <c r="I90">
        <f t="shared" si="6"/>
        <v>60</v>
      </c>
      <c r="J90">
        <f t="shared" si="4"/>
        <v>27.215542200000002</v>
      </c>
      <c r="K90">
        <v>0.93400000000000005</v>
      </c>
      <c r="L90" s="8">
        <f t="shared" si="5"/>
        <v>25.419316414800004</v>
      </c>
    </row>
    <row r="91" spans="1:12" x14ac:dyDescent="0.2">
      <c r="A91" s="4">
        <v>43376</v>
      </c>
      <c r="B91" t="s">
        <v>48</v>
      </c>
      <c r="C91">
        <v>3</v>
      </c>
      <c r="D91">
        <v>1</v>
      </c>
      <c r="E91">
        <v>12</v>
      </c>
      <c r="F91" t="s">
        <v>220</v>
      </c>
      <c r="G91" t="s">
        <v>220</v>
      </c>
      <c r="H91" s="8" t="s">
        <v>1067</v>
      </c>
      <c r="I91">
        <f t="shared" si="6"/>
        <v>36</v>
      </c>
      <c r="J91">
        <f t="shared" si="4"/>
        <v>16.329325319999999</v>
      </c>
      <c r="K91">
        <v>0.93400000000000005</v>
      </c>
      <c r="L91" s="8">
        <f t="shared" si="5"/>
        <v>15.25158984888</v>
      </c>
    </row>
    <row r="92" spans="1:12" x14ac:dyDescent="0.2">
      <c r="A92" s="4">
        <v>43377</v>
      </c>
      <c r="B92" t="s">
        <v>48</v>
      </c>
      <c r="C92" s="28">
        <v>2</v>
      </c>
      <c r="D92">
        <v>1</v>
      </c>
      <c r="E92">
        <f>120*1.3</f>
        <v>156</v>
      </c>
      <c r="F92" t="s">
        <v>270</v>
      </c>
      <c r="G92" t="s">
        <v>619</v>
      </c>
      <c r="H92" s="8" t="s">
        <v>1067</v>
      </c>
      <c r="I92">
        <f t="shared" si="6"/>
        <v>312</v>
      </c>
      <c r="J92">
        <f t="shared" si="4"/>
        <v>141.52081944</v>
      </c>
      <c r="K92">
        <v>0.93400000000000005</v>
      </c>
      <c r="L92" s="8">
        <f t="shared" si="5"/>
        <v>132.18044535696001</v>
      </c>
    </row>
    <row r="93" spans="1:12" x14ac:dyDescent="0.2">
      <c r="A93" s="4">
        <v>43371</v>
      </c>
      <c r="B93" t="s">
        <v>48</v>
      </c>
      <c r="C93">
        <v>1</v>
      </c>
      <c r="D93">
        <v>1</v>
      </c>
      <c r="E93">
        <v>36</v>
      </c>
      <c r="F93" t="s">
        <v>163</v>
      </c>
      <c r="G93" t="s">
        <v>163</v>
      </c>
      <c r="H93" s="8" t="s">
        <v>1067</v>
      </c>
      <c r="I93">
        <f t="shared" si="6"/>
        <v>36</v>
      </c>
      <c r="J93">
        <f t="shared" si="4"/>
        <v>16.329325319999999</v>
      </c>
      <c r="K93">
        <v>0.33100000000000002</v>
      </c>
      <c r="L93" s="8">
        <f t="shared" si="5"/>
        <v>5.4050066809199997</v>
      </c>
    </row>
    <row r="94" spans="1:12" x14ac:dyDescent="0.2">
      <c r="A94" s="4">
        <v>43372</v>
      </c>
      <c r="B94" t="s">
        <v>48</v>
      </c>
      <c r="C94">
        <v>3</v>
      </c>
      <c r="D94">
        <v>1</v>
      </c>
      <c r="E94">
        <v>20</v>
      </c>
      <c r="F94" t="s">
        <v>221</v>
      </c>
      <c r="G94" t="s">
        <v>163</v>
      </c>
      <c r="H94" s="8" t="s">
        <v>1067</v>
      </c>
      <c r="I94">
        <f t="shared" si="6"/>
        <v>60</v>
      </c>
      <c r="J94">
        <f t="shared" si="4"/>
        <v>27.215542200000002</v>
      </c>
      <c r="K94">
        <v>0.33100000000000002</v>
      </c>
      <c r="L94" s="8">
        <f t="shared" si="5"/>
        <v>9.0083444682000007</v>
      </c>
    </row>
    <row r="95" spans="1:12" x14ac:dyDescent="0.2">
      <c r="A95" s="4">
        <v>43434</v>
      </c>
      <c r="B95" t="s">
        <v>538</v>
      </c>
      <c r="C95">
        <v>2</v>
      </c>
      <c r="D95">
        <v>4</v>
      </c>
      <c r="E95">
        <v>30.3125</v>
      </c>
      <c r="F95" t="s">
        <v>470</v>
      </c>
      <c r="G95" s="6" t="s">
        <v>861</v>
      </c>
      <c r="H95" t="s">
        <v>1071</v>
      </c>
      <c r="I95">
        <f t="shared" si="6"/>
        <v>242.5</v>
      </c>
      <c r="J95">
        <f t="shared" si="4"/>
        <v>109.99614972500001</v>
      </c>
      <c r="K95">
        <v>1.61</v>
      </c>
      <c r="L95">
        <f t="shared" si="5"/>
        <v>177.09380105725003</v>
      </c>
    </row>
    <row r="96" spans="1:12" x14ac:dyDescent="0.2">
      <c r="A96" s="4">
        <v>43434</v>
      </c>
      <c r="B96" t="s">
        <v>538</v>
      </c>
      <c r="C96">
        <v>2</v>
      </c>
      <c r="D96">
        <v>4</v>
      </c>
      <c r="E96">
        <v>40.3125</v>
      </c>
      <c r="F96" t="s">
        <v>548</v>
      </c>
      <c r="G96" s="6" t="s">
        <v>861</v>
      </c>
      <c r="H96" t="s">
        <v>1071</v>
      </c>
      <c r="I96">
        <f t="shared" si="6"/>
        <v>322.5</v>
      </c>
      <c r="J96">
        <f t="shared" si="4"/>
        <v>146.28353932500002</v>
      </c>
      <c r="K96">
        <v>1.61</v>
      </c>
      <c r="L96">
        <f t="shared" si="5"/>
        <v>235.51649831325005</v>
      </c>
    </row>
    <row r="97" spans="1:12" x14ac:dyDescent="0.2">
      <c r="A97" s="4">
        <v>43437</v>
      </c>
      <c r="B97" t="s">
        <v>538</v>
      </c>
      <c r="C97">
        <v>1</v>
      </c>
      <c r="D97">
        <v>4</v>
      </c>
      <c r="E97">
        <v>1.8125</v>
      </c>
      <c r="F97" t="s">
        <v>575</v>
      </c>
      <c r="G97" s="6" t="s">
        <v>861</v>
      </c>
      <c r="H97" t="s">
        <v>1071</v>
      </c>
      <c r="I97">
        <f t="shared" si="6"/>
        <v>7.25</v>
      </c>
      <c r="J97">
        <f t="shared" si="4"/>
        <v>3.2885446825</v>
      </c>
      <c r="K97">
        <v>1.61</v>
      </c>
      <c r="L97">
        <f t="shared" si="5"/>
        <v>5.294556938825</v>
      </c>
    </row>
    <row r="98" spans="1:12" x14ac:dyDescent="0.2">
      <c r="A98" s="4">
        <v>43437</v>
      </c>
      <c r="B98" t="s">
        <v>538</v>
      </c>
      <c r="C98">
        <v>1</v>
      </c>
      <c r="D98">
        <v>4</v>
      </c>
      <c r="E98">
        <v>2.5</v>
      </c>
      <c r="F98" t="s">
        <v>436</v>
      </c>
      <c r="G98" s="6" t="s">
        <v>861</v>
      </c>
      <c r="H98" t="s">
        <v>1071</v>
      </c>
      <c r="I98">
        <f t="shared" si="6"/>
        <v>10</v>
      </c>
      <c r="J98">
        <f t="shared" si="4"/>
        <v>4.5359237000000006</v>
      </c>
      <c r="K98">
        <v>1.61</v>
      </c>
      <c r="L98">
        <f t="shared" si="5"/>
        <v>7.3028371570000017</v>
      </c>
    </row>
    <row r="99" spans="1:12" x14ac:dyDescent="0.2">
      <c r="A99" s="4">
        <v>43437</v>
      </c>
      <c r="B99" t="s">
        <v>538</v>
      </c>
      <c r="C99">
        <v>2</v>
      </c>
      <c r="D99">
        <v>4</v>
      </c>
      <c r="E99">
        <v>30.3125</v>
      </c>
      <c r="F99" t="s">
        <v>470</v>
      </c>
      <c r="G99" s="6" t="s">
        <v>861</v>
      </c>
      <c r="H99" t="s">
        <v>1071</v>
      </c>
      <c r="I99">
        <f t="shared" si="6"/>
        <v>242.5</v>
      </c>
      <c r="J99">
        <f t="shared" si="4"/>
        <v>109.99614972500001</v>
      </c>
      <c r="K99">
        <v>1.61</v>
      </c>
      <c r="L99">
        <f t="shared" si="5"/>
        <v>177.09380105725003</v>
      </c>
    </row>
    <row r="100" spans="1:12" x14ac:dyDescent="0.2">
      <c r="A100" s="4">
        <v>43437</v>
      </c>
      <c r="B100" t="s">
        <v>538</v>
      </c>
      <c r="C100">
        <v>2</v>
      </c>
      <c r="D100">
        <v>4</v>
      </c>
      <c r="E100">
        <v>30.3125</v>
      </c>
      <c r="F100" t="s">
        <v>580</v>
      </c>
      <c r="G100" s="6" t="s">
        <v>861</v>
      </c>
      <c r="H100" t="s">
        <v>1071</v>
      </c>
      <c r="I100">
        <f t="shared" si="6"/>
        <v>242.5</v>
      </c>
      <c r="J100">
        <f t="shared" si="4"/>
        <v>109.99614972500001</v>
      </c>
      <c r="K100">
        <v>1.61</v>
      </c>
      <c r="L100">
        <f t="shared" si="5"/>
        <v>177.09380105725003</v>
      </c>
    </row>
    <row r="101" spans="1:12" x14ac:dyDescent="0.2">
      <c r="A101" s="4">
        <v>43437</v>
      </c>
      <c r="B101" t="s">
        <v>538</v>
      </c>
      <c r="C101">
        <v>1</v>
      </c>
      <c r="D101">
        <v>4</v>
      </c>
      <c r="E101">
        <v>3.125</v>
      </c>
      <c r="F101" t="s">
        <v>453</v>
      </c>
      <c r="G101" s="6" t="s">
        <v>861</v>
      </c>
      <c r="H101" t="s">
        <v>1071</v>
      </c>
      <c r="I101">
        <f t="shared" si="6"/>
        <v>12.5</v>
      </c>
      <c r="J101">
        <f t="shared" si="4"/>
        <v>5.669904625</v>
      </c>
      <c r="K101">
        <v>1.61</v>
      </c>
      <c r="L101">
        <f t="shared" si="5"/>
        <v>9.1285464462500006</v>
      </c>
    </row>
    <row r="102" spans="1:12" x14ac:dyDescent="0.2">
      <c r="A102" s="4">
        <v>43439</v>
      </c>
      <c r="B102" t="s">
        <v>538</v>
      </c>
      <c r="C102">
        <v>1</v>
      </c>
      <c r="D102">
        <v>4</v>
      </c>
      <c r="E102">
        <v>1.8125</v>
      </c>
      <c r="F102" t="s">
        <v>575</v>
      </c>
      <c r="G102" s="6" t="s">
        <v>861</v>
      </c>
      <c r="H102" t="s">
        <v>1071</v>
      </c>
      <c r="I102">
        <f t="shared" si="6"/>
        <v>7.25</v>
      </c>
      <c r="J102">
        <f t="shared" si="4"/>
        <v>3.2885446825</v>
      </c>
      <c r="K102">
        <v>1.61</v>
      </c>
      <c r="L102">
        <f t="shared" si="5"/>
        <v>5.294556938825</v>
      </c>
    </row>
    <row r="103" spans="1:12" x14ac:dyDescent="0.2">
      <c r="A103" s="4">
        <v>43439</v>
      </c>
      <c r="B103" t="s">
        <v>538</v>
      </c>
      <c r="C103">
        <v>3</v>
      </c>
      <c r="D103">
        <v>4</v>
      </c>
      <c r="E103">
        <v>2.5</v>
      </c>
      <c r="F103" t="s">
        <v>436</v>
      </c>
      <c r="G103" s="6" t="s">
        <v>861</v>
      </c>
      <c r="H103" t="s">
        <v>1071</v>
      </c>
      <c r="I103">
        <f t="shared" si="6"/>
        <v>30</v>
      </c>
      <c r="J103">
        <f t="shared" si="4"/>
        <v>13.607771100000001</v>
      </c>
      <c r="K103">
        <v>1.61</v>
      </c>
      <c r="L103">
        <f t="shared" si="5"/>
        <v>21.908511471000004</v>
      </c>
    </row>
    <row r="104" spans="1:12" x14ac:dyDescent="0.2">
      <c r="A104" s="4">
        <v>43439</v>
      </c>
      <c r="B104" t="s">
        <v>538</v>
      </c>
      <c r="C104">
        <v>3</v>
      </c>
      <c r="D104">
        <v>4</v>
      </c>
      <c r="E104">
        <v>30.3125</v>
      </c>
      <c r="F104" t="s">
        <v>470</v>
      </c>
      <c r="G104" s="6" t="s">
        <v>861</v>
      </c>
      <c r="H104" t="s">
        <v>1071</v>
      </c>
      <c r="I104">
        <f t="shared" si="6"/>
        <v>363.75</v>
      </c>
      <c r="J104">
        <f t="shared" si="4"/>
        <v>164.99422458750001</v>
      </c>
      <c r="K104">
        <v>1.61</v>
      </c>
      <c r="L104">
        <f t="shared" si="5"/>
        <v>265.64070158587504</v>
      </c>
    </row>
    <row r="105" spans="1:12" x14ac:dyDescent="0.2">
      <c r="A105" s="4">
        <v>43439</v>
      </c>
      <c r="B105" t="s">
        <v>538</v>
      </c>
      <c r="C105">
        <v>1</v>
      </c>
      <c r="D105">
        <v>4</v>
      </c>
      <c r="E105">
        <v>30.3125</v>
      </c>
      <c r="F105" t="s">
        <v>580</v>
      </c>
      <c r="G105" s="6" t="s">
        <v>861</v>
      </c>
      <c r="H105" t="s">
        <v>1071</v>
      </c>
      <c r="I105">
        <f t="shared" si="6"/>
        <v>121.25</v>
      </c>
      <c r="J105">
        <f t="shared" si="4"/>
        <v>54.998074862500005</v>
      </c>
      <c r="K105">
        <v>1.61</v>
      </c>
      <c r="L105">
        <f t="shared" si="5"/>
        <v>88.546900528625017</v>
      </c>
    </row>
    <row r="106" spans="1:12" x14ac:dyDescent="0.2">
      <c r="A106" s="4">
        <v>43439</v>
      </c>
      <c r="B106" t="s">
        <v>538</v>
      </c>
      <c r="C106">
        <v>4</v>
      </c>
      <c r="D106">
        <v>4</v>
      </c>
      <c r="E106">
        <v>40.3125</v>
      </c>
      <c r="F106" t="s">
        <v>548</v>
      </c>
      <c r="G106" s="6" t="s">
        <v>861</v>
      </c>
      <c r="H106" t="s">
        <v>1071</v>
      </c>
      <c r="I106">
        <f t="shared" si="6"/>
        <v>645</v>
      </c>
      <c r="J106">
        <f t="shared" si="4"/>
        <v>292.56707865000004</v>
      </c>
      <c r="K106">
        <v>1.61</v>
      </c>
      <c r="L106">
        <f t="shared" si="5"/>
        <v>471.03299662650011</v>
      </c>
    </row>
    <row r="107" spans="1:12" x14ac:dyDescent="0.2">
      <c r="A107" s="4">
        <v>43439</v>
      </c>
      <c r="B107" t="s">
        <v>538</v>
      </c>
      <c r="C107">
        <v>1</v>
      </c>
      <c r="D107">
        <v>4</v>
      </c>
      <c r="E107">
        <v>3.125</v>
      </c>
      <c r="F107" t="s">
        <v>453</v>
      </c>
      <c r="G107" s="6" t="s">
        <v>861</v>
      </c>
      <c r="H107" t="s">
        <v>1071</v>
      </c>
      <c r="I107">
        <f t="shared" si="6"/>
        <v>12.5</v>
      </c>
      <c r="J107">
        <f t="shared" si="4"/>
        <v>5.669904625</v>
      </c>
      <c r="K107">
        <v>1.61</v>
      </c>
      <c r="L107">
        <f t="shared" si="5"/>
        <v>9.1285464462500006</v>
      </c>
    </row>
    <row r="108" spans="1:12" x14ac:dyDescent="0.2">
      <c r="A108" s="4">
        <v>43434</v>
      </c>
      <c r="B108" t="s">
        <v>538</v>
      </c>
      <c r="C108">
        <v>2</v>
      </c>
      <c r="D108">
        <v>4</v>
      </c>
      <c r="E108">
        <v>30.0625</v>
      </c>
      <c r="F108" t="s">
        <v>545</v>
      </c>
      <c r="G108" s="6" t="s">
        <v>901</v>
      </c>
      <c r="H108" t="s">
        <v>1071</v>
      </c>
      <c r="I108">
        <f t="shared" si="6"/>
        <v>240.5</v>
      </c>
      <c r="J108">
        <f t="shared" si="4"/>
        <v>109.088964985</v>
      </c>
      <c r="K108">
        <v>1.61</v>
      </c>
      <c r="L108">
        <f t="shared" si="5"/>
        <v>175.63323362585001</v>
      </c>
    </row>
    <row r="109" spans="1:12" x14ac:dyDescent="0.2">
      <c r="A109" s="4">
        <v>43434</v>
      </c>
      <c r="B109" t="s">
        <v>538</v>
      </c>
      <c r="C109">
        <v>2</v>
      </c>
      <c r="D109">
        <v>4</v>
      </c>
      <c r="E109">
        <v>2.5</v>
      </c>
      <c r="F109" t="s">
        <v>436</v>
      </c>
      <c r="G109" s="6" t="s">
        <v>903</v>
      </c>
      <c r="H109" t="s">
        <v>1071</v>
      </c>
      <c r="I109">
        <f t="shared" si="6"/>
        <v>20</v>
      </c>
      <c r="J109">
        <f t="shared" si="4"/>
        <v>9.0718474000000011</v>
      </c>
      <c r="K109">
        <v>1.61</v>
      </c>
      <c r="L109">
        <f t="shared" si="5"/>
        <v>14.605674314000003</v>
      </c>
    </row>
    <row r="110" spans="1:12" x14ac:dyDescent="0.2">
      <c r="A110" s="4">
        <v>43434</v>
      </c>
      <c r="B110" t="s">
        <v>538</v>
      </c>
      <c r="C110">
        <v>4</v>
      </c>
      <c r="D110">
        <v>4</v>
      </c>
      <c r="E110">
        <v>3.125</v>
      </c>
      <c r="F110" t="s">
        <v>453</v>
      </c>
      <c r="G110" s="6" t="s">
        <v>910</v>
      </c>
      <c r="H110" t="s">
        <v>1071</v>
      </c>
      <c r="I110">
        <f t="shared" si="6"/>
        <v>50</v>
      </c>
      <c r="J110">
        <f t="shared" si="4"/>
        <v>22.6796185</v>
      </c>
      <c r="K110">
        <v>1.61</v>
      </c>
      <c r="L110">
        <f t="shared" si="5"/>
        <v>36.514185785000002</v>
      </c>
    </row>
    <row r="111" spans="1:12" x14ac:dyDescent="0.2">
      <c r="A111" s="4">
        <v>43434</v>
      </c>
      <c r="B111" t="s">
        <v>517</v>
      </c>
      <c r="C111">
        <v>2</v>
      </c>
      <c r="D111">
        <v>6</v>
      </c>
      <c r="E111">
        <v>1</v>
      </c>
      <c r="F111" t="s">
        <v>519</v>
      </c>
      <c r="G111" t="s">
        <v>847</v>
      </c>
      <c r="H111" t="s">
        <v>1073</v>
      </c>
      <c r="I111">
        <f t="shared" si="6"/>
        <v>12</v>
      </c>
      <c r="J111">
        <f t="shared" si="4"/>
        <v>5.4431084400000005</v>
      </c>
      <c r="K111">
        <v>9.9740000000000002</v>
      </c>
      <c r="L111">
        <f t="shared" si="5"/>
        <v>54.289563580560007</v>
      </c>
    </row>
    <row r="112" spans="1:12" x14ac:dyDescent="0.2">
      <c r="A112" s="4">
        <v>43434</v>
      </c>
      <c r="B112" t="s">
        <v>517</v>
      </c>
      <c r="C112">
        <v>2</v>
      </c>
      <c r="D112">
        <v>6</v>
      </c>
      <c r="E112">
        <v>3</v>
      </c>
      <c r="F112" t="s">
        <v>387</v>
      </c>
      <c r="G112" t="s">
        <v>847</v>
      </c>
      <c r="H112" t="s">
        <v>1073</v>
      </c>
      <c r="I112">
        <f t="shared" si="6"/>
        <v>36</v>
      </c>
      <c r="J112">
        <f t="shared" si="4"/>
        <v>16.329325319999999</v>
      </c>
      <c r="K112">
        <v>9.9740000000000002</v>
      </c>
      <c r="L112">
        <f t="shared" si="5"/>
        <v>162.86869074167998</v>
      </c>
    </row>
    <row r="113" spans="1:12" x14ac:dyDescent="0.2">
      <c r="A113" s="4">
        <v>43434</v>
      </c>
      <c r="B113" t="s">
        <v>517</v>
      </c>
      <c r="C113">
        <v>2</v>
      </c>
      <c r="D113">
        <v>4</v>
      </c>
      <c r="E113">
        <v>5</v>
      </c>
      <c r="F113" t="s">
        <v>389</v>
      </c>
      <c r="G113" t="s">
        <v>847</v>
      </c>
      <c r="H113" t="s">
        <v>1073</v>
      </c>
      <c r="I113">
        <f t="shared" si="6"/>
        <v>40</v>
      </c>
      <c r="J113">
        <f t="shared" si="4"/>
        <v>18.143694800000002</v>
      </c>
      <c r="K113">
        <v>9.9740000000000002</v>
      </c>
      <c r="L113">
        <f t="shared" si="5"/>
        <v>180.96521193520002</v>
      </c>
    </row>
    <row r="114" spans="1:12" x14ac:dyDescent="0.2">
      <c r="A114" s="4">
        <v>43434</v>
      </c>
      <c r="B114" t="s">
        <v>517</v>
      </c>
      <c r="C114">
        <v>15</v>
      </c>
      <c r="D114">
        <v>4</v>
      </c>
      <c r="E114">
        <v>5</v>
      </c>
      <c r="F114" t="s">
        <v>521</v>
      </c>
      <c r="G114" t="s">
        <v>847</v>
      </c>
      <c r="H114" t="s">
        <v>1073</v>
      </c>
      <c r="I114">
        <f t="shared" ref="I114:I145" si="7">C114*D114*E114</f>
        <v>300</v>
      </c>
      <c r="J114">
        <f t="shared" si="4"/>
        <v>136.07771100000002</v>
      </c>
      <c r="K114">
        <v>9.9740000000000002</v>
      </c>
      <c r="L114">
        <f t="shared" si="5"/>
        <v>1357.2390895140002</v>
      </c>
    </row>
    <row r="115" spans="1:12" x14ac:dyDescent="0.2">
      <c r="A115" s="4">
        <v>43434</v>
      </c>
      <c r="B115" t="s">
        <v>517</v>
      </c>
      <c r="C115">
        <v>1</v>
      </c>
      <c r="D115">
        <v>4</v>
      </c>
      <c r="E115">
        <v>5</v>
      </c>
      <c r="F115" t="s">
        <v>390</v>
      </c>
      <c r="G115" t="s">
        <v>847</v>
      </c>
      <c r="H115" t="s">
        <v>1073</v>
      </c>
      <c r="I115">
        <f t="shared" si="7"/>
        <v>20</v>
      </c>
      <c r="J115">
        <f t="shared" si="4"/>
        <v>9.0718474000000011</v>
      </c>
      <c r="K115">
        <v>9.9740000000000002</v>
      </c>
      <c r="L115">
        <f t="shared" si="5"/>
        <v>90.482605967600009</v>
      </c>
    </row>
    <row r="116" spans="1:12" x14ac:dyDescent="0.2">
      <c r="A116" s="4">
        <v>43434</v>
      </c>
      <c r="B116" t="s">
        <v>517</v>
      </c>
      <c r="C116">
        <v>4</v>
      </c>
      <c r="D116">
        <v>4</v>
      </c>
      <c r="E116">
        <v>5</v>
      </c>
      <c r="F116" t="s">
        <v>391</v>
      </c>
      <c r="G116" t="s">
        <v>847</v>
      </c>
      <c r="H116" t="s">
        <v>1073</v>
      </c>
      <c r="I116">
        <f t="shared" si="7"/>
        <v>80</v>
      </c>
      <c r="J116">
        <f t="shared" si="4"/>
        <v>36.287389600000004</v>
      </c>
      <c r="K116">
        <v>9.9740000000000002</v>
      </c>
      <c r="L116">
        <f t="shared" si="5"/>
        <v>361.93042387040003</v>
      </c>
    </row>
    <row r="117" spans="1:12" x14ac:dyDescent="0.2">
      <c r="A117" s="4">
        <v>43434</v>
      </c>
      <c r="B117" t="s">
        <v>517</v>
      </c>
      <c r="C117">
        <v>3</v>
      </c>
      <c r="D117">
        <v>4</v>
      </c>
      <c r="E117">
        <v>5</v>
      </c>
      <c r="F117" t="s">
        <v>522</v>
      </c>
      <c r="G117" t="s">
        <v>847</v>
      </c>
      <c r="H117" t="s">
        <v>1073</v>
      </c>
      <c r="I117">
        <f t="shared" si="7"/>
        <v>60</v>
      </c>
      <c r="J117">
        <f t="shared" si="4"/>
        <v>27.215542200000002</v>
      </c>
      <c r="K117">
        <v>9.9740000000000002</v>
      </c>
      <c r="L117">
        <f t="shared" si="5"/>
        <v>271.44781790280001</v>
      </c>
    </row>
    <row r="118" spans="1:12" x14ac:dyDescent="0.2">
      <c r="A118" s="4">
        <v>43434</v>
      </c>
      <c r="B118" t="s">
        <v>517</v>
      </c>
      <c r="C118">
        <v>2</v>
      </c>
      <c r="D118">
        <v>4</v>
      </c>
      <c r="E118">
        <v>2.5</v>
      </c>
      <c r="F118" t="s">
        <v>1008</v>
      </c>
      <c r="G118" t="s">
        <v>847</v>
      </c>
      <c r="H118" t="s">
        <v>1073</v>
      </c>
      <c r="I118">
        <f t="shared" si="7"/>
        <v>20</v>
      </c>
      <c r="J118">
        <f t="shared" si="4"/>
        <v>9.0718474000000011</v>
      </c>
      <c r="K118">
        <v>9.9740000000000002</v>
      </c>
      <c r="L118">
        <f t="shared" si="5"/>
        <v>90.482605967600009</v>
      </c>
    </row>
    <row r="119" spans="1:12" x14ac:dyDescent="0.2">
      <c r="A119" s="4">
        <v>43434</v>
      </c>
      <c r="B119" t="s">
        <v>517</v>
      </c>
      <c r="C119">
        <v>2</v>
      </c>
      <c r="D119">
        <v>4</v>
      </c>
      <c r="E119">
        <v>2.5</v>
      </c>
      <c r="F119" t="s">
        <v>1009</v>
      </c>
      <c r="G119" t="s">
        <v>847</v>
      </c>
      <c r="H119" t="s">
        <v>1073</v>
      </c>
      <c r="I119">
        <f t="shared" si="7"/>
        <v>20</v>
      </c>
      <c r="J119">
        <f t="shared" si="4"/>
        <v>9.0718474000000011</v>
      </c>
      <c r="K119">
        <v>9.9740000000000002</v>
      </c>
      <c r="L119">
        <f t="shared" si="5"/>
        <v>90.482605967600009</v>
      </c>
    </row>
    <row r="120" spans="1:12" x14ac:dyDescent="0.2">
      <c r="A120" s="4">
        <v>43434</v>
      </c>
      <c r="B120" t="s">
        <v>517</v>
      </c>
      <c r="C120">
        <v>2</v>
      </c>
      <c r="D120">
        <v>8</v>
      </c>
      <c r="E120">
        <v>1.25</v>
      </c>
      <c r="F120" t="s">
        <v>1010</v>
      </c>
      <c r="G120" t="s">
        <v>847</v>
      </c>
      <c r="H120" t="s">
        <v>1073</v>
      </c>
      <c r="I120">
        <f t="shared" si="7"/>
        <v>20</v>
      </c>
      <c r="J120">
        <f t="shared" si="4"/>
        <v>9.0718474000000011</v>
      </c>
      <c r="K120">
        <v>9.9740000000000002</v>
      </c>
      <c r="L120">
        <f t="shared" si="5"/>
        <v>90.482605967600009</v>
      </c>
    </row>
    <row r="121" spans="1:12" x14ac:dyDescent="0.2">
      <c r="A121" s="4">
        <v>43434</v>
      </c>
      <c r="B121" t="s">
        <v>517</v>
      </c>
      <c r="C121">
        <v>2</v>
      </c>
      <c r="D121">
        <v>4</v>
      </c>
      <c r="E121">
        <v>2.5</v>
      </c>
      <c r="F121" t="s">
        <v>1011</v>
      </c>
      <c r="G121" t="s">
        <v>847</v>
      </c>
      <c r="H121" t="s">
        <v>1073</v>
      </c>
      <c r="I121">
        <f t="shared" si="7"/>
        <v>20</v>
      </c>
      <c r="J121">
        <f t="shared" si="4"/>
        <v>9.0718474000000011</v>
      </c>
      <c r="K121">
        <v>9.9740000000000002</v>
      </c>
      <c r="L121">
        <f t="shared" si="5"/>
        <v>90.482605967600009</v>
      </c>
    </row>
    <row r="122" spans="1:12" x14ac:dyDescent="0.2">
      <c r="A122" s="4">
        <v>43434</v>
      </c>
      <c r="B122" t="s">
        <v>517</v>
      </c>
      <c r="C122">
        <v>1</v>
      </c>
      <c r="D122">
        <v>2</v>
      </c>
      <c r="E122">
        <v>5</v>
      </c>
      <c r="F122" t="s">
        <v>393</v>
      </c>
      <c r="G122" t="s">
        <v>847</v>
      </c>
      <c r="H122" t="s">
        <v>1073</v>
      </c>
      <c r="I122">
        <f t="shared" si="7"/>
        <v>10</v>
      </c>
      <c r="J122">
        <f t="shared" si="4"/>
        <v>4.5359237000000006</v>
      </c>
      <c r="K122">
        <v>9.9740000000000002</v>
      </c>
      <c r="L122">
        <f t="shared" si="5"/>
        <v>45.241302983800004</v>
      </c>
    </row>
    <row r="123" spans="1:12" x14ac:dyDescent="0.2">
      <c r="A123" s="4">
        <v>43434</v>
      </c>
      <c r="B123" t="s">
        <v>517</v>
      </c>
      <c r="C123">
        <v>1</v>
      </c>
      <c r="D123">
        <v>6</v>
      </c>
      <c r="E123">
        <v>2</v>
      </c>
      <c r="F123" t="s">
        <v>523</v>
      </c>
      <c r="G123" t="s">
        <v>847</v>
      </c>
      <c r="H123" t="s">
        <v>1073</v>
      </c>
      <c r="I123">
        <f t="shared" si="7"/>
        <v>12</v>
      </c>
      <c r="J123">
        <f t="shared" si="4"/>
        <v>5.4431084400000005</v>
      </c>
      <c r="K123">
        <v>9.9740000000000002</v>
      </c>
      <c r="L123">
        <f t="shared" si="5"/>
        <v>54.289563580560007</v>
      </c>
    </row>
    <row r="124" spans="1:12" x14ac:dyDescent="0.2">
      <c r="A124" s="4">
        <v>43434</v>
      </c>
      <c r="B124" t="s">
        <v>517</v>
      </c>
      <c r="C124">
        <v>1</v>
      </c>
      <c r="D124">
        <v>6</v>
      </c>
      <c r="E124">
        <v>3</v>
      </c>
      <c r="F124" t="s">
        <v>394</v>
      </c>
      <c r="G124" t="s">
        <v>847</v>
      </c>
      <c r="H124" t="s">
        <v>1073</v>
      </c>
      <c r="I124">
        <f t="shared" si="7"/>
        <v>18</v>
      </c>
      <c r="J124">
        <f t="shared" si="4"/>
        <v>8.1646626599999994</v>
      </c>
      <c r="K124">
        <v>9.9740000000000002</v>
      </c>
      <c r="L124">
        <f t="shared" si="5"/>
        <v>81.434345370839992</v>
      </c>
    </row>
    <row r="125" spans="1:12" x14ac:dyDescent="0.2">
      <c r="A125" s="4">
        <v>43437</v>
      </c>
      <c r="B125" t="s">
        <v>517</v>
      </c>
      <c r="C125">
        <v>4</v>
      </c>
      <c r="D125">
        <v>4</v>
      </c>
      <c r="E125">
        <v>5</v>
      </c>
      <c r="F125" t="s">
        <v>391</v>
      </c>
      <c r="G125" t="s">
        <v>847</v>
      </c>
      <c r="H125" t="s">
        <v>1073</v>
      </c>
      <c r="I125">
        <f t="shared" si="7"/>
        <v>80</v>
      </c>
      <c r="J125">
        <f t="shared" si="4"/>
        <v>36.287389600000004</v>
      </c>
      <c r="K125">
        <v>9.9740000000000002</v>
      </c>
      <c r="L125">
        <f t="shared" si="5"/>
        <v>361.93042387040003</v>
      </c>
    </row>
    <row r="126" spans="1:12" x14ac:dyDescent="0.2">
      <c r="A126" s="4">
        <v>43437</v>
      </c>
      <c r="B126" t="s">
        <v>517</v>
      </c>
      <c r="C126">
        <v>6</v>
      </c>
      <c r="D126">
        <v>4</v>
      </c>
      <c r="E126">
        <v>5</v>
      </c>
      <c r="F126" t="s">
        <v>392</v>
      </c>
      <c r="G126" t="s">
        <v>847</v>
      </c>
      <c r="H126" t="s">
        <v>1073</v>
      </c>
      <c r="I126">
        <f t="shared" si="7"/>
        <v>120</v>
      </c>
      <c r="J126">
        <f t="shared" si="4"/>
        <v>54.431084400000003</v>
      </c>
      <c r="K126">
        <v>9.9740000000000002</v>
      </c>
      <c r="L126">
        <f t="shared" si="5"/>
        <v>542.89563580560002</v>
      </c>
    </row>
    <row r="127" spans="1:12" x14ac:dyDescent="0.2">
      <c r="A127" s="4">
        <v>43437</v>
      </c>
      <c r="B127" t="s">
        <v>517</v>
      </c>
      <c r="C127">
        <v>3</v>
      </c>
      <c r="D127">
        <v>2</v>
      </c>
      <c r="E127">
        <v>5</v>
      </c>
      <c r="F127" t="s">
        <v>393</v>
      </c>
      <c r="G127" t="s">
        <v>847</v>
      </c>
      <c r="H127" t="s">
        <v>1073</v>
      </c>
      <c r="I127">
        <f t="shared" si="7"/>
        <v>30</v>
      </c>
      <c r="J127">
        <f t="shared" si="4"/>
        <v>13.607771100000001</v>
      </c>
      <c r="K127">
        <v>9.9740000000000002</v>
      </c>
      <c r="L127">
        <f t="shared" si="5"/>
        <v>135.72390895140001</v>
      </c>
    </row>
    <row r="128" spans="1:12" x14ac:dyDescent="0.2">
      <c r="A128" s="4">
        <v>43439</v>
      </c>
      <c r="B128" t="s">
        <v>517</v>
      </c>
      <c r="C128">
        <v>1</v>
      </c>
      <c r="D128">
        <v>10</v>
      </c>
      <c r="E128">
        <v>3</v>
      </c>
      <c r="F128" t="s">
        <v>587</v>
      </c>
      <c r="G128" t="s">
        <v>847</v>
      </c>
      <c r="H128" t="s">
        <v>1073</v>
      </c>
      <c r="I128">
        <f t="shared" si="7"/>
        <v>30</v>
      </c>
      <c r="J128">
        <f t="shared" si="4"/>
        <v>13.607771100000001</v>
      </c>
      <c r="K128">
        <v>9.9740000000000002</v>
      </c>
      <c r="L128">
        <f t="shared" si="5"/>
        <v>135.72390895140001</v>
      </c>
    </row>
    <row r="129" spans="1:12" x14ac:dyDescent="0.2">
      <c r="A129" s="4">
        <v>43439</v>
      </c>
      <c r="B129" t="s">
        <v>517</v>
      </c>
      <c r="C129">
        <v>2</v>
      </c>
      <c r="D129">
        <v>4</v>
      </c>
      <c r="E129">
        <v>5</v>
      </c>
      <c r="F129" t="s">
        <v>390</v>
      </c>
      <c r="G129" t="s">
        <v>847</v>
      </c>
      <c r="H129" t="s">
        <v>1073</v>
      </c>
      <c r="I129">
        <f t="shared" si="7"/>
        <v>40</v>
      </c>
      <c r="J129">
        <f t="shared" si="4"/>
        <v>18.143694800000002</v>
      </c>
      <c r="K129">
        <v>9.9740000000000002</v>
      </c>
      <c r="L129">
        <f t="shared" si="5"/>
        <v>180.96521193520002</v>
      </c>
    </row>
    <row r="130" spans="1:12" x14ac:dyDescent="0.2">
      <c r="A130" s="4">
        <v>43439</v>
      </c>
      <c r="B130" t="s">
        <v>517</v>
      </c>
      <c r="C130">
        <v>2</v>
      </c>
      <c r="D130">
        <v>4</v>
      </c>
      <c r="E130">
        <v>5</v>
      </c>
      <c r="F130" t="s">
        <v>391</v>
      </c>
      <c r="G130" t="s">
        <v>847</v>
      </c>
      <c r="H130" t="s">
        <v>1073</v>
      </c>
      <c r="I130">
        <f t="shared" si="7"/>
        <v>40</v>
      </c>
      <c r="J130">
        <f t="shared" si="4"/>
        <v>18.143694800000002</v>
      </c>
      <c r="K130">
        <v>9.9740000000000002</v>
      </c>
      <c r="L130">
        <f t="shared" si="5"/>
        <v>180.96521193520002</v>
      </c>
    </row>
    <row r="131" spans="1:12" x14ac:dyDescent="0.2">
      <c r="A131" s="4">
        <v>43439</v>
      </c>
      <c r="B131" t="s">
        <v>517</v>
      </c>
      <c r="C131">
        <v>5</v>
      </c>
      <c r="D131">
        <v>4</v>
      </c>
      <c r="E131">
        <v>5</v>
      </c>
      <c r="F131" t="s">
        <v>392</v>
      </c>
      <c r="G131" t="s">
        <v>847</v>
      </c>
      <c r="H131" t="s">
        <v>1073</v>
      </c>
      <c r="I131">
        <f t="shared" si="7"/>
        <v>100</v>
      </c>
      <c r="J131">
        <f t="shared" ref="J131:J194" si="8">CONVERT(I131,"lbm","kg")</f>
        <v>45.359237</v>
      </c>
      <c r="K131">
        <v>9.9740000000000002</v>
      </c>
      <c r="L131">
        <f t="shared" ref="L131:L194" si="9">J131*K131</f>
        <v>452.413029838</v>
      </c>
    </row>
    <row r="132" spans="1:12" x14ac:dyDescent="0.2">
      <c r="A132" s="4">
        <v>43439</v>
      </c>
      <c r="B132" t="s">
        <v>517</v>
      </c>
      <c r="C132">
        <v>1</v>
      </c>
      <c r="D132">
        <v>4</v>
      </c>
      <c r="E132">
        <v>2.5</v>
      </c>
      <c r="F132" t="s">
        <v>1008</v>
      </c>
      <c r="G132" t="s">
        <v>847</v>
      </c>
      <c r="H132" t="s">
        <v>1073</v>
      </c>
      <c r="I132">
        <f t="shared" si="7"/>
        <v>10</v>
      </c>
      <c r="J132">
        <f t="shared" si="8"/>
        <v>4.5359237000000006</v>
      </c>
      <c r="K132">
        <v>9.9740000000000002</v>
      </c>
      <c r="L132">
        <f t="shared" si="9"/>
        <v>45.241302983800004</v>
      </c>
    </row>
    <row r="133" spans="1:12" x14ac:dyDescent="0.2">
      <c r="A133" s="4">
        <v>43439</v>
      </c>
      <c r="B133" t="s">
        <v>517</v>
      </c>
      <c r="C133">
        <v>1</v>
      </c>
      <c r="D133">
        <v>8</v>
      </c>
      <c r="E133">
        <v>1.25</v>
      </c>
      <c r="F133" t="s">
        <v>1010</v>
      </c>
      <c r="G133" t="s">
        <v>847</v>
      </c>
      <c r="H133" t="s">
        <v>1073</v>
      </c>
      <c r="I133">
        <f t="shared" si="7"/>
        <v>10</v>
      </c>
      <c r="J133">
        <f t="shared" si="8"/>
        <v>4.5359237000000006</v>
      </c>
      <c r="K133">
        <v>9.9740000000000002</v>
      </c>
      <c r="L133">
        <f t="shared" si="9"/>
        <v>45.241302983800004</v>
      </c>
    </row>
    <row r="134" spans="1:12" x14ac:dyDescent="0.2">
      <c r="A134" s="4">
        <v>43439</v>
      </c>
      <c r="B134" t="s">
        <v>517</v>
      </c>
      <c r="C134">
        <v>2</v>
      </c>
      <c r="D134">
        <v>4</v>
      </c>
      <c r="E134">
        <v>2.5</v>
      </c>
      <c r="F134" t="s">
        <v>1011</v>
      </c>
      <c r="G134" t="s">
        <v>847</v>
      </c>
      <c r="H134" t="s">
        <v>1073</v>
      </c>
      <c r="I134">
        <f t="shared" si="7"/>
        <v>20</v>
      </c>
      <c r="J134">
        <f t="shared" si="8"/>
        <v>9.0718474000000011</v>
      </c>
      <c r="K134">
        <v>9.9740000000000002</v>
      </c>
      <c r="L134">
        <f t="shared" si="9"/>
        <v>90.482605967600009</v>
      </c>
    </row>
    <row r="135" spans="1:12" x14ac:dyDescent="0.2">
      <c r="A135" s="4">
        <v>43372</v>
      </c>
      <c r="B135" t="s">
        <v>48</v>
      </c>
      <c r="C135">
        <v>2</v>
      </c>
      <c r="D135">
        <v>1</v>
      </c>
      <c r="E135">
        <v>30</v>
      </c>
      <c r="F135" t="s">
        <v>183</v>
      </c>
      <c r="G135" t="s">
        <v>799</v>
      </c>
      <c r="H135" s="8" t="s">
        <v>1091</v>
      </c>
      <c r="I135">
        <f t="shared" si="7"/>
        <v>60</v>
      </c>
      <c r="J135">
        <f t="shared" si="8"/>
        <v>27.215542200000002</v>
      </c>
      <c r="K135">
        <v>9.9740000000000002</v>
      </c>
      <c r="L135" s="8">
        <f t="shared" si="9"/>
        <v>271.44781790280001</v>
      </c>
    </row>
    <row r="136" spans="1:12" x14ac:dyDescent="0.2">
      <c r="A136" s="10">
        <v>43371</v>
      </c>
      <c r="B136" s="9" t="s">
        <v>175</v>
      </c>
      <c r="C136">
        <v>1</v>
      </c>
      <c r="D136">
        <v>1</v>
      </c>
      <c r="E136" s="9">
        <v>160</v>
      </c>
      <c r="F136" s="9" t="s">
        <v>31</v>
      </c>
      <c r="G136" s="9" t="s">
        <v>755</v>
      </c>
      <c r="H136" s="8" t="s">
        <v>1072</v>
      </c>
      <c r="I136">
        <f t="shared" si="7"/>
        <v>160</v>
      </c>
      <c r="J136">
        <f t="shared" si="8"/>
        <v>72.574779200000009</v>
      </c>
      <c r="K136">
        <v>4.1879999999999997</v>
      </c>
      <c r="L136" s="8">
        <f t="shared" si="9"/>
        <v>303.94317528959999</v>
      </c>
    </row>
    <row r="137" spans="1:12" x14ac:dyDescent="0.2">
      <c r="A137" s="4">
        <v>43371</v>
      </c>
      <c r="B137" t="s">
        <v>196</v>
      </c>
      <c r="C137">
        <v>1</v>
      </c>
      <c r="D137">
        <v>1</v>
      </c>
      <c r="E137">
        <v>300</v>
      </c>
      <c r="F137" t="s">
        <v>197</v>
      </c>
      <c r="G137" t="s">
        <v>755</v>
      </c>
      <c r="H137" s="8" t="s">
        <v>1072</v>
      </c>
      <c r="I137">
        <f t="shared" si="7"/>
        <v>300</v>
      </c>
      <c r="J137">
        <f t="shared" si="8"/>
        <v>136.07771100000002</v>
      </c>
      <c r="K137">
        <v>4.1879999999999997</v>
      </c>
      <c r="L137" s="8">
        <f t="shared" si="9"/>
        <v>569.89345366800001</v>
      </c>
    </row>
    <row r="138" spans="1:12" x14ac:dyDescent="0.2">
      <c r="A138" s="4">
        <v>43371</v>
      </c>
      <c r="B138" t="s">
        <v>196</v>
      </c>
      <c r="C138">
        <v>1</v>
      </c>
      <c r="D138">
        <v>1</v>
      </c>
      <c r="E138">
        <v>300</v>
      </c>
      <c r="F138" t="s">
        <v>197</v>
      </c>
      <c r="G138" t="s">
        <v>755</v>
      </c>
      <c r="H138" s="8" t="s">
        <v>1072</v>
      </c>
      <c r="I138">
        <f t="shared" si="7"/>
        <v>300</v>
      </c>
      <c r="J138">
        <f t="shared" si="8"/>
        <v>136.07771100000002</v>
      </c>
      <c r="K138">
        <v>4.1879999999999997</v>
      </c>
      <c r="L138" s="8">
        <f t="shared" si="9"/>
        <v>569.89345366800001</v>
      </c>
    </row>
    <row r="139" spans="1:12" x14ac:dyDescent="0.2">
      <c r="A139" s="4">
        <v>43371</v>
      </c>
      <c r="B139" t="s">
        <v>196</v>
      </c>
      <c r="C139">
        <v>1</v>
      </c>
      <c r="D139">
        <v>1</v>
      </c>
      <c r="E139">
        <v>300</v>
      </c>
      <c r="F139" t="s">
        <v>51</v>
      </c>
      <c r="G139" t="s">
        <v>755</v>
      </c>
      <c r="H139" s="8" t="s">
        <v>1072</v>
      </c>
      <c r="I139">
        <f t="shared" si="7"/>
        <v>300</v>
      </c>
      <c r="J139">
        <f t="shared" si="8"/>
        <v>136.07771100000002</v>
      </c>
      <c r="K139">
        <v>4.1879999999999997</v>
      </c>
      <c r="L139" s="8">
        <f t="shared" si="9"/>
        <v>569.89345366800001</v>
      </c>
    </row>
    <row r="140" spans="1:12" x14ac:dyDescent="0.2">
      <c r="A140" s="4">
        <v>43371</v>
      </c>
      <c r="B140" t="s">
        <v>201</v>
      </c>
      <c r="C140">
        <v>1</v>
      </c>
      <c r="D140">
        <v>1</v>
      </c>
      <c r="E140">
        <v>120</v>
      </c>
      <c r="F140" t="s">
        <v>52</v>
      </c>
      <c r="G140" t="s">
        <v>755</v>
      </c>
      <c r="H140" s="8" t="s">
        <v>1072</v>
      </c>
      <c r="I140">
        <f t="shared" si="7"/>
        <v>120</v>
      </c>
      <c r="J140">
        <f t="shared" si="8"/>
        <v>54.431084400000003</v>
      </c>
      <c r="K140">
        <v>4.1879999999999997</v>
      </c>
      <c r="L140" s="8">
        <f t="shared" si="9"/>
        <v>227.95738146720001</v>
      </c>
    </row>
    <row r="141" spans="1:12" x14ac:dyDescent="0.2">
      <c r="A141" s="4">
        <v>43371</v>
      </c>
      <c r="B141" t="s">
        <v>201</v>
      </c>
      <c r="C141">
        <v>1</v>
      </c>
      <c r="D141">
        <v>1</v>
      </c>
      <c r="E141">
        <v>40</v>
      </c>
      <c r="F141" t="s">
        <v>197</v>
      </c>
      <c r="G141" t="s">
        <v>755</v>
      </c>
      <c r="H141" s="8" t="s">
        <v>1072</v>
      </c>
      <c r="I141">
        <f t="shared" si="7"/>
        <v>40</v>
      </c>
      <c r="J141">
        <f t="shared" si="8"/>
        <v>18.143694800000002</v>
      </c>
      <c r="K141">
        <v>4.1879999999999997</v>
      </c>
      <c r="L141" s="8">
        <f t="shared" si="9"/>
        <v>75.985793822399998</v>
      </c>
    </row>
    <row r="142" spans="1:12" x14ac:dyDescent="0.2">
      <c r="A142" s="4">
        <v>43374</v>
      </c>
      <c r="B142" t="s">
        <v>201</v>
      </c>
      <c r="C142">
        <v>1</v>
      </c>
      <c r="D142">
        <v>1</v>
      </c>
      <c r="E142">
        <v>300</v>
      </c>
      <c r="F142" t="s">
        <v>51</v>
      </c>
      <c r="G142" t="s">
        <v>755</v>
      </c>
      <c r="H142" s="8" t="s">
        <v>1072</v>
      </c>
      <c r="I142">
        <f t="shared" si="7"/>
        <v>300</v>
      </c>
      <c r="J142">
        <f t="shared" si="8"/>
        <v>136.07771100000002</v>
      </c>
      <c r="K142">
        <v>4.1879999999999997</v>
      </c>
      <c r="L142" s="8">
        <f t="shared" si="9"/>
        <v>569.89345366800001</v>
      </c>
    </row>
    <row r="143" spans="1:12" x14ac:dyDescent="0.2">
      <c r="A143" s="4">
        <v>43374</v>
      </c>
      <c r="B143" t="s">
        <v>201</v>
      </c>
      <c r="C143">
        <v>1</v>
      </c>
      <c r="D143">
        <v>1</v>
      </c>
      <c r="E143">
        <v>300</v>
      </c>
      <c r="F143" t="s">
        <v>199</v>
      </c>
      <c r="G143" t="s">
        <v>755</v>
      </c>
      <c r="H143" s="8" t="s">
        <v>1072</v>
      </c>
      <c r="I143">
        <f t="shared" si="7"/>
        <v>300</v>
      </c>
      <c r="J143">
        <f t="shared" si="8"/>
        <v>136.07771100000002</v>
      </c>
      <c r="K143">
        <v>4.1879999999999997</v>
      </c>
      <c r="L143" s="8">
        <f t="shared" si="9"/>
        <v>569.89345366800001</v>
      </c>
    </row>
    <row r="144" spans="1:12" x14ac:dyDescent="0.2">
      <c r="A144" s="4">
        <v>43374</v>
      </c>
      <c r="B144" t="s">
        <v>201</v>
      </c>
      <c r="C144">
        <v>1</v>
      </c>
      <c r="D144">
        <v>1</v>
      </c>
      <c r="E144">
        <v>20</v>
      </c>
      <c r="F144" t="s">
        <v>200</v>
      </c>
      <c r="G144" t="s">
        <v>755</v>
      </c>
      <c r="H144" s="8" t="s">
        <v>1072</v>
      </c>
      <c r="I144">
        <f t="shared" si="7"/>
        <v>20</v>
      </c>
      <c r="J144">
        <f t="shared" si="8"/>
        <v>9.0718474000000011</v>
      </c>
      <c r="K144">
        <v>4.1879999999999997</v>
      </c>
      <c r="L144" s="8">
        <f t="shared" si="9"/>
        <v>37.992896911199999</v>
      </c>
    </row>
    <row r="145" spans="1:14" x14ac:dyDescent="0.2">
      <c r="A145" s="4">
        <v>43374</v>
      </c>
      <c r="B145" t="s">
        <v>201</v>
      </c>
      <c r="C145">
        <v>1</v>
      </c>
      <c r="D145">
        <v>1</v>
      </c>
      <c r="E145">
        <v>160</v>
      </c>
      <c r="F145" t="s">
        <v>52</v>
      </c>
      <c r="G145" t="s">
        <v>755</v>
      </c>
      <c r="H145" s="8" t="s">
        <v>1072</v>
      </c>
      <c r="I145">
        <f t="shared" si="7"/>
        <v>160</v>
      </c>
      <c r="J145">
        <f t="shared" si="8"/>
        <v>72.574779200000009</v>
      </c>
      <c r="K145">
        <v>4.1879999999999997</v>
      </c>
      <c r="L145" s="8">
        <f t="shared" si="9"/>
        <v>303.94317528959999</v>
      </c>
    </row>
    <row r="146" spans="1:14" x14ac:dyDescent="0.2">
      <c r="A146" s="4">
        <v>43376</v>
      </c>
      <c r="B146" t="s">
        <v>201</v>
      </c>
      <c r="C146">
        <v>1</v>
      </c>
      <c r="D146">
        <v>1</v>
      </c>
      <c r="E146">
        <v>300</v>
      </c>
      <c r="F146" t="s">
        <v>51</v>
      </c>
      <c r="G146" t="s">
        <v>755</v>
      </c>
      <c r="H146" s="8" t="s">
        <v>1072</v>
      </c>
      <c r="I146">
        <f t="shared" ref="I146:I155" si="10">C146*D146*E146</f>
        <v>300</v>
      </c>
      <c r="J146">
        <f t="shared" si="8"/>
        <v>136.07771100000002</v>
      </c>
      <c r="K146">
        <v>4.1879999999999997</v>
      </c>
      <c r="L146" s="8">
        <f t="shared" si="9"/>
        <v>569.89345366800001</v>
      </c>
    </row>
    <row r="147" spans="1:14" x14ac:dyDescent="0.2">
      <c r="A147" s="4">
        <v>43376</v>
      </c>
      <c r="B147" t="s">
        <v>201</v>
      </c>
      <c r="C147">
        <v>1</v>
      </c>
      <c r="D147">
        <v>1</v>
      </c>
      <c r="E147">
        <v>300</v>
      </c>
      <c r="F147" t="s">
        <v>199</v>
      </c>
      <c r="G147" t="s">
        <v>755</v>
      </c>
      <c r="H147" s="8" t="s">
        <v>1072</v>
      </c>
      <c r="I147">
        <f t="shared" si="10"/>
        <v>300</v>
      </c>
      <c r="J147">
        <f t="shared" si="8"/>
        <v>136.07771100000002</v>
      </c>
      <c r="K147">
        <v>4.1879999999999997</v>
      </c>
      <c r="L147" s="8">
        <f t="shared" si="9"/>
        <v>569.89345366800001</v>
      </c>
    </row>
    <row r="148" spans="1:14" x14ac:dyDescent="0.2">
      <c r="A148" s="4">
        <v>43376</v>
      </c>
      <c r="B148" t="s">
        <v>201</v>
      </c>
      <c r="C148">
        <v>1</v>
      </c>
      <c r="D148">
        <v>1</v>
      </c>
      <c r="E148">
        <v>20</v>
      </c>
      <c r="F148" t="s">
        <v>200</v>
      </c>
      <c r="G148" t="s">
        <v>755</v>
      </c>
      <c r="H148" s="8" t="s">
        <v>1072</v>
      </c>
      <c r="I148">
        <f t="shared" si="10"/>
        <v>20</v>
      </c>
      <c r="J148">
        <f t="shared" si="8"/>
        <v>9.0718474000000011</v>
      </c>
      <c r="K148">
        <v>4.1879999999999997</v>
      </c>
      <c r="L148" s="8">
        <f t="shared" si="9"/>
        <v>37.992896911199999</v>
      </c>
    </row>
    <row r="149" spans="1:14" x14ac:dyDescent="0.2">
      <c r="A149" s="4">
        <v>43376</v>
      </c>
      <c r="B149" t="s">
        <v>201</v>
      </c>
      <c r="C149">
        <v>1</v>
      </c>
      <c r="D149">
        <v>1</v>
      </c>
      <c r="E149">
        <v>160</v>
      </c>
      <c r="F149" t="s">
        <v>52</v>
      </c>
      <c r="G149" t="s">
        <v>755</v>
      </c>
      <c r="H149" s="8" t="s">
        <v>1072</v>
      </c>
      <c r="I149">
        <f t="shared" si="10"/>
        <v>160</v>
      </c>
      <c r="J149">
        <f t="shared" si="8"/>
        <v>72.574779200000009</v>
      </c>
      <c r="K149">
        <v>4.1879999999999997</v>
      </c>
      <c r="L149" s="8">
        <f t="shared" si="9"/>
        <v>303.94317528959999</v>
      </c>
    </row>
    <row r="150" spans="1:14" x14ac:dyDescent="0.2">
      <c r="A150" s="4">
        <v>43376</v>
      </c>
      <c r="B150" t="s">
        <v>201</v>
      </c>
      <c r="C150">
        <v>1</v>
      </c>
      <c r="D150">
        <v>1</v>
      </c>
      <c r="E150">
        <v>300</v>
      </c>
      <c r="F150" t="s">
        <v>51</v>
      </c>
      <c r="G150" t="s">
        <v>755</v>
      </c>
      <c r="H150" s="8" t="s">
        <v>1072</v>
      </c>
      <c r="I150">
        <f t="shared" si="10"/>
        <v>300</v>
      </c>
      <c r="J150">
        <f t="shared" si="8"/>
        <v>136.07771100000002</v>
      </c>
      <c r="K150">
        <v>4.1879999999999997</v>
      </c>
      <c r="L150" s="8">
        <f t="shared" si="9"/>
        <v>569.89345366800001</v>
      </c>
    </row>
    <row r="151" spans="1:14" x14ac:dyDescent="0.2">
      <c r="A151" s="4">
        <v>43434</v>
      </c>
      <c r="B151" t="s">
        <v>538</v>
      </c>
      <c r="C151">
        <v>8</v>
      </c>
      <c r="D151">
        <v>6</v>
      </c>
      <c r="E151">
        <v>10</v>
      </c>
      <c r="F151" t="s">
        <v>539</v>
      </c>
      <c r="G151" t="s">
        <v>896</v>
      </c>
      <c r="H151" s="6" t="s">
        <v>1071</v>
      </c>
      <c r="I151">
        <f t="shared" si="10"/>
        <v>480</v>
      </c>
      <c r="J151">
        <f t="shared" si="8"/>
        <v>217.72433760000001</v>
      </c>
      <c r="K151">
        <v>0.49099999999999999</v>
      </c>
      <c r="L151">
        <f t="shared" si="9"/>
        <v>106.9026497616</v>
      </c>
    </row>
    <row r="152" spans="1:14" x14ac:dyDescent="0.2">
      <c r="A152" s="4">
        <v>43439</v>
      </c>
      <c r="B152" t="s">
        <v>538</v>
      </c>
      <c r="C152">
        <v>3</v>
      </c>
      <c r="D152">
        <v>6</v>
      </c>
      <c r="E152">
        <v>10</v>
      </c>
      <c r="F152" t="s">
        <v>539</v>
      </c>
      <c r="G152" t="s">
        <v>896</v>
      </c>
      <c r="H152" s="6" t="s">
        <v>1071</v>
      </c>
      <c r="I152">
        <f t="shared" si="10"/>
        <v>180</v>
      </c>
      <c r="J152">
        <f t="shared" si="8"/>
        <v>81.646626600000005</v>
      </c>
      <c r="K152">
        <v>0.49099999999999999</v>
      </c>
      <c r="L152">
        <f t="shared" si="9"/>
        <v>40.088493660600001</v>
      </c>
    </row>
    <row r="153" spans="1:14" x14ac:dyDescent="0.2">
      <c r="A153" s="4">
        <v>43434</v>
      </c>
      <c r="B153" t="s">
        <v>531</v>
      </c>
      <c r="C153">
        <v>11</v>
      </c>
      <c r="D153">
        <v>100</v>
      </c>
      <c r="E153">
        <f>2.6/16</f>
        <v>0.16250000000000001</v>
      </c>
      <c r="F153" t="s">
        <v>532</v>
      </c>
      <c r="G153" s="6" t="s">
        <v>853</v>
      </c>
      <c r="H153" s="6" t="s">
        <v>1071</v>
      </c>
      <c r="I153">
        <f t="shared" si="10"/>
        <v>178.75</v>
      </c>
      <c r="J153">
        <f t="shared" si="8"/>
        <v>81.079636137500003</v>
      </c>
      <c r="K153">
        <v>1.2</v>
      </c>
      <c r="L153">
        <f t="shared" si="9"/>
        <v>97.295563365000007</v>
      </c>
    </row>
    <row r="154" spans="1:14" x14ac:dyDescent="0.2">
      <c r="A154" s="4">
        <v>43372</v>
      </c>
      <c r="B154" t="s">
        <v>48</v>
      </c>
      <c r="C154">
        <v>2</v>
      </c>
      <c r="D154">
        <v>1</v>
      </c>
      <c r="E154">
        <f>30*(2.8/16)</f>
        <v>5.25</v>
      </c>
      <c r="F154" t="s">
        <v>88</v>
      </c>
      <c r="G154" t="s">
        <v>88</v>
      </c>
      <c r="H154" s="8" t="s">
        <v>1067</v>
      </c>
      <c r="I154">
        <f t="shared" si="10"/>
        <v>10.5</v>
      </c>
      <c r="J154">
        <f t="shared" si="8"/>
        <v>4.7627198850000001</v>
      </c>
      <c r="K154">
        <v>0.26100000000000001</v>
      </c>
      <c r="L154" s="8">
        <f t="shared" si="9"/>
        <v>1.2430698899850001</v>
      </c>
    </row>
    <row r="155" spans="1:14" x14ac:dyDescent="0.2">
      <c r="A155" s="4">
        <v>43371</v>
      </c>
      <c r="B155" t="s">
        <v>48</v>
      </c>
      <c r="C155">
        <v>1</v>
      </c>
      <c r="D155">
        <v>1</v>
      </c>
      <c r="E155">
        <f>30*(2.8/16)</f>
        <v>5.25</v>
      </c>
      <c r="F155" t="s">
        <v>88</v>
      </c>
      <c r="G155" t="s">
        <v>88</v>
      </c>
      <c r="H155" s="8" t="s">
        <v>1067</v>
      </c>
      <c r="I155">
        <f t="shared" si="10"/>
        <v>5.25</v>
      </c>
      <c r="J155">
        <f t="shared" si="8"/>
        <v>2.3813599425</v>
      </c>
      <c r="K155">
        <v>0.26100000000000001</v>
      </c>
      <c r="L155" s="8">
        <f t="shared" si="9"/>
        <v>0.62153494499250006</v>
      </c>
    </row>
    <row r="156" spans="1:14" x14ac:dyDescent="0.2">
      <c r="A156" s="4">
        <v>43439</v>
      </c>
      <c r="B156" t="s">
        <v>538</v>
      </c>
      <c r="C156">
        <v>1</v>
      </c>
      <c r="D156">
        <v>6</v>
      </c>
      <c r="E156" t="s">
        <v>422</v>
      </c>
      <c r="F156" t="s">
        <v>423</v>
      </c>
      <c r="G156" s="14" t="s">
        <v>919</v>
      </c>
      <c r="H156" s="6" t="s">
        <v>1071</v>
      </c>
      <c r="I156">
        <v>0</v>
      </c>
      <c r="J156">
        <f t="shared" si="8"/>
        <v>0</v>
      </c>
      <c r="K156">
        <v>33.646999999999998</v>
      </c>
      <c r="L156">
        <f t="shared" si="9"/>
        <v>0</v>
      </c>
    </row>
    <row r="157" spans="1:14" x14ac:dyDescent="0.2">
      <c r="A157" s="4">
        <v>43371</v>
      </c>
      <c r="B157" t="s">
        <v>48</v>
      </c>
      <c r="C157">
        <v>2</v>
      </c>
      <c r="D157">
        <v>1</v>
      </c>
      <c r="E157">
        <v>10</v>
      </c>
      <c r="F157" t="s">
        <v>213</v>
      </c>
      <c r="G157" t="s">
        <v>213</v>
      </c>
      <c r="H157" s="8" t="s">
        <v>1067</v>
      </c>
      <c r="I157">
        <f t="shared" ref="I157:I177" si="11">C157*D157*E157</f>
        <v>20</v>
      </c>
      <c r="J157">
        <f t="shared" si="8"/>
        <v>9.0718474000000011</v>
      </c>
      <c r="K157">
        <v>0.20599999999999999</v>
      </c>
      <c r="L157" s="8">
        <f t="shared" si="9"/>
        <v>1.8688005644000001</v>
      </c>
    </row>
    <row r="158" spans="1:14" x14ac:dyDescent="0.2">
      <c r="A158" s="4">
        <v>43377</v>
      </c>
      <c r="B158" t="s">
        <v>48</v>
      </c>
      <c r="C158" s="28">
        <v>3</v>
      </c>
      <c r="D158">
        <v>1</v>
      </c>
      <c r="E158">
        <v>10</v>
      </c>
      <c r="F158" t="s">
        <v>271</v>
      </c>
      <c r="G158" t="s">
        <v>794</v>
      </c>
      <c r="H158" s="8" t="s">
        <v>1067</v>
      </c>
      <c r="I158">
        <f t="shared" si="11"/>
        <v>30</v>
      </c>
      <c r="J158">
        <f t="shared" si="8"/>
        <v>13.607771100000001</v>
      </c>
      <c r="K158">
        <v>0.20599999999999999</v>
      </c>
      <c r="L158" s="8">
        <f t="shared" si="9"/>
        <v>2.8032008465999998</v>
      </c>
    </row>
    <row r="159" spans="1:14" x14ac:dyDescent="0.2">
      <c r="A159" s="4">
        <v>43434</v>
      </c>
      <c r="B159" t="s">
        <v>538</v>
      </c>
      <c r="C159">
        <v>4</v>
      </c>
      <c r="D159">
        <v>2</v>
      </c>
      <c r="E159">
        <f>1.5*9.59</f>
        <v>14.385</v>
      </c>
      <c r="F159" t="s">
        <v>563</v>
      </c>
      <c r="G159" s="6" t="s">
        <v>980</v>
      </c>
      <c r="H159" s="9" t="s">
        <v>1071</v>
      </c>
      <c r="I159">
        <f t="shared" si="11"/>
        <v>115.08</v>
      </c>
      <c r="J159">
        <f t="shared" si="8"/>
        <v>52.199409939600002</v>
      </c>
      <c r="K159">
        <v>3.33</v>
      </c>
      <c r="L159">
        <f t="shared" si="9"/>
        <v>173.82403509886802</v>
      </c>
    </row>
    <row r="160" spans="1:14" x14ac:dyDescent="0.2">
      <c r="A160" s="4">
        <v>43437</v>
      </c>
      <c r="B160" t="s">
        <v>538</v>
      </c>
      <c r="C160">
        <v>1</v>
      </c>
      <c r="D160">
        <v>6</v>
      </c>
      <c r="E160">
        <v>7.125</v>
      </c>
      <c r="F160" t="s">
        <v>1007</v>
      </c>
      <c r="G160" s="6" t="s">
        <v>980</v>
      </c>
      <c r="H160" s="9" t="s">
        <v>1071</v>
      </c>
      <c r="I160">
        <f t="shared" si="11"/>
        <v>42.75</v>
      </c>
      <c r="J160">
        <f t="shared" si="8"/>
        <v>19.391073817500001</v>
      </c>
      <c r="K160">
        <v>3.33</v>
      </c>
      <c r="L160">
        <f t="shared" si="9"/>
        <v>64.572275812275009</v>
      </c>
      <c r="N160">
        <v>4.172698091</v>
      </c>
    </row>
    <row r="161" spans="1:19" x14ac:dyDescent="0.2">
      <c r="A161" s="4">
        <v>43439</v>
      </c>
      <c r="B161" t="s">
        <v>538</v>
      </c>
      <c r="C161">
        <v>2</v>
      </c>
      <c r="D161">
        <v>6</v>
      </c>
      <c r="E161">
        <v>7.125</v>
      </c>
      <c r="F161" t="s">
        <v>1007</v>
      </c>
      <c r="G161" s="6" t="s">
        <v>980</v>
      </c>
      <c r="H161" s="9" t="s">
        <v>1071</v>
      </c>
      <c r="I161">
        <f t="shared" si="11"/>
        <v>85.5</v>
      </c>
      <c r="J161">
        <f t="shared" si="8"/>
        <v>38.782147635000001</v>
      </c>
      <c r="K161">
        <v>3.33</v>
      </c>
      <c r="L161">
        <f t="shared" si="9"/>
        <v>129.14455162455002</v>
      </c>
    </row>
    <row r="162" spans="1:19" x14ac:dyDescent="0.2">
      <c r="A162" s="4">
        <v>43434</v>
      </c>
      <c r="B162" t="s">
        <v>538</v>
      </c>
      <c r="C162">
        <v>2</v>
      </c>
      <c r="D162">
        <v>2</v>
      </c>
      <c r="E162">
        <f>105/16</f>
        <v>6.5625</v>
      </c>
      <c r="F162" t="s">
        <v>561</v>
      </c>
      <c r="G162" s="6" t="s">
        <v>980</v>
      </c>
      <c r="H162" s="9" t="s">
        <v>1071</v>
      </c>
      <c r="I162">
        <f t="shared" si="11"/>
        <v>26.25</v>
      </c>
      <c r="J162">
        <f t="shared" si="8"/>
        <v>11.9067997125</v>
      </c>
      <c r="K162">
        <v>3.33</v>
      </c>
      <c r="L162">
        <f t="shared" si="9"/>
        <v>39.649643042625001</v>
      </c>
    </row>
    <row r="163" spans="1:19" x14ac:dyDescent="0.2">
      <c r="A163" s="4">
        <v>43439</v>
      </c>
      <c r="B163" t="s">
        <v>538</v>
      </c>
      <c r="C163">
        <v>1</v>
      </c>
      <c r="D163">
        <v>4</v>
      </c>
      <c r="E163">
        <f>105/16</f>
        <v>6.5625</v>
      </c>
      <c r="F163" t="s">
        <v>456</v>
      </c>
      <c r="G163" s="6" t="s">
        <v>980</v>
      </c>
      <c r="H163" s="9" t="s">
        <v>1071</v>
      </c>
      <c r="I163">
        <f t="shared" si="11"/>
        <v>26.25</v>
      </c>
      <c r="J163">
        <f t="shared" si="8"/>
        <v>11.9067997125</v>
      </c>
      <c r="K163">
        <v>3.33</v>
      </c>
      <c r="L163">
        <f t="shared" si="9"/>
        <v>39.649643042625001</v>
      </c>
    </row>
    <row r="164" spans="1:19" x14ac:dyDescent="0.2">
      <c r="A164" s="4">
        <v>43434</v>
      </c>
      <c r="B164" t="s">
        <v>538</v>
      </c>
      <c r="C164">
        <v>1</v>
      </c>
      <c r="D164">
        <v>6</v>
      </c>
      <c r="E164">
        <v>5</v>
      </c>
      <c r="F164" t="s">
        <v>549</v>
      </c>
      <c r="G164" s="6" t="s">
        <v>980</v>
      </c>
      <c r="H164" s="9" t="s">
        <v>1071</v>
      </c>
      <c r="I164">
        <f t="shared" si="11"/>
        <v>30</v>
      </c>
      <c r="J164">
        <f t="shared" si="8"/>
        <v>13.607771100000001</v>
      </c>
      <c r="K164">
        <v>3.33</v>
      </c>
      <c r="L164">
        <f t="shared" si="9"/>
        <v>45.313877763000001</v>
      </c>
    </row>
    <row r="165" spans="1:19" ht="17" thickBot="1" x14ac:dyDescent="0.25">
      <c r="A165" s="4">
        <v>43437</v>
      </c>
      <c r="B165" t="s">
        <v>538</v>
      </c>
      <c r="C165">
        <v>1</v>
      </c>
      <c r="D165">
        <v>4</v>
      </c>
      <c r="E165">
        <f>1.13*10.16</f>
        <v>11.480799999999999</v>
      </c>
      <c r="F165" t="s">
        <v>572</v>
      </c>
      <c r="G165" s="6" t="s">
        <v>980</v>
      </c>
      <c r="H165" s="9" t="s">
        <v>1071</v>
      </c>
      <c r="I165">
        <f t="shared" si="11"/>
        <v>45.923199999999994</v>
      </c>
      <c r="J165">
        <f t="shared" si="8"/>
        <v>20.830413125983998</v>
      </c>
      <c r="K165">
        <v>3.33</v>
      </c>
      <c r="L165">
        <f t="shared" si="9"/>
        <v>69.365275709526713</v>
      </c>
      <c r="N165" s="16" t="s">
        <v>137</v>
      </c>
      <c r="O165" s="16" t="s">
        <v>138</v>
      </c>
      <c r="P165" s="16" t="s">
        <v>139</v>
      </c>
      <c r="Q165" s="16" t="s">
        <v>140</v>
      </c>
      <c r="R165" s="16" t="s">
        <v>141</v>
      </c>
      <c r="S165" s="16" t="s">
        <v>142</v>
      </c>
    </row>
    <row r="166" spans="1:19" x14ac:dyDescent="0.2">
      <c r="A166" s="4">
        <v>43437</v>
      </c>
      <c r="B166" t="s">
        <v>538</v>
      </c>
      <c r="C166">
        <v>1</v>
      </c>
      <c r="D166">
        <v>12</v>
      </c>
      <c r="E166">
        <v>1.5625</v>
      </c>
      <c r="F166" t="s">
        <v>449</v>
      </c>
      <c r="G166" s="6" t="s">
        <v>980</v>
      </c>
      <c r="H166" s="9" t="s">
        <v>1071</v>
      </c>
      <c r="I166">
        <f t="shared" si="11"/>
        <v>18.75</v>
      </c>
      <c r="J166">
        <f t="shared" si="8"/>
        <v>8.5048569375000014</v>
      </c>
      <c r="K166">
        <v>3.33</v>
      </c>
      <c r="L166">
        <f t="shared" si="9"/>
        <v>28.321173601875007</v>
      </c>
      <c r="N166" s="17">
        <f>O166*Q166</f>
        <v>4.1726980906379181</v>
      </c>
      <c r="O166" s="18">
        <f>((R166)*P166)/S166</f>
        <v>0.83453961812758359</v>
      </c>
      <c r="P166">
        <v>2.20462E-3</v>
      </c>
      <c r="Q166" s="19">
        <v>5</v>
      </c>
      <c r="R166" s="19">
        <v>0.1</v>
      </c>
      <c r="S166">
        <v>2.6417200000000002E-4</v>
      </c>
    </row>
    <row r="167" spans="1:19" x14ac:dyDescent="0.2">
      <c r="A167" s="4">
        <v>43437</v>
      </c>
      <c r="B167" t="s">
        <v>538</v>
      </c>
      <c r="C167">
        <v>1</v>
      </c>
      <c r="D167">
        <v>4</v>
      </c>
      <c r="E167">
        <f>1.13*10.16</f>
        <v>11.480799999999999</v>
      </c>
      <c r="F167" t="s">
        <v>584</v>
      </c>
      <c r="G167" s="6" t="s">
        <v>980</v>
      </c>
      <c r="H167" s="9" t="s">
        <v>1071</v>
      </c>
      <c r="I167">
        <f t="shared" si="11"/>
        <v>45.923199999999994</v>
      </c>
      <c r="J167">
        <f t="shared" si="8"/>
        <v>20.830413125983998</v>
      </c>
      <c r="K167">
        <v>3.33</v>
      </c>
      <c r="L167">
        <f t="shared" si="9"/>
        <v>69.365275709526713</v>
      </c>
      <c r="N167" s="20"/>
      <c r="O167" s="21"/>
      <c r="P167" s="9"/>
      <c r="Q167" s="22"/>
      <c r="R167" s="22"/>
      <c r="S167" s="9"/>
    </row>
    <row r="168" spans="1:19" ht="17" thickBot="1" x14ac:dyDescent="0.25">
      <c r="A168" s="4">
        <v>43437</v>
      </c>
      <c r="B168" t="s">
        <v>538</v>
      </c>
      <c r="C168">
        <v>2</v>
      </c>
      <c r="D168">
        <v>4</v>
      </c>
      <c r="E168">
        <f>1.13*11.68</f>
        <v>13.198399999999998</v>
      </c>
      <c r="F168" t="s">
        <v>585</v>
      </c>
      <c r="G168" s="6" t="s">
        <v>980</v>
      </c>
      <c r="H168" s="9" t="s">
        <v>1071</v>
      </c>
      <c r="I168">
        <f t="shared" si="11"/>
        <v>105.58719999999998</v>
      </c>
      <c r="J168">
        <f t="shared" si="8"/>
        <v>47.893548289663997</v>
      </c>
      <c r="K168">
        <v>3.33</v>
      </c>
      <c r="L168">
        <f t="shared" si="9"/>
        <v>159.48551580458113</v>
      </c>
      <c r="N168" s="16" t="s">
        <v>137</v>
      </c>
      <c r="O168" s="16" t="s">
        <v>144</v>
      </c>
      <c r="P168" s="16" t="s">
        <v>139</v>
      </c>
      <c r="Q168" s="16" t="s">
        <v>145</v>
      </c>
      <c r="R168" s="16" t="s">
        <v>141</v>
      </c>
      <c r="S168" s="16" t="s">
        <v>146</v>
      </c>
    </row>
    <row r="169" spans="1:19" x14ac:dyDescent="0.2">
      <c r="A169" s="4">
        <v>43439</v>
      </c>
      <c r="B169" t="s">
        <v>538</v>
      </c>
      <c r="C169">
        <v>1</v>
      </c>
      <c r="D169">
        <v>24</v>
      </c>
      <c r="E169">
        <v>0.3125</v>
      </c>
      <c r="F169" t="s">
        <v>585</v>
      </c>
      <c r="G169" s="6" t="s">
        <v>980</v>
      </c>
      <c r="H169" s="9" t="s">
        <v>1071</v>
      </c>
      <c r="I169">
        <f t="shared" si="11"/>
        <v>7.5</v>
      </c>
      <c r="J169">
        <f t="shared" si="8"/>
        <v>3.4019427750000002</v>
      </c>
      <c r="K169">
        <v>3.33</v>
      </c>
      <c r="L169">
        <f t="shared" si="9"/>
        <v>11.32846944075</v>
      </c>
      <c r="N169" s="23">
        <f>O169*Q169</f>
        <v>2.1280719984101295</v>
      </c>
      <c r="O169" s="24">
        <f>((R169)*P169)/S169</f>
        <v>2.1280719984101295</v>
      </c>
      <c r="P169">
        <v>2.20462E-3</v>
      </c>
      <c r="Q169" s="25">
        <v>1</v>
      </c>
      <c r="R169" s="25">
        <v>1.02</v>
      </c>
      <c r="S169">
        <v>1.0566900000000001E-3</v>
      </c>
    </row>
    <row r="170" spans="1:19" x14ac:dyDescent="0.2">
      <c r="A170" s="4">
        <v>43439</v>
      </c>
      <c r="B170" t="s">
        <v>538</v>
      </c>
      <c r="C170">
        <v>1</v>
      </c>
      <c r="D170">
        <v>24</v>
      </c>
      <c r="E170">
        <f>6/16</f>
        <v>0.375</v>
      </c>
      <c r="F170" t="s">
        <v>594</v>
      </c>
      <c r="G170" s="6" t="s">
        <v>980</v>
      </c>
      <c r="H170" s="9" t="s">
        <v>1071</v>
      </c>
      <c r="I170">
        <f t="shared" si="11"/>
        <v>9</v>
      </c>
      <c r="J170">
        <f t="shared" si="8"/>
        <v>4.0823313299999997</v>
      </c>
      <c r="K170">
        <v>3.33</v>
      </c>
      <c r="L170">
        <f t="shared" si="9"/>
        <v>13.594163328899999</v>
      </c>
    </row>
    <row r="171" spans="1:19" x14ac:dyDescent="0.2">
      <c r="A171" s="4">
        <v>43439</v>
      </c>
      <c r="B171" t="s">
        <v>538</v>
      </c>
      <c r="C171">
        <v>1</v>
      </c>
      <c r="D171">
        <v>12</v>
      </c>
      <c r="E171">
        <v>1.5625</v>
      </c>
      <c r="F171" t="s">
        <v>449</v>
      </c>
      <c r="G171" s="6" t="s">
        <v>980</v>
      </c>
      <c r="H171" s="9" t="s">
        <v>1071</v>
      </c>
      <c r="I171">
        <f t="shared" si="11"/>
        <v>18.75</v>
      </c>
      <c r="J171">
        <f t="shared" si="8"/>
        <v>8.5048569375000014</v>
      </c>
      <c r="K171">
        <v>3.33</v>
      </c>
      <c r="L171">
        <f t="shared" si="9"/>
        <v>28.321173601875007</v>
      </c>
    </row>
    <row r="172" spans="1:19" x14ac:dyDescent="0.2">
      <c r="A172" s="4">
        <v>43439</v>
      </c>
      <c r="B172" t="s">
        <v>538</v>
      </c>
      <c r="C172">
        <v>1</v>
      </c>
      <c r="D172">
        <v>12</v>
      </c>
      <c r="E172">
        <v>10.4375</v>
      </c>
      <c r="F172" t="s">
        <v>460</v>
      </c>
      <c r="G172" s="6" t="s">
        <v>980</v>
      </c>
      <c r="H172" s="9" t="s">
        <v>1071</v>
      </c>
      <c r="I172">
        <f t="shared" si="11"/>
        <v>125.25</v>
      </c>
      <c r="J172">
        <f t="shared" si="8"/>
        <v>56.812444342500001</v>
      </c>
      <c r="K172">
        <v>3.33</v>
      </c>
      <c r="L172">
        <f t="shared" si="9"/>
        <v>189.18543966052502</v>
      </c>
    </row>
    <row r="173" spans="1:19" x14ac:dyDescent="0.2">
      <c r="A173" s="4">
        <v>43434</v>
      </c>
      <c r="B173" t="s">
        <v>538</v>
      </c>
      <c r="C173">
        <v>4</v>
      </c>
      <c r="D173">
        <v>4</v>
      </c>
      <c r="E173">
        <v>7.79</v>
      </c>
      <c r="F173" t="s">
        <v>543</v>
      </c>
      <c r="G173" s="6" t="s">
        <v>1089</v>
      </c>
      <c r="H173" s="9" t="s">
        <v>1073</v>
      </c>
      <c r="I173">
        <f t="shared" si="11"/>
        <v>124.64</v>
      </c>
      <c r="J173">
        <f t="shared" si="8"/>
        <v>56.535752996799999</v>
      </c>
      <c r="K173">
        <v>3.33</v>
      </c>
      <c r="L173">
        <f t="shared" si="9"/>
        <v>188.26405747934399</v>
      </c>
    </row>
    <row r="174" spans="1:19" x14ac:dyDescent="0.2">
      <c r="A174" s="4">
        <v>43439</v>
      </c>
      <c r="B174" t="s">
        <v>538</v>
      </c>
      <c r="C174">
        <v>3</v>
      </c>
      <c r="D174">
        <v>4</v>
      </c>
      <c r="E174">
        <v>7.79</v>
      </c>
      <c r="F174" t="s">
        <v>543</v>
      </c>
      <c r="G174" s="6" t="s">
        <v>1089</v>
      </c>
      <c r="H174" s="9" t="s">
        <v>1073</v>
      </c>
      <c r="I174">
        <f t="shared" si="11"/>
        <v>93.48</v>
      </c>
      <c r="J174">
        <f t="shared" si="8"/>
        <v>42.4018147476</v>
      </c>
      <c r="K174">
        <v>3.33</v>
      </c>
      <c r="L174">
        <f t="shared" si="9"/>
        <v>141.19804310950801</v>
      </c>
    </row>
    <row r="175" spans="1:19" x14ac:dyDescent="0.2">
      <c r="A175" s="4">
        <v>43437</v>
      </c>
      <c r="B175" t="s">
        <v>531</v>
      </c>
      <c r="C175">
        <v>3</v>
      </c>
      <c r="D175">
        <v>1</v>
      </c>
      <c r="E175">
        <v>30</v>
      </c>
      <c r="F175" t="s">
        <v>411</v>
      </c>
      <c r="G175" t="s">
        <v>849</v>
      </c>
      <c r="H175" s="6" t="s">
        <v>1071</v>
      </c>
      <c r="I175">
        <f t="shared" si="11"/>
        <v>90</v>
      </c>
      <c r="J175">
        <f t="shared" si="8"/>
        <v>40.823313300000002</v>
      </c>
      <c r="K175">
        <v>0.75700000000000001</v>
      </c>
      <c r="L175">
        <f t="shared" si="9"/>
        <v>30.903248168100003</v>
      </c>
    </row>
    <row r="176" spans="1:19" x14ac:dyDescent="0.2">
      <c r="A176" s="4">
        <v>43439</v>
      </c>
      <c r="B176" t="s">
        <v>531</v>
      </c>
      <c r="C176">
        <v>1</v>
      </c>
      <c r="D176">
        <v>1</v>
      </c>
      <c r="E176">
        <v>30</v>
      </c>
      <c r="F176" t="s">
        <v>411</v>
      </c>
      <c r="G176" t="s">
        <v>849</v>
      </c>
      <c r="H176" s="6" t="s">
        <v>1071</v>
      </c>
      <c r="I176">
        <f t="shared" si="11"/>
        <v>30</v>
      </c>
      <c r="J176">
        <f t="shared" si="8"/>
        <v>13.607771100000001</v>
      </c>
      <c r="K176">
        <v>0.75700000000000001</v>
      </c>
      <c r="L176">
        <f t="shared" si="9"/>
        <v>10.3010827227</v>
      </c>
    </row>
    <row r="177" spans="1:12" x14ac:dyDescent="0.2">
      <c r="A177" s="4">
        <v>43434</v>
      </c>
      <c r="B177" t="s">
        <v>525</v>
      </c>
      <c r="C177">
        <v>12</v>
      </c>
      <c r="D177">
        <v>1</v>
      </c>
      <c r="E177">
        <v>10</v>
      </c>
      <c r="F177" t="s">
        <v>526</v>
      </c>
      <c r="G177" s="9" t="s">
        <v>889</v>
      </c>
      <c r="H177" s="9" t="s">
        <v>1072</v>
      </c>
      <c r="I177">
        <f t="shared" si="11"/>
        <v>120</v>
      </c>
      <c r="J177">
        <f t="shared" si="8"/>
        <v>54.431084400000003</v>
      </c>
      <c r="K177">
        <v>32.845999999999997</v>
      </c>
      <c r="L177">
        <f t="shared" si="9"/>
        <v>1787.8433982023998</v>
      </c>
    </row>
    <row r="178" spans="1:12" x14ac:dyDescent="0.2">
      <c r="A178" s="4">
        <v>43439</v>
      </c>
      <c r="B178" t="s">
        <v>538</v>
      </c>
      <c r="C178">
        <v>1</v>
      </c>
      <c r="D178">
        <v>12</v>
      </c>
      <c r="E178" t="s">
        <v>407</v>
      </c>
      <c r="F178" t="s">
        <v>542</v>
      </c>
      <c r="G178" s="14" t="s">
        <v>916</v>
      </c>
      <c r="H178" t="s">
        <v>1071</v>
      </c>
      <c r="I178">
        <v>0</v>
      </c>
      <c r="J178">
        <f t="shared" si="8"/>
        <v>0</v>
      </c>
      <c r="K178">
        <v>0.55000000000000004</v>
      </c>
      <c r="L178">
        <f t="shared" si="9"/>
        <v>0</v>
      </c>
    </row>
    <row r="179" spans="1:12" x14ac:dyDescent="0.2">
      <c r="A179" s="4">
        <v>43437</v>
      </c>
      <c r="B179" t="s">
        <v>538</v>
      </c>
      <c r="C179">
        <v>1</v>
      </c>
      <c r="D179">
        <v>1</v>
      </c>
      <c r="E179">
        <v>25</v>
      </c>
      <c r="F179" t="s">
        <v>573</v>
      </c>
      <c r="G179" t="s">
        <v>916</v>
      </c>
      <c r="H179" s="9" t="s">
        <v>1071</v>
      </c>
      <c r="I179">
        <f>C179*D179*E179</f>
        <v>25</v>
      </c>
      <c r="J179">
        <f t="shared" si="8"/>
        <v>11.33980925</v>
      </c>
      <c r="K179">
        <v>0.55000000000000004</v>
      </c>
      <c r="L179">
        <f t="shared" si="9"/>
        <v>6.2368950875000007</v>
      </c>
    </row>
    <row r="180" spans="1:12" x14ac:dyDescent="0.2">
      <c r="A180" s="4">
        <v>43437</v>
      </c>
      <c r="B180" t="s">
        <v>538</v>
      </c>
      <c r="C180">
        <v>1</v>
      </c>
      <c r="D180">
        <v>6</v>
      </c>
      <c r="E180">
        <v>5</v>
      </c>
      <c r="F180" t="s">
        <v>579</v>
      </c>
      <c r="G180" s="6" t="s">
        <v>916</v>
      </c>
      <c r="H180" s="9" t="s">
        <v>1071</v>
      </c>
      <c r="I180">
        <f>C180*D180*E180</f>
        <v>30</v>
      </c>
      <c r="J180">
        <f t="shared" si="8"/>
        <v>13.607771100000001</v>
      </c>
      <c r="K180">
        <v>0.55000000000000004</v>
      </c>
      <c r="L180">
        <f t="shared" si="9"/>
        <v>7.4842741050000008</v>
      </c>
    </row>
    <row r="181" spans="1:12" x14ac:dyDescent="0.2">
      <c r="A181" s="4">
        <v>43439</v>
      </c>
      <c r="B181" t="s">
        <v>538</v>
      </c>
      <c r="C181">
        <v>1</v>
      </c>
      <c r="D181">
        <v>24</v>
      </c>
      <c r="E181">
        <v>1</v>
      </c>
      <c r="F181" t="s">
        <v>433</v>
      </c>
      <c r="G181" t="s">
        <v>900</v>
      </c>
      <c r="H181" s="9" t="s">
        <v>1071</v>
      </c>
      <c r="I181">
        <f>C181*D181*E181</f>
        <v>24</v>
      </c>
      <c r="J181">
        <f t="shared" si="8"/>
        <v>10.886216880000001</v>
      </c>
      <c r="K181">
        <v>0.76</v>
      </c>
      <c r="L181">
        <f t="shared" si="9"/>
        <v>8.2735248288000012</v>
      </c>
    </row>
    <row r="182" spans="1:12" x14ac:dyDescent="0.2">
      <c r="A182" s="4">
        <v>43434</v>
      </c>
      <c r="B182" t="s">
        <v>538</v>
      </c>
      <c r="C182">
        <v>2</v>
      </c>
      <c r="D182">
        <v>24</v>
      </c>
      <c r="E182">
        <v>1</v>
      </c>
      <c r="F182" t="s">
        <v>433</v>
      </c>
      <c r="G182" t="s">
        <v>900</v>
      </c>
      <c r="H182" s="9" t="s">
        <v>1071</v>
      </c>
      <c r="I182">
        <f>C182*D182*E182</f>
        <v>48</v>
      </c>
      <c r="J182">
        <f t="shared" si="8"/>
        <v>21.772433760000002</v>
      </c>
      <c r="K182">
        <v>0.76</v>
      </c>
      <c r="L182">
        <f t="shared" si="9"/>
        <v>16.547049657600002</v>
      </c>
    </row>
    <row r="183" spans="1:12" x14ac:dyDescent="0.2">
      <c r="A183" s="4">
        <v>43439</v>
      </c>
      <c r="B183" t="s">
        <v>538</v>
      </c>
      <c r="C183">
        <v>1</v>
      </c>
      <c r="D183">
        <v>500</v>
      </c>
      <c r="E183" t="s">
        <v>1088</v>
      </c>
      <c r="F183" t="s">
        <v>430</v>
      </c>
      <c r="G183" s="14" t="s">
        <v>881</v>
      </c>
      <c r="H183" s="9" t="s">
        <v>1071</v>
      </c>
      <c r="I183">
        <v>0</v>
      </c>
      <c r="J183">
        <f t="shared" si="8"/>
        <v>0</v>
      </c>
      <c r="K183">
        <v>2.5299999999999998</v>
      </c>
      <c r="L183">
        <f t="shared" si="9"/>
        <v>0</v>
      </c>
    </row>
    <row r="184" spans="1:12" x14ac:dyDescent="0.2">
      <c r="A184" s="4">
        <v>43439</v>
      </c>
      <c r="B184" t="s">
        <v>538</v>
      </c>
      <c r="C184">
        <v>1</v>
      </c>
      <c r="D184">
        <v>150</v>
      </c>
      <c r="E184">
        <v>3.125E-2</v>
      </c>
      <c r="F184" t="s">
        <v>442</v>
      </c>
      <c r="G184" s="6" t="s">
        <v>881</v>
      </c>
      <c r="H184" s="9" t="s">
        <v>1071</v>
      </c>
      <c r="I184">
        <f t="shared" ref="I184:I247" si="12">C184*D184*E184</f>
        <v>4.6875</v>
      </c>
      <c r="J184">
        <f t="shared" si="8"/>
        <v>2.1262142343750003</v>
      </c>
      <c r="K184">
        <v>2.5299999999999998</v>
      </c>
      <c r="L184">
        <f t="shared" si="9"/>
        <v>5.3793220129687507</v>
      </c>
    </row>
    <row r="185" spans="1:12" x14ac:dyDescent="0.2">
      <c r="A185" s="4">
        <v>43437</v>
      </c>
      <c r="B185" t="s">
        <v>538</v>
      </c>
      <c r="C185">
        <v>1</v>
      </c>
      <c r="D185">
        <v>1</v>
      </c>
      <c r="E185">
        <v>10</v>
      </c>
      <c r="F185" t="s">
        <v>454</v>
      </c>
      <c r="G185" t="s">
        <v>879</v>
      </c>
      <c r="H185" s="9" t="s">
        <v>1071</v>
      </c>
      <c r="I185">
        <f t="shared" si="12"/>
        <v>10</v>
      </c>
      <c r="J185">
        <f t="shared" si="8"/>
        <v>4.5359237000000006</v>
      </c>
      <c r="K185">
        <v>1.4179999999999999</v>
      </c>
      <c r="L185">
        <f t="shared" si="9"/>
        <v>6.4319398066000009</v>
      </c>
    </row>
    <row r="186" spans="1:12" x14ac:dyDescent="0.2">
      <c r="A186" s="4">
        <v>43434</v>
      </c>
      <c r="B186" t="s">
        <v>517</v>
      </c>
      <c r="C186">
        <v>1</v>
      </c>
      <c r="D186">
        <v>1</v>
      </c>
      <c r="E186">
        <v>2</v>
      </c>
      <c r="F186" t="s">
        <v>380</v>
      </c>
      <c r="G186" t="s">
        <v>841</v>
      </c>
      <c r="H186" s="9" t="s">
        <v>1073</v>
      </c>
      <c r="I186">
        <f t="shared" si="12"/>
        <v>2</v>
      </c>
      <c r="J186">
        <f t="shared" si="8"/>
        <v>0.90718474000000004</v>
      </c>
      <c r="K186">
        <v>5.32</v>
      </c>
      <c r="L186">
        <f t="shared" si="9"/>
        <v>4.8262228168000005</v>
      </c>
    </row>
    <row r="187" spans="1:12" x14ac:dyDescent="0.2">
      <c r="A187" s="4">
        <v>43439</v>
      </c>
      <c r="B187" t="s">
        <v>517</v>
      </c>
      <c r="C187">
        <v>1</v>
      </c>
      <c r="D187">
        <v>1</v>
      </c>
      <c r="E187">
        <v>2</v>
      </c>
      <c r="F187" t="s">
        <v>380</v>
      </c>
      <c r="G187" t="s">
        <v>841</v>
      </c>
      <c r="H187" s="9" t="s">
        <v>1073</v>
      </c>
      <c r="I187">
        <f t="shared" si="12"/>
        <v>2</v>
      </c>
      <c r="J187">
        <f t="shared" si="8"/>
        <v>0.90718474000000004</v>
      </c>
      <c r="K187">
        <v>5.32</v>
      </c>
      <c r="L187">
        <f t="shared" si="9"/>
        <v>4.8262228168000005</v>
      </c>
    </row>
    <row r="188" spans="1:12" x14ac:dyDescent="0.2">
      <c r="A188" s="4">
        <v>43372</v>
      </c>
      <c r="B188" t="s">
        <v>48</v>
      </c>
      <c r="C188">
        <v>2</v>
      </c>
      <c r="D188">
        <v>1</v>
      </c>
      <c r="E188">
        <f>10/9*50</f>
        <v>55.555555555555557</v>
      </c>
      <c r="F188" t="s">
        <v>89</v>
      </c>
      <c r="G188" t="s">
        <v>89</v>
      </c>
      <c r="H188" s="8" t="s">
        <v>1067</v>
      </c>
      <c r="I188">
        <f t="shared" si="12"/>
        <v>111.11111111111111</v>
      </c>
      <c r="J188">
        <f t="shared" si="8"/>
        <v>50.399152222222227</v>
      </c>
      <c r="K188">
        <v>0.40899999999999997</v>
      </c>
      <c r="L188" s="8">
        <f t="shared" si="9"/>
        <v>20.613253258888889</v>
      </c>
    </row>
    <row r="189" spans="1:12" x14ac:dyDescent="0.2">
      <c r="A189" s="4">
        <v>43371</v>
      </c>
      <c r="B189" t="s">
        <v>48</v>
      </c>
      <c r="C189">
        <v>2</v>
      </c>
      <c r="D189">
        <v>1</v>
      </c>
      <c r="E189">
        <f>10/9*50</f>
        <v>55.555555555555557</v>
      </c>
      <c r="F189" t="s">
        <v>89</v>
      </c>
      <c r="G189" t="s">
        <v>89</v>
      </c>
      <c r="H189" s="8" t="s">
        <v>1067</v>
      </c>
      <c r="I189">
        <f t="shared" si="12"/>
        <v>111.11111111111111</v>
      </c>
      <c r="J189">
        <f t="shared" si="8"/>
        <v>50.399152222222227</v>
      </c>
      <c r="K189">
        <v>0.40899999999999997</v>
      </c>
      <c r="L189" s="8">
        <f t="shared" si="9"/>
        <v>20.613253258888889</v>
      </c>
    </row>
    <row r="190" spans="1:12" x14ac:dyDescent="0.2">
      <c r="A190" s="4">
        <v>43374</v>
      </c>
      <c r="B190" t="s">
        <v>48</v>
      </c>
      <c r="C190">
        <v>1</v>
      </c>
      <c r="D190">
        <v>1</v>
      </c>
      <c r="E190">
        <f>10/9*50</f>
        <v>55.555555555555557</v>
      </c>
      <c r="F190" t="s">
        <v>89</v>
      </c>
      <c r="G190" t="s">
        <v>89</v>
      </c>
      <c r="H190" s="8" t="s">
        <v>1067</v>
      </c>
      <c r="I190">
        <f t="shared" si="12"/>
        <v>55.555555555555557</v>
      </c>
      <c r="J190">
        <f t="shared" si="8"/>
        <v>25.199576111111114</v>
      </c>
      <c r="K190">
        <v>0.40899999999999997</v>
      </c>
      <c r="L190" s="8">
        <f t="shared" si="9"/>
        <v>10.306626629444445</v>
      </c>
    </row>
    <row r="191" spans="1:12" x14ac:dyDescent="0.2">
      <c r="A191" s="4">
        <v>43377</v>
      </c>
      <c r="B191" t="s">
        <v>48</v>
      </c>
      <c r="C191" s="28">
        <v>1</v>
      </c>
      <c r="D191">
        <v>1</v>
      </c>
      <c r="E191">
        <f>10/9*50</f>
        <v>55.555555555555557</v>
      </c>
      <c r="F191" t="s">
        <v>254</v>
      </c>
      <c r="G191" t="s">
        <v>620</v>
      </c>
      <c r="H191" s="8" t="s">
        <v>1067</v>
      </c>
      <c r="I191">
        <f t="shared" si="12"/>
        <v>55.555555555555557</v>
      </c>
      <c r="J191">
        <f t="shared" si="8"/>
        <v>25.199576111111114</v>
      </c>
      <c r="K191">
        <v>0.40899999999999997</v>
      </c>
      <c r="L191" s="8">
        <f t="shared" si="9"/>
        <v>10.306626629444445</v>
      </c>
    </row>
    <row r="192" spans="1:12" x14ac:dyDescent="0.2">
      <c r="A192" s="4">
        <v>43439</v>
      </c>
      <c r="B192" t="s">
        <v>538</v>
      </c>
      <c r="C192">
        <v>2</v>
      </c>
      <c r="D192">
        <v>4</v>
      </c>
      <c r="E192">
        <v>8.35</v>
      </c>
      <c r="F192" t="s">
        <v>595</v>
      </c>
      <c r="G192" t="s">
        <v>89</v>
      </c>
      <c r="H192" s="9" t="s">
        <v>1071</v>
      </c>
      <c r="I192">
        <f t="shared" si="12"/>
        <v>66.8</v>
      </c>
      <c r="J192">
        <f t="shared" si="8"/>
        <v>30.299970316</v>
      </c>
      <c r="K192">
        <v>0.40899999999999997</v>
      </c>
      <c r="L192">
        <f t="shared" si="9"/>
        <v>12.392687859243999</v>
      </c>
    </row>
    <row r="193" spans="1:12" x14ac:dyDescent="0.2">
      <c r="A193" s="4">
        <v>43376</v>
      </c>
      <c r="B193" t="s">
        <v>48</v>
      </c>
      <c r="C193">
        <v>1</v>
      </c>
      <c r="D193">
        <v>1</v>
      </c>
      <c r="E193" s="27">
        <f>1/4</f>
        <v>0.25</v>
      </c>
      <c r="F193" t="s">
        <v>240</v>
      </c>
      <c r="G193" t="s">
        <v>95</v>
      </c>
      <c r="H193" s="8" t="s">
        <v>1067</v>
      </c>
      <c r="I193">
        <f t="shared" si="12"/>
        <v>0.25</v>
      </c>
      <c r="J193">
        <f t="shared" si="8"/>
        <v>0.11339809250000001</v>
      </c>
      <c r="K193">
        <v>0.87</v>
      </c>
      <c r="L193" s="8">
        <f t="shared" si="9"/>
        <v>9.8656340475000007E-2</v>
      </c>
    </row>
    <row r="194" spans="1:12" x14ac:dyDescent="0.2">
      <c r="A194" s="4">
        <v>43434</v>
      </c>
      <c r="B194" t="s">
        <v>517</v>
      </c>
      <c r="C194">
        <v>12</v>
      </c>
      <c r="D194">
        <v>2</v>
      </c>
      <c r="E194">
        <v>20</v>
      </c>
      <c r="F194" t="s">
        <v>381</v>
      </c>
      <c r="G194" t="s">
        <v>843</v>
      </c>
      <c r="H194" s="9" t="s">
        <v>1073</v>
      </c>
      <c r="I194">
        <f t="shared" si="12"/>
        <v>480</v>
      </c>
      <c r="J194">
        <f t="shared" si="8"/>
        <v>217.72433760000001</v>
      </c>
      <c r="K194">
        <v>3.754</v>
      </c>
      <c r="L194">
        <f t="shared" si="9"/>
        <v>817.33716335040003</v>
      </c>
    </row>
    <row r="195" spans="1:12" x14ac:dyDescent="0.2">
      <c r="A195" s="4">
        <v>43434</v>
      </c>
      <c r="B195" t="s">
        <v>517</v>
      </c>
      <c r="C195">
        <v>1</v>
      </c>
      <c r="D195">
        <v>15</v>
      </c>
      <c r="E195">
        <v>2</v>
      </c>
      <c r="F195" t="s">
        <v>385</v>
      </c>
      <c r="G195" t="s">
        <v>843</v>
      </c>
      <c r="H195" s="9" t="s">
        <v>1073</v>
      </c>
      <c r="I195">
        <f t="shared" si="12"/>
        <v>30</v>
      </c>
      <c r="J195">
        <f t="shared" ref="J195:J258" si="13">CONVERT(I195,"lbm","kg")</f>
        <v>13.607771100000001</v>
      </c>
      <c r="K195">
        <v>3.754</v>
      </c>
      <c r="L195">
        <f t="shared" ref="L195:L258" si="14">J195*K195</f>
        <v>51.083572709400002</v>
      </c>
    </row>
    <row r="196" spans="1:12" x14ac:dyDescent="0.2">
      <c r="A196" s="4">
        <v>43434</v>
      </c>
      <c r="B196" t="s">
        <v>517</v>
      </c>
      <c r="C196">
        <v>2</v>
      </c>
      <c r="D196">
        <v>15</v>
      </c>
      <c r="E196">
        <f>24/16</f>
        <v>1.5</v>
      </c>
      <c r="F196" t="s">
        <v>386</v>
      </c>
      <c r="G196" t="s">
        <v>843</v>
      </c>
      <c r="H196" s="9" t="s">
        <v>1073</v>
      </c>
      <c r="I196">
        <f t="shared" si="12"/>
        <v>45</v>
      </c>
      <c r="J196">
        <f t="shared" si="13"/>
        <v>20.411656650000001</v>
      </c>
      <c r="K196">
        <v>3.754</v>
      </c>
      <c r="L196">
        <f t="shared" si="14"/>
        <v>76.62535906410001</v>
      </c>
    </row>
    <row r="197" spans="1:12" x14ac:dyDescent="0.2">
      <c r="A197" s="4">
        <v>43437</v>
      </c>
      <c r="B197" t="s">
        <v>517</v>
      </c>
      <c r="C197">
        <v>13</v>
      </c>
      <c r="D197">
        <v>2</v>
      </c>
      <c r="E197">
        <v>20</v>
      </c>
      <c r="F197" t="s">
        <v>381</v>
      </c>
      <c r="G197" t="s">
        <v>843</v>
      </c>
      <c r="H197" s="9" t="s">
        <v>1073</v>
      </c>
      <c r="I197">
        <f t="shared" si="12"/>
        <v>520</v>
      </c>
      <c r="J197">
        <f t="shared" si="13"/>
        <v>235.8680324</v>
      </c>
      <c r="K197">
        <v>3.754</v>
      </c>
      <c r="L197">
        <f t="shared" si="14"/>
        <v>885.44859362960005</v>
      </c>
    </row>
    <row r="198" spans="1:12" x14ac:dyDescent="0.2">
      <c r="A198" s="4">
        <v>43437</v>
      </c>
      <c r="B198" t="s">
        <v>517</v>
      </c>
      <c r="C198">
        <v>2</v>
      </c>
      <c r="D198">
        <v>15</v>
      </c>
      <c r="E198">
        <v>2</v>
      </c>
      <c r="F198" t="s">
        <v>385</v>
      </c>
      <c r="G198" t="s">
        <v>843</v>
      </c>
      <c r="H198" s="9" t="s">
        <v>1073</v>
      </c>
      <c r="I198">
        <f t="shared" si="12"/>
        <v>60</v>
      </c>
      <c r="J198">
        <f t="shared" si="13"/>
        <v>27.215542200000002</v>
      </c>
      <c r="K198">
        <v>3.754</v>
      </c>
      <c r="L198">
        <f t="shared" si="14"/>
        <v>102.1671454188</v>
      </c>
    </row>
    <row r="199" spans="1:12" x14ac:dyDescent="0.2">
      <c r="A199" s="4">
        <v>43439</v>
      </c>
      <c r="B199" t="s">
        <v>517</v>
      </c>
      <c r="C199">
        <v>8</v>
      </c>
      <c r="D199">
        <v>2</v>
      </c>
      <c r="E199">
        <v>20</v>
      </c>
      <c r="F199" t="s">
        <v>381</v>
      </c>
      <c r="G199" t="s">
        <v>843</v>
      </c>
      <c r="H199" s="9" t="s">
        <v>1073</v>
      </c>
      <c r="I199">
        <f t="shared" si="12"/>
        <v>320</v>
      </c>
      <c r="J199">
        <f t="shared" si="13"/>
        <v>145.14955840000002</v>
      </c>
      <c r="K199">
        <v>3.754</v>
      </c>
      <c r="L199">
        <f t="shared" si="14"/>
        <v>544.89144223360006</v>
      </c>
    </row>
    <row r="200" spans="1:12" x14ac:dyDescent="0.2">
      <c r="A200" s="4">
        <v>43439</v>
      </c>
      <c r="B200" t="s">
        <v>517</v>
      </c>
      <c r="C200">
        <v>2</v>
      </c>
      <c r="D200">
        <v>15</v>
      </c>
      <c r="E200">
        <v>2</v>
      </c>
      <c r="F200" t="s">
        <v>385</v>
      </c>
      <c r="G200" t="s">
        <v>843</v>
      </c>
      <c r="H200" s="9" t="s">
        <v>1073</v>
      </c>
      <c r="I200">
        <f t="shared" si="12"/>
        <v>60</v>
      </c>
      <c r="J200">
        <f t="shared" si="13"/>
        <v>27.215542200000002</v>
      </c>
      <c r="K200">
        <v>3.754</v>
      </c>
      <c r="L200">
        <f t="shared" si="14"/>
        <v>102.1671454188</v>
      </c>
    </row>
    <row r="201" spans="1:12" x14ac:dyDescent="0.2">
      <c r="A201" s="4">
        <v>43439</v>
      </c>
      <c r="B201" t="s">
        <v>517</v>
      </c>
      <c r="C201">
        <v>4</v>
      </c>
      <c r="D201">
        <v>15</v>
      </c>
      <c r="E201">
        <f>24/16</f>
        <v>1.5</v>
      </c>
      <c r="F201" t="s">
        <v>386</v>
      </c>
      <c r="G201" t="s">
        <v>843</v>
      </c>
      <c r="H201" s="9" t="s">
        <v>1073</v>
      </c>
      <c r="I201">
        <f t="shared" si="12"/>
        <v>90</v>
      </c>
      <c r="J201">
        <f t="shared" si="13"/>
        <v>40.823313300000002</v>
      </c>
      <c r="K201">
        <v>3.754</v>
      </c>
      <c r="L201">
        <f t="shared" si="14"/>
        <v>153.25071812820002</v>
      </c>
    </row>
    <row r="202" spans="1:12" x14ac:dyDescent="0.2">
      <c r="A202" s="4">
        <v>43371</v>
      </c>
      <c r="B202" t="s">
        <v>48</v>
      </c>
      <c r="C202">
        <v>1</v>
      </c>
      <c r="D202">
        <v>1</v>
      </c>
      <c r="E202">
        <f>10/9*35</f>
        <v>38.888888888888893</v>
      </c>
      <c r="F202" t="s">
        <v>90</v>
      </c>
      <c r="G202" t="s">
        <v>90</v>
      </c>
      <c r="H202" s="8" t="s">
        <v>1067</v>
      </c>
      <c r="I202">
        <f t="shared" si="12"/>
        <v>38.888888888888893</v>
      </c>
      <c r="J202">
        <f t="shared" si="13"/>
        <v>17.63970327777778</v>
      </c>
      <c r="K202">
        <v>0.52600000000000002</v>
      </c>
      <c r="L202" s="8">
        <f t="shared" si="14"/>
        <v>9.2784839241111126</v>
      </c>
    </row>
    <row r="203" spans="1:12" x14ac:dyDescent="0.2">
      <c r="A203" s="4">
        <v>43371</v>
      </c>
      <c r="B203" t="s">
        <v>48</v>
      </c>
      <c r="C203">
        <v>1</v>
      </c>
      <c r="D203">
        <v>1</v>
      </c>
      <c r="E203">
        <f>10/9*35</f>
        <v>38.888888888888893</v>
      </c>
      <c r="F203" t="s">
        <v>90</v>
      </c>
      <c r="G203" t="s">
        <v>90</v>
      </c>
      <c r="H203" s="8" t="s">
        <v>1067</v>
      </c>
      <c r="I203">
        <f t="shared" si="12"/>
        <v>38.888888888888893</v>
      </c>
      <c r="J203">
        <f t="shared" si="13"/>
        <v>17.63970327777778</v>
      </c>
      <c r="K203">
        <v>0.52600000000000002</v>
      </c>
      <c r="L203" s="8">
        <f t="shared" si="14"/>
        <v>9.2784839241111126</v>
      </c>
    </row>
    <row r="204" spans="1:12" x14ac:dyDescent="0.2">
      <c r="A204" s="4">
        <v>43375</v>
      </c>
      <c r="B204" t="s">
        <v>48</v>
      </c>
      <c r="C204">
        <v>1</v>
      </c>
      <c r="D204">
        <v>1</v>
      </c>
      <c r="E204">
        <f>10/9*35</f>
        <v>38.888888888888893</v>
      </c>
      <c r="F204" t="s">
        <v>90</v>
      </c>
      <c r="G204" t="s">
        <v>90</v>
      </c>
      <c r="H204" s="8" t="s">
        <v>1067</v>
      </c>
      <c r="I204">
        <f t="shared" si="12"/>
        <v>38.888888888888893</v>
      </c>
      <c r="J204">
        <f t="shared" si="13"/>
        <v>17.63970327777778</v>
      </c>
      <c r="K204">
        <v>0.52600000000000002</v>
      </c>
      <c r="L204" s="8">
        <f t="shared" si="14"/>
        <v>9.2784839241111126</v>
      </c>
    </row>
    <row r="205" spans="1:12" x14ac:dyDescent="0.2">
      <c r="A205" s="4">
        <v>43376</v>
      </c>
      <c r="B205" t="s">
        <v>48</v>
      </c>
      <c r="C205">
        <v>2</v>
      </c>
      <c r="D205">
        <v>1</v>
      </c>
      <c r="E205">
        <f>10/9*35</f>
        <v>38.888888888888893</v>
      </c>
      <c r="F205" t="s">
        <v>90</v>
      </c>
      <c r="G205" t="s">
        <v>90</v>
      </c>
      <c r="H205" s="8" t="s">
        <v>1067</v>
      </c>
      <c r="I205">
        <f t="shared" si="12"/>
        <v>77.777777777777786</v>
      </c>
      <c r="J205">
        <f t="shared" si="13"/>
        <v>35.27940655555556</v>
      </c>
      <c r="K205">
        <v>0.52600000000000002</v>
      </c>
      <c r="L205" s="8">
        <f t="shared" si="14"/>
        <v>18.556967848222225</v>
      </c>
    </row>
    <row r="206" spans="1:12" x14ac:dyDescent="0.2">
      <c r="A206" s="4">
        <v>43377</v>
      </c>
      <c r="B206" t="s">
        <v>48</v>
      </c>
      <c r="C206" s="28">
        <v>1</v>
      </c>
      <c r="D206">
        <v>1</v>
      </c>
      <c r="E206">
        <f>10/9*35</f>
        <v>38.888888888888893</v>
      </c>
      <c r="F206" t="s">
        <v>255</v>
      </c>
      <c r="G206" t="s">
        <v>785</v>
      </c>
      <c r="H206" s="8" t="s">
        <v>1067</v>
      </c>
      <c r="I206">
        <f t="shared" si="12"/>
        <v>38.888888888888893</v>
      </c>
      <c r="J206">
        <f t="shared" si="13"/>
        <v>17.63970327777778</v>
      </c>
      <c r="K206">
        <v>0.52600000000000002</v>
      </c>
      <c r="L206" s="8">
        <f t="shared" si="14"/>
        <v>9.2784839241111126</v>
      </c>
    </row>
    <row r="207" spans="1:12" x14ac:dyDescent="0.2">
      <c r="A207" s="4">
        <v>43434</v>
      </c>
      <c r="B207" t="s">
        <v>527</v>
      </c>
      <c r="C207">
        <v>6</v>
      </c>
      <c r="D207">
        <v>1</v>
      </c>
      <c r="E207">
        <v>10</v>
      </c>
      <c r="F207" t="s">
        <v>528</v>
      </c>
      <c r="G207" t="s">
        <v>884</v>
      </c>
      <c r="H207" s="9" t="s">
        <v>1072</v>
      </c>
      <c r="I207">
        <f t="shared" si="12"/>
        <v>60</v>
      </c>
      <c r="J207">
        <f t="shared" si="13"/>
        <v>27.215542200000002</v>
      </c>
      <c r="K207">
        <v>3.0209999999999999</v>
      </c>
      <c r="L207">
        <f t="shared" si="14"/>
        <v>82.218152986199996</v>
      </c>
    </row>
    <row r="208" spans="1:12" x14ac:dyDescent="0.2">
      <c r="A208" s="4">
        <v>43434</v>
      </c>
      <c r="B208" t="s">
        <v>527</v>
      </c>
      <c r="C208">
        <v>8</v>
      </c>
      <c r="D208">
        <v>1</v>
      </c>
      <c r="E208">
        <v>10</v>
      </c>
      <c r="F208" t="s">
        <v>529</v>
      </c>
      <c r="G208" t="s">
        <v>884</v>
      </c>
      <c r="H208" s="9" t="s">
        <v>1072</v>
      </c>
      <c r="I208">
        <f t="shared" si="12"/>
        <v>80</v>
      </c>
      <c r="J208">
        <f t="shared" si="13"/>
        <v>36.287389600000004</v>
      </c>
      <c r="K208">
        <v>3.0209999999999999</v>
      </c>
      <c r="L208">
        <f t="shared" si="14"/>
        <v>109.6242039816</v>
      </c>
    </row>
    <row r="209" spans="1:12" x14ac:dyDescent="0.2">
      <c r="A209" s="4">
        <v>43437</v>
      </c>
      <c r="B209" t="s">
        <v>527</v>
      </c>
      <c r="C209">
        <v>10</v>
      </c>
      <c r="D209">
        <v>1</v>
      </c>
      <c r="E209">
        <v>10</v>
      </c>
      <c r="F209" t="s">
        <v>528</v>
      </c>
      <c r="G209" t="s">
        <v>884</v>
      </c>
      <c r="H209" s="9" t="s">
        <v>1072</v>
      </c>
      <c r="I209">
        <f t="shared" si="12"/>
        <v>100</v>
      </c>
      <c r="J209">
        <f t="shared" si="13"/>
        <v>45.359237</v>
      </c>
      <c r="K209">
        <v>3.0209999999999999</v>
      </c>
      <c r="L209">
        <f t="shared" si="14"/>
        <v>137.030254977</v>
      </c>
    </row>
    <row r="210" spans="1:12" x14ac:dyDescent="0.2">
      <c r="A210" s="4">
        <v>43437</v>
      </c>
      <c r="B210" t="s">
        <v>527</v>
      </c>
      <c r="C210">
        <v>5</v>
      </c>
      <c r="D210">
        <v>1</v>
      </c>
      <c r="E210">
        <v>10</v>
      </c>
      <c r="F210" t="s">
        <v>529</v>
      </c>
      <c r="G210" t="s">
        <v>884</v>
      </c>
      <c r="H210" s="9" t="s">
        <v>1072</v>
      </c>
      <c r="I210">
        <f t="shared" si="12"/>
        <v>50</v>
      </c>
      <c r="J210">
        <f t="shared" si="13"/>
        <v>22.6796185</v>
      </c>
      <c r="K210">
        <v>3.0209999999999999</v>
      </c>
      <c r="L210">
        <f t="shared" si="14"/>
        <v>68.515127488499999</v>
      </c>
    </row>
    <row r="211" spans="1:12" x14ac:dyDescent="0.2">
      <c r="A211" s="4">
        <v>43437</v>
      </c>
      <c r="B211" t="s">
        <v>527</v>
      </c>
      <c r="C211">
        <v>4</v>
      </c>
      <c r="D211">
        <v>1</v>
      </c>
      <c r="E211">
        <v>15</v>
      </c>
      <c r="F211" t="s">
        <v>1013</v>
      </c>
      <c r="G211" t="s">
        <v>884</v>
      </c>
      <c r="H211" s="9" t="s">
        <v>1072</v>
      </c>
      <c r="I211">
        <f t="shared" si="12"/>
        <v>60</v>
      </c>
      <c r="J211">
        <f t="shared" si="13"/>
        <v>27.215542200000002</v>
      </c>
      <c r="K211">
        <v>3.0209999999999999</v>
      </c>
      <c r="L211">
        <f t="shared" si="14"/>
        <v>82.218152986199996</v>
      </c>
    </row>
    <row r="212" spans="1:12" x14ac:dyDescent="0.2">
      <c r="A212" s="4">
        <v>43439</v>
      </c>
      <c r="B212" t="s">
        <v>527</v>
      </c>
      <c r="C212">
        <v>1</v>
      </c>
      <c r="D212">
        <v>1</v>
      </c>
      <c r="E212">
        <v>10</v>
      </c>
      <c r="F212" t="s">
        <v>528</v>
      </c>
      <c r="G212" t="s">
        <v>884</v>
      </c>
      <c r="H212" s="9" t="s">
        <v>1072</v>
      </c>
      <c r="I212">
        <f t="shared" si="12"/>
        <v>10</v>
      </c>
      <c r="J212">
        <f t="shared" si="13"/>
        <v>4.5359237000000006</v>
      </c>
      <c r="K212">
        <v>3.0209999999999999</v>
      </c>
      <c r="L212">
        <f t="shared" si="14"/>
        <v>13.703025497700001</v>
      </c>
    </row>
    <row r="213" spans="1:12" x14ac:dyDescent="0.2">
      <c r="A213" s="4">
        <v>43439</v>
      </c>
      <c r="B213" t="s">
        <v>527</v>
      </c>
      <c r="C213">
        <v>8</v>
      </c>
      <c r="D213">
        <v>1</v>
      </c>
      <c r="E213">
        <v>15</v>
      </c>
      <c r="F213" t="s">
        <v>1013</v>
      </c>
      <c r="G213" t="s">
        <v>884</v>
      </c>
      <c r="H213" s="9" t="s">
        <v>1072</v>
      </c>
      <c r="I213">
        <f t="shared" si="12"/>
        <v>120</v>
      </c>
      <c r="J213">
        <f t="shared" si="13"/>
        <v>54.431084400000003</v>
      </c>
      <c r="K213">
        <v>3.0209999999999999</v>
      </c>
      <c r="L213">
        <f t="shared" si="14"/>
        <v>164.43630597239999</v>
      </c>
    </row>
    <row r="214" spans="1:12" x14ac:dyDescent="0.2">
      <c r="A214" s="4">
        <v>43434</v>
      </c>
      <c r="B214" t="s">
        <v>538</v>
      </c>
      <c r="C214">
        <v>6</v>
      </c>
      <c r="D214">
        <v>1</v>
      </c>
      <c r="E214">
        <v>50</v>
      </c>
      <c r="F214" t="s">
        <v>431</v>
      </c>
      <c r="G214" t="s">
        <v>863</v>
      </c>
      <c r="H214" s="9" t="s">
        <v>1071</v>
      </c>
      <c r="I214">
        <f t="shared" si="12"/>
        <v>300</v>
      </c>
      <c r="J214">
        <f t="shared" si="13"/>
        <v>136.07771100000002</v>
      </c>
      <c r="K214">
        <v>0.35799999999999998</v>
      </c>
      <c r="L214">
        <f t="shared" si="14"/>
        <v>48.715820538000003</v>
      </c>
    </row>
    <row r="215" spans="1:12" x14ac:dyDescent="0.2">
      <c r="A215" s="4">
        <v>43434</v>
      </c>
      <c r="B215" t="s">
        <v>538</v>
      </c>
      <c r="C215">
        <v>4</v>
      </c>
      <c r="D215">
        <v>1</v>
      </c>
      <c r="E215">
        <v>25</v>
      </c>
      <c r="F215" t="s">
        <v>446</v>
      </c>
      <c r="G215" t="s">
        <v>863</v>
      </c>
      <c r="H215" s="9" t="s">
        <v>1071</v>
      </c>
      <c r="I215">
        <f t="shared" si="12"/>
        <v>100</v>
      </c>
      <c r="J215">
        <f t="shared" si="13"/>
        <v>45.359237</v>
      </c>
      <c r="K215">
        <v>0.35799999999999998</v>
      </c>
      <c r="L215">
        <f t="shared" si="14"/>
        <v>16.238606846</v>
      </c>
    </row>
    <row r="216" spans="1:12" x14ac:dyDescent="0.2">
      <c r="A216" s="4">
        <v>43437</v>
      </c>
      <c r="B216" t="s">
        <v>538</v>
      </c>
      <c r="C216">
        <v>1</v>
      </c>
      <c r="D216">
        <v>1</v>
      </c>
      <c r="E216">
        <v>50</v>
      </c>
      <c r="F216" t="s">
        <v>431</v>
      </c>
      <c r="G216" t="s">
        <v>863</v>
      </c>
      <c r="H216" s="9" t="s">
        <v>1071</v>
      </c>
      <c r="I216">
        <f t="shared" si="12"/>
        <v>50</v>
      </c>
      <c r="J216">
        <f t="shared" si="13"/>
        <v>22.6796185</v>
      </c>
      <c r="K216">
        <v>0.35799999999999998</v>
      </c>
      <c r="L216">
        <f t="shared" si="14"/>
        <v>8.1193034229999999</v>
      </c>
    </row>
    <row r="217" spans="1:12" x14ac:dyDescent="0.2">
      <c r="A217" s="4">
        <v>43439</v>
      </c>
      <c r="B217" t="s">
        <v>538</v>
      </c>
      <c r="C217">
        <v>5</v>
      </c>
      <c r="D217">
        <v>1</v>
      </c>
      <c r="E217">
        <v>50</v>
      </c>
      <c r="F217" t="s">
        <v>431</v>
      </c>
      <c r="G217" t="s">
        <v>863</v>
      </c>
      <c r="H217" s="9" t="s">
        <v>1071</v>
      </c>
      <c r="I217">
        <f t="shared" si="12"/>
        <v>250</v>
      </c>
      <c r="J217">
        <f t="shared" si="13"/>
        <v>113.3980925</v>
      </c>
      <c r="K217">
        <v>0.35799999999999998</v>
      </c>
      <c r="L217">
        <f t="shared" si="14"/>
        <v>40.596517114999997</v>
      </c>
    </row>
    <row r="218" spans="1:12" x14ac:dyDescent="0.2">
      <c r="A218" s="4">
        <v>43371</v>
      </c>
      <c r="B218" t="s">
        <v>48</v>
      </c>
      <c r="C218">
        <v>1</v>
      </c>
      <c r="D218">
        <v>1</v>
      </c>
      <c r="E218">
        <f>4*4.54</f>
        <v>18.16</v>
      </c>
      <c r="F218" t="s">
        <v>205</v>
      </c>
      <c r="G218" t="s">
        <v>205</v>
      </c>
      <c r="H218" s="8" t="s">
        <v>1067</v>
      </c>
      <c r="I218">
        <f t="shared" si="12"/>
        <v>18.16</v>
      </c>
      <c r="J218">
        <f t="shared" si="13"/>
        <v>8.2372374392000012</v>
      </c>
      <c r="K218">
        <v>0.74299999999999999</v>
      </c>
      <c r="L218" s="8">
        <f t="shared" si="14"/>
        <v>6.1202674173256009</v>
      </c>
    </row>
    <row r="219" spans="1:12" x14ac:dyDescent="0.2">
      <c r="A219" s="4">
        <v>43374</v>
      </c>
      <c r="B219" t="s">
        <v>48</v>
      </c>
      <c r="C219">
        <v>1</v>
      </c>
      <c r="D219">
        <v>1</v>
      </c>
      <c r="E219">
        <f>4*4.54</f>
        <v>18.16</v>
      </c>
      <c r="F219" t="s">
        <v>205</v>
      </c>
      <c r="G219" t="s">
        <v>205</v>
      </c>
      <c r="H219" s="8" t="s">
        <v>1067</v>
      </c>
      <c r="I219">
        <f t="shared" si="12"/>
        <v>18.16</v>
      </c>
      <c r="J219">
        <f t="shared" si="13"/>
        <v>8.2372374392000012</v>
      </c>
      <c r="K219">
        <v>0.74299999999999999</v>
      </c>
      <c r="L219" s="8">
        <f t="shared" si="14"/>
        <v>6.1202674173256009</v>
      </c>
    </row>
    <row r="220" spans="1:12" x14ac:dyDescent="0.2">
      <c r="A220" s="4">
        <v>43376</v>
      </c>
      <c r="B220" t="s">
        <v>48</v>
      </c>
      <c r="C220">
        <v>1</v>
      </c>
      <c r="D220">
        <v>1</v>
      </c>
      <c r="E220">
        <f>4*4.54</f>
        <v>18.16</v>
      </c>
      <c r="F220" t="s">
        <v>205</v>
      </c>
      <c r="G220" t="s">
        <v>205</v>
      </c>
      <c r="H220" s="8" t="s">
        <v>1067</v>
      </c>
      <c r="I220">
        <f t="shared" si="12"/>
        <v>18.16</v>
      </c>
      <c r="J220">
        <f t="shared" si="13"/>
        <v>8.2372374392000012</v>
      </c>
      <c r="K220">
        <v>0.74299999999999999</v>
      </c>
      <c r="L220" s="8">
        <f t="shared" si="14"/>
        <v>6.1202674173256009</v>
      </c>
    </row>
    <row r="221" spans="1:12" x14ac:dyDescent="0.2">
      <c r="A221" s="4">
        <v>43371</v>
      </c>
      <c r="B221" t="s">
        <v>48</v>
      </c>
      <c r="C221">
        <v>2</v>
      </c>
      <c r="D221">
        <v>1</v>
      </c>
      <c r="E221">
        <v>25</v>
      </c>
      <c r="F221" t="s">
        <v>215</v>
      </c>
      <c r="G221" t="s">
        <v>215</v>
      </c>
      <c r="H221" s="8" t="s">
        <v>1067</v>
      </c>
      <c r="I221">
        <f t="shared" si="12"/>
        <v>50</v>
      </c>
      <c r="J221">
        <f t="shared" si="13"/>
        <v>22.6796185</v>
      </c>
      <c r="K221">
        <v>0.95</v>
      </c>
      <c r="L221" s="8">
        <f t="shared" si="14"/>
        <v>21.545637575000001</v>
      </c>
    </row>
    <row r="222" spans="1:12" x14ac:dyDescent="0.2">
      <c r="A222" s="4">
        <v>43374</v>
      </c>
      <c r="B222" t="s">
        <v>48</v>
      </c>
      <c r="C222">
        <v>2</v>
      </c>
      <c r="D222">
        <v>1</v>
      </c>
      <c r="E222">
        <v>25</v>
      </c>
      <c r="F222" t="s">
        <v>215</v>
      </c>
      <c r="G222" t="s">
        <v>215</v>
      </c>
      <c r="H222" s="8" t="s">
        <v>1067</v>
      </c>
      <c r="I222">
        <f t="shared" si="12"/>
        <v>50</v>
      </c>
      <c r="J222">
        <f t="shared" si="13"/>
        <v>22.6796185</v>
      </c>
      <c r="K222">
        <v>0.95</v>
      </c>
      <c r="L222" s="8">
        <f t="shared" si="14"/>
        <v>21.545637575000001</v>
      </c>
    </row>
    <row r="223" spans="1:12" x14ac:dyDescent="0.2">
      <c r="A223" s="4">
        <v>43371</v>
      </c>
      <c r="B223" t="s">
        <v>48</v>
      </c>
      <c r="C223">
        <v>5</v>
      </c>
      <c r="D223">
        <v>1</v>
      </c>
      <c r="E223">
        <v>18</v>
      </c>
      <c r="F223" t="s">
        <v>92</v>
      </c>
      <c r="G223" t="s">
        <v>764</v>
      </c>
      <c r="H223" s="8" t="s">
        <v>1067</v>
      </c>
      <c r="I223">
        <f t="shared" si="12"/>
        <v>90</v>
      </c>
      <c r="J223">
        <f t="shared" si="13"/>
        <v>40.823313300000002</v>
      </c>
      <c r="K223">
        <v>0.47799999999999998</v>
      </c>
      <c r="L223" s="8">
        <f t="shared" si="14"/>
        <v>19.513543757400001</v>
      </c>
    </row>
    <row r="224" spans="1:12" x14ac:dyDescent="0.2">
      <c r="A224" s="4">
        <v>43374</v>
      </c>
      <c r="B224" t="s">
        <v>48</v>
      </c>
      <c r="C224">
        <v>8</v>
      </c>
      <c r="D224">
        <v>1</v>
      </c>
      <c r="E224">
        <v>18</v>
      </c>
      <c r="F224" t="s">
        <v>92</v>
      </c>
      <c r="G224" t="s">
        <v>764</v>
      </c>
      <c r="H224" s="8" t="s">
        <v>1067</v>
      </c>
      <c r="I224">
        <f t="shared" si="12"/>
        <v>144</v>
      </c>
      <c r="J224">
        <f t="shared" si="13"/>
        <v>65.317301279999995</v>
      </c>
      <c r="K224">
        <v>0.47799999999999998</v>
      </c>
      <c r="L224" s="8">
        <f t="shared" si="14"/>
        <v>31.221670011839997</v>
      </c>
    </row>
    <row r="225" spans="1:12" x14ac:dyDescent="0.2">
      <c r="A225" s="4">
        <v>43377</v>
      </c>
      <c r="B225" t="s">
        <v>48</v>
      </c>
      <c r="C225" s="28">
        <v>4</v>
      </c>
      <c r="D225">
        <v>1</v>
      </c>
      <c r="E225">
        <v>18</v>
      </c>
      <c r="F225" t="s">
        <v>256</v>
      </c>
      <c r="G225" t="s">
        <v>786</v>
      </c>
      <c r="H225" s="8" t="s">
        <v>1067</v>
      </c>
      <c r="I225">
        <f t="shared" si="12"/>
        <v>72</v>
      </c>
      <c r="J225">
        <f t="shared" si="13"/>
        <v>32.658650639999998</v>
      </c>
      <c r="K225">
        <v>0.47799999999999998</v>
      </c>
      <c r="L225" s="8">
        <f t="shared" si="14"/>
        <v>15.610835005919999</v>
      </c>
    </row>
    <row r="226" spans="1:12" x14ac:dyDescent="0.2">
      <c r="A226" s="4">
        <v>43434</v>
      </c>
      <c r="B226" t="s">
        <v>538</v>
      </c>
      <c r="C226">
        <v>2</v>
      </c>
      <c r="D226">
        <v>8</v>
      </c>
      <c r="E226">
        <v>5</v>
      </c>
      <c r="F226" t="s">
        <v>542</v>
      </c>
      <c r="G226" s="6" t="s">
        <v>899</v>
      </c>
      <c r="H226" s="9" t="s">
        <v>1071</v>
      </c>
      <c r="I226">
        <f t="shared" si="12"/>
        <v>80</v>
      </c>
      <c r="J226">
        <f t="shared" si="13"/>
        <v>36.287389600000004</v>
      </c>
      <c r="K226">
        <v>0.55000000000000004</v>
      </c>
      <c r="L226">
        <f t="shared" si="14"/>
        <v>19.958064280000006</v>
      </c>
    </row>
    <row r="227" spans="1:12" x14ac:dyDescent="0.2">
      <c r="A227" s="4">
        <v>43371</v>
      </c>
      <c r="B227" t="s">
        <v>48</v>
      </c>
      <c r="C227">
        <v>1</v>
      </c>
      <c r="D227">
        <v>1</v>
      </c>
      <c r="E227">
        <v>1</v>
      </c>
      <c r="F227" t="s">
        <v>207</v>
      </c>
      <c r="G227" t="s">
        <v>782</v>
      </c>
      <c r="H227" s="8" t="s">
        <v>1067</v>
      </c>
      <c r="I227">
        <f t="shared" si="12"/>
        <v>1</v>
      </c>
      <c r="J227">
        <f t="shared" si="13"/>
        <v>0.45359237000000002</v>
      </c>
      <c r="K227">
        <v>0.221</v>
      </c>
      <c r="L227" s="8">
        <f t="shared" si="14"/>
        <v>0.10024391377000001</v>
      </c>
    </row>
    <row r="228" spans="1:12" x14ac:dyDescent="0.2">
      <c r="A228" s="4">
        <v>43371</v>
      </c>
      <c r="B228" t="s">
        <v>48</v>
      </c>
      <c r="C228">
        <v>1</v>
      </c>
      <c r="D228">
        <v>1</v>
      </c>
      <c r="E228">
        <v>1</v>
      </c>
      <c r="F228" t="s">
        <v>208</v>
      </c>
      <c r="G228" t="s">
        <v>782</v>
      </c>
      <c r="H228" s="8" t="s">
        <v>1067</v>
      </c>
      <c r="I228">
        <f t="shared" si="12"/>
        <v>1</v>
      </c>
      <c r="J228">
        <f t="shared" si="13"/>
        <v>0.45359237000000002</v>
      </c>
      <c r="K228">
        <v>0.221</v>
      </c>
      <c r="L228" s="8">
        <f t="shared" si="14"/>
        <v>0.10024391377000001</v>
      </c>
    </row>
    <row r="229" spans="1:12" x14ac:dyDescent="0.2">
      <c r="A229" s="4">
        <v>43371</v>
      </c>
      <c r="B229" t="s">
        <v>48</v>
      </c>
      <c r="C229">
        <v>1</v>
      </c>
      <c r="D229">
        <v>1</v>
      </c>
      <c r="E229">
        <v>1</v>
      </c>
      <c r="F229" t="s">
        <v>209</v>
      </c>
      <c r="G229" t="s">
        <v>782</v>
      </c>
      <c r="H229" s="8" t="s">
        <v>1067</v>
      </c>
      <c r="I229">
        <f t="shared" si="12"/>
        <v>1</v>
      </c>
      <c r="J229">
        <f t="shared" si="13"/>
        <v>0.45359237000000002</v>
      </c>
      <c r="K229">
        <v>0.221</v>
      </c>
      <c r="L229" s="8">
        <f t="shared" si="14"/>
        <v>0.10024391377000001</v>
      </c>
    </row>
    <row r="230" spans="1:12" x14ac:dyDescent="0.2">
      <c r="A230" s="4">
        <v>43372</v>
      </c>
      <c r="B230" t="s">
        <v>48</v>
      </c>
      <c r="C230">
        <v>1</v>
      </c>
      <c r="D230">
        <v>1</v>
      </c>
      <c r="E230">
        <f>12/16</f>
        <v>0.75</v>
      </c>
      <c r="F230" t="s">
        <v>227</v>
      </c>
      <c r="G230" t="s">
        <v>782</v>
      </c>
      <c r="H230" s="8" t="s">
        <v>1067</v>
      </c>
      <c r="I230">
        <f t="shared" si="12"/>
        <v>0.75</v>
      </c>
      <c r="J230">
        <f t="shared" si="13"/>
        <v>0.34019427750000003</v>
      </c>
      <c r="K230">
        <v>0.221</v>
      </c>
      <c r="L230" s="8">
        <f t="shared" si="14"/>
        <v>7.5182935327500006E-2</v>
      </c>
    </row>
    <row r="231" spans="1:12" x14ac:dyDescent="0.2">
      <c r="A231" s="4">
        <v>43376</v>
      </c>
      <c r="B231" t="s">
        <v>48</v>
      </c>
      <c r="C231">
        <v>1</v>
      </c>
      <c r="D231">
        <v>1</v>
      </c>
      <c r="E231" s="27">
        <v>1</v>
      </c>
      <c r="F231" t="s">
        <v>241</v>
      </c>
      <c r="G231" t="s">
        <v>782</v>
      </c>
      <c r="H231" s="8" t="s">
        <v>1067</v>
      </c>
      <c r="I231">
        <f t="shared" si="12"/>
        <v>1</v>
      </c>
      <c r="J231">
        <f t="shared" si="13"/>
        <v>0.45359237000000002</v>
      </c>
      <c r="K231">
        <v>0.221</v>
      </c>
      <c r="L231" s="8">
        <f t="shared" si="14"/>
        <v>0.10024391377000001</v>
      </c>
    </row>
    <row r="232" spans="1:12" x14ac:dyDescent="0.2">
      <c r="A232" s="4">
        <v>43372</v>
      </c>
      <c r="B232" t="s">
        <v>48</v>
      </c>
      <c r="C232">
        <v>1</v>
      </c>
      <c r="D232">
        <v>1</v>
      </c>
      <c r="E232">
        <v>1</v>
      </c>
      <c r="F232" t="s">
        <v>98</v>
      </c>
      <c r="G232" t="s">
        <v>1085</v>
      </c>
      <c r="H232" s="8" t="s">
        <v>1067</v>
      </c>
      <c r="I232">
        <f t="shared" si="12"/>
        <v>1</v>
      </c>
      <c r="J232">
        <f t="shared" si="13"/>
        <v>0.45359237000000002</v>
      </c>
      <c r="K232">
        <v>0.221</v>
      </c>
      <c r="L232" s="8">
        <f t="shared" si="14"/>
        <v>0.10024391377000001</v>
      </c>
    </row>
    <row r="233" spans="1:12" x14ac:dyDescent="0.2">
      <c r="A233" s="4">
        <v>43437</v>
      </c>
      <c r="B233" t="s">
        <v>538</v>
      </c>
      <c r="C233">
        <v>1</v>
      </c>
      <c r="D233">
        <v>6</v>
      </c>
      <c r="E233">
        <v>5</v>
      </c>
      <c r="F233" t="s">
        <v>571</v>
      </c>
      <c r="G233" t="s">
        <v>878</v>
      </c>
      <c r="H233" s="9" t="s">
        <v>1071</v>
      </c>
      <c r="I233">
        <f t="shared" si="12"/>
        <v>30</v>
      </c>
      <c r="J233">
        <f t="shared" si="13"/>
        <v>13.607771100000001</v>
      </c>
      <c r="K233">
        <v>2.44</v>
      </c>
      <c r="L233">
        <f t="shared" si="14"/>
        <v>33.202961483999999</v>
      </c>
    </row>
    <row r="234" spans="1:12" x14ac:dyDescent="0.2">
      <c r="A234" s="4">
        <v>43439</v>
      </c>
      <c r="B234" t="s">
        <v>538</v>
      </c>
      <c r="C234">
        <v>1</v>
      </c>
      <c r="D234">
        <v>6</v>
      </c>
      <c r="E234">
        <v>5</v>
      </c>
      <c r="F234" t="s">
        <v>571</v>
      </c>
      <c r="G234" t="s">
        <v>878</v>
      </c>
      <c r="H234" s="9" t="s">
        <v>1071</v>
      </c>
      <c r="I234">
        <f t="shared" si="12"/>
        <v>30</v>
      </c>
      <c r="J234">
        <f t="shared" si="13"/>
        <v>13.607771100000001</v>
      </c>
      <c r="K234">
        <v>2.44</v>
      </c>
      <c r="L234">
        <f t="shared" si="14"/>
        <v>33.202961483999999</v>
      </c>
    </row>
    <row r="235" spans="1:12" x14ac:dyDescent="0.2">
      <c r="A235" s="4">
        <v>43372</v>
      </c>
      <c r="B235" t="s">
        <v>48</v>
      </c>
      <c r="C235">
        <v>5</v>
      </c>
      <c r="D235">
        <v>1</v>
      </c>
      <c r="E235">
        <v>32</v>
      </c>
      <c r="F235" t="s">
        <v>103</v>
      </c>
      <c r="G235" t="s">
        <v>103</v>
      </c>
      <c r="H235" s="8" t="s">
        <v>1067</v>
      </c>
      <c r="I235">
        <f t="shared" si="12"/>
        <v>160</v>
      </c>
      <c r="J235">
        <f t="shared" si="13"/>
        <v>72.574779200000009</v>
      </c>
      <c r="K235">
        <v>0.28399999999999997</v>
      </c>
      <c r="L235" s="8">
        <f t="shared" si="14"/>
        <v>20.611237292800002</v>
      </c>
    </row>
    <row r="236" spans="1:12" x14ac:dyDescent="0.2">
      <c r="A236" s="4">
        <v>43371</v>
      </c>
      <c r="B236" t="s">
        <v>48</v>
      </c>
      <c r="C236">
        <v>8</v>
      </c>
      <c r="D236">
        <v>1</v>
      </c>
      <c r="E236">
        <v>32</v>
      </c>
      <c r="F236" t="s">
        <v>103</v>
      </c>
      <c r="G236" t="s">
        <v>103</v>
      </c>
      <c r="H236" s="8" t="s">
        <v>1067</v>
      </c>
      <c r="I236">
        <f t="shared" si="12"/>
        <v>256</v>
      </c>
      <c r="J236">
        <f t="shared" si="13"/>
        <v>116.11964672000001</v>
      </c>
      <c r="K236">
        <v>0.28399999999999997</v>
      </c>
      <c r="L236" s="8">
        <f t="shared" si="14"/>
        <v>32.977979668479996</v>
      </c>
    </row>
    <row r="237" spans="1:12" x14ac:dyDescent="0.2">
      <c r="A237" s="4">
        <v>43374</v>
      </c>
      <c r="B237" t="s">
        <v>48</v>
      </c>
      <c r="C237">
        <v>8</v>
      </c>
      <c r="D237">
        <v>1</v>
      </c>
      <c r="E237">
        <v>32</v>
      </c>
      <c r="F237" t="s">
        <v>103</v>
      </c>
      <c r="G237" t="s">
        <v>103</v>
      </c>
      <c r="H237" s="8" t="s">
        <v>1067</v>
      </c>
      <c r="I237">
        <f t="shared" si="12"/>
        <v>256</v>
      </c>
      <c r="J237">
        <f t="shared" si="13"/>
        <v>116.11964672000001</v>
      </c>
      <c r="K237">
        <v>0.28399999999999997</v>
      </c>
      <c r="L237" s="8">
        <f t="shared" si="14"/>
        <v>32.977979668479996</v>
      </c>
    </row>
    <row r="238" spans="1:12" x14ac:dyDescent="0.2">
      <c r="A238" s="4">
        <v>43376</v>
      </c>
      <c r="B238" t="s">
        <v>48</v>
      </c>
      <c r="C238">
        <v>7</v>
      </c>
      <c r="D238">
        <v>1</v>
      </c>
      <c r="E238">
        <v>32</v>
      </c>
      <c r="F238" t="s">
        <v>103</v>
      </c>
      <c r="G238" t="s">
        <v>103</v>
      </c>
      <c r="H238" s="8" t="s">
        <v>1067</v>
      </c>
      <c r="I238">
        <f t="shared" si="12"/>
        <v>224</v>
      </c>
      <c r="J238">
        <f t="shared" si="13"/>
        <v>101.60469088000001</v>
      </c>
      <c r="K238">
        <v>0.28399999999999997</v>
      </c>
      <c r="L238" s="8">
        <f t="shared" si="14"/>
        <v>28.855732209919999</v>
      </c>
    </row>
    <row r="239" spans="1:12" x14ac:dyDescent="0.2">
      <c r="A239" s="4">
        <v>43377</v>
      </c>
      <c r="B239" t="s">
        <v>48</v>
      </c>
      <c r="C239" s="28">
        <v>8</v>
      </c>
      <c r="D239">
        <v>1</v>
      </c>
      <c r="E239">
        <v>32</v>
      </c>
      <c r="F239" t="s">
        <v>259</v>
      </c>
      <c r="G239" t="s">
        <v>789</v>
      </c>
      <c r="H239" s="8" t="s">
        <v>1067</v>
      </c>
      <c r="I239">
        <f t="shared" si="12"/>
        <v>256</v>
      </c>
      <c r="J239">
        <f t="shared" si="13"/>
        <v>116.11964672000001</v>
      </c>
      <c r="K239">
        <v>0.28399999999999997</v>
      </c>
      <c r="L239" s="8">
        <f t="shared" si="14"/>
        <v>32.977979668479996</v>
      </c>
    </row>
    <row r="240" spans="1:12" x14ac:dyDescent="0.2">
      <c r="A240" s="4">
        <v>43434</v>
      </c>
      <c r="B240" t="s">
        <v>517</v>
      </c>
      <c r="C240">
        <v>4</v>
      </c>
      <c r="D240">
        <v>1</v>
      </c>
      <c r="E240">
        <f t="shared" ref="E240:E247" si="15">3*8.6</f>
        <v>25.799999999999997</v>
      </c>
      <c r="F240" t="s">
        <v>518</v>
      </c>
      <c r="G240" s="6" t="s">
        <v>888</v>
      </c>
      <c r="H240" s="9" t="s">
        <v>1073</v>
      </c>
      <c r="I240">
        <f t="shared" si="12"/>
        <v>103.19999999999999</v>
      </c>
      <c r="J240">
        <f t="shared" si="13"/>
        <v>46.810732584</v>
      </c>
      <c r="K240" s="6">
        <v>3.84</v>
      </c>
      <c r="L240">
        <f t="shared" si="14"/>
        <v>179.75321312256</v>
      </c>
    </row>
    <row r="241" spans="1:12" x14ac:dyDescent="0.2">
      <c r="A241" s="4">
        <v>43434</v>
      </c>
      <c r="B241" t="s">
        <v>517</v>
      </c>
      <c r="C241">
        <v>4</v>
      </c>
      <c r="D241">
        <v>1</v>
      </c>
      <c r="E241">
        <f t="shared" si="15"/>
        <v>25.799999999999997</v>
      </c>
      <c r="F241" t="s">
        <v>468</v>
      </c>
      <c r="G241" s="6" t="s">
        <v>888</v>
      </c>
      <c r="H241" s="9" t="s">
        <v>1073</v>
      </c>
      <c r="I241">
        <f t="shared" si="12"/>
        <v>103.19999999999999</v>
      </c>
      <c r="J241">
        <f t="shared" si="13"/>
        <v>46.810732584</v>
      </c>
      <c r="K241" s="6">
        <v>3.84</v>
      </c>
      <c r="L241">
        <f t="shared" si="14"/>
        <v>179.75321312256</v>
      </c>
    </row>
    <row r="242" spans="1:12" x14ac:dyDescent="0.2">
      <c r="A242" s="4">
        <v>43434</v>
      </c>
      <c r="B242" t="s">
        <v>517</v>
      </c>
      <c r="C242">
        <v>4</v>
      </c>
      <c r="D242">
        <v>1</v>
      </c>
      <c r="E242">
        <f t="shared" si="15"/>
        <v>25.799999999999997</v>
      </c>
      <c r="F242" t="s">
        <v>524</v>
      </c>
      <c r="G242" s="6" t="s">
        <v>888</v>
      </c>
      <c r="H242" s="9" t="s">
        <v>1073</v>
      </c>
      <c r="I242">
        <f t="shared" si="12"/>
        <v>103.19999999999999</v>
      </c>
      <c r="J242">
        <f t="shared" si="13"/>
        <v>46.810732584</v>
      </c>
      <c r="K242" s="6">
        <v>3.84</v>
      </c>
      <c r="L242">
        <f t="shared" si="14"/>
        <v>179.75321312256</v>
      </c>
    </row>
    <row r="243" spans="1:12" x14ac:dyDescent="0.2">
      <c r="A243" s="4">
        <v>43439</v>
      </c>
      <c r="B243" t="s">
        <v>517</v>
      </c>
      <c r="C243">
        <v>2</v>
      </c>
      <c r="D243">
        <v>1</v>
      </c>
      <c r="E243">
        <f t="shared" si="15"/>
        <v>25.799999999999997</v>
      </c>
      <c r="F243" t="s">
        <v>600</v>
      </c>
      <c r="G243" s="6" t="s">
        <v>888</v>
      </c>
      <c r="H243" s="9" t="s">
        <v>1073</v>
      </c>
      <c r="I243">
        <f t="shared" si="12"/>
        <v>51.599999999999994</v>
      </c>
      <c r="J243">
        <f t="shared" si="13"/>
        <v>23.405366292</v>
      </c>
      <c r="K243" s="6">
        <v>3.84</v>
      </c>
      <c r="L243">
        <f t="shared" si="14"/>
        <v>89.876606561279999</v>
      </c>
    </row>
    <row r="244" spans="1:12" x14ac:dyDescent="0.2">
      <c r="A244" s="4">
        <v>43439</v>
      </c>
      <c r="B244" t="s">
        <v>517</v>
      </c>
      <c r="C244">
        <v>2</v>
      </c>
      <c r="D244">
        <v>1</v>
      </c>
      <c r="E244">
        <f t="shared" si="15"/>
        <v>25.799999999999997</v>
      </c>
      <c r="F244" t="s">
        <v>466</v>
      </c>
      <c r="G244" s="6" t="s">
        <v>888</v>
      </c>
      <c r="H244" s="9" t="s">
        <v>1073</v>
      </c>
      <c r="I244">
        <f t="shared" si="12"/>
        <v>51.599999999999994</v>
      </c>
      <c r="J244">
        <f t="shared" si="13"/>
        <v>23.405366292</v>
      </c>
      <c r="K244" s="6">
        <v>3.84</v>
      </c>
      <c r="L244">
        <f t="shared" si="14"/>
        <v>89.876606561279999</v>
      </c>
    </row>
    <row r="245" spans="1:12" x14ac:dyDescent="0.2">
      <c r="A245" s="4">
        <v>43439</v>
      </c>
      <c r="B245" t="s">
        <v>517</v>
      </c>
      <c r="C245">
        <v>3</v>
      </c>
      <c r="D245">
        <v>1</v>
      </c>
      <c r="E245">
        <f t="shared" si="15"/>
        <v>25.799999999999997</v>
      </c>
      <c r="F245" t="s">
        <v>467</v>
      </c>
      <c r="G245" s="6" t="s">
        <v>888</v>
      </c>
      <c r="H245" s="9" t="s">
        <v>1073</v>
      </c>
      <c r="I245">
        <f t="shared" si="12"/>
        <v>77.399999999999991</v>
      </c>
      <c r="J245">
        <f t="shared" si="13"/>
        <v>35.108049437999995</v>
      </c>
      <c r="K245" s="6">
        <v>3.84</v>
      </c>
      <c r="L245">
        <f t="shared" si="14"/>
        <v>134.81490984191998</v>
      </c>
    </row>
    <row r="246" spans="1:12" x14ac:dyDescent="0.2">
      <c r="A246" s="4">
        <v>43439</v>
      </c>
      <c r="B246" t="s">
        <v>517</v>
      </c>
      <c r="C246">
        <v>3</v>
      </c>
      <c r="D246">
        <v>1</v>
      </c>
      <c r="E246">
        <f t="shared" si="15"/>
        <v>25.799999999999997</v>
      </c>
      <c r="F246" t="s">
        <v>468</v>
      </c>
      <c r="G246" s="6" t="s">
        <v>888</v>
      </c>
      <c r="H246" s="9" t="s">
        <v>1073</v>
      </c>
      <c r="I246">
        <f t="shared" si="12"/>
        <v>77.399999999999991</v>
      </c>
      <c r="J246">
        <f t="shared" si="13"/>
        <v>35.108049437999995</v>
      </c>
      <c r="K246" s="6">
        <v>3.84</v>
      </c>
      <c r="L246">
        <f t="shared" si="14"/>
        <v>134.81490984191998</v>
      </c>
    </row>
    <row r="247" spans="1:12" x14ac:dyDescent="0.2">
      <c r="A247" s="4">
        <v>43439</v>
      </c>
      <c r="B247" t="s">
        <v>517</v>
      </c>
      <c r="C247">
        <v>3</v>
      </c>
      <c r="D247">
        <v>1</v>
      </c>
      <c r="E247">
        <f t="shared" si="15"/>
        <v>25.799999999999997</v>
      </c>
      <c r="F247" t="s">
        <v>469</v>
      </c>
      <c r="G247" s="6" t="s">
        <v>888</v>
      </c>
      <c r="H247" s="9" t="s">
        <v>1073</v>
      </c>
      <c r="I247">
        <f t="shared" si="12"/>
        <v>77.399999999999991</v>
      </c>
      <c r="J247">
        <f t="shared" si="13"/>
        <v>35.108049437999995</v>
      </c>
      <c r="K247" s="6">
        <v>3.84</v>
      </c>
      <c r="L247">
        <f t="shared" si="14"/>
        <v>134.81490984191998</v>
      </c>
    </row>
    <row r="248" spans="1:12" x14ac:dyDescent="0.2">
      <c r="A248" s="4">
        <v>43434</v>
      </c>
      <c r="B248" t="s">
        <v>538</v>
      </c>
      <c r="C248">
        <v>1</v>
      </c>
      <c r="D248">
        <v>6</v>
      </c>
      <c r="E248">
        <v>4</v>
      </c>
      <c r="F248" t="s">
        <v>438</v>
      </c>
      <c r="G248" s="6" t="s">
        <v>866</v>
      </c>
      <c r="H248" s="9" t="s">
        <v>1071</v>
      </c>
      <c r="I248">
        <f t="shared" ref="I248:I311" si="16">C248*D248*E248</f>
        <v>24</v>
      </c>
      <c r="J248">
        <f t="shared" si="13"/>
        <v>10.886216880000001</v>
      </c>
      <c r="K248" s="6">
        <v>3.25</v>
      </c>
      <c r="L248">
        <f t="shared" si="14"/>
        <v>35.380204860000006</v>
      </c>
    </row>
    <row r="249" spans="1:12" x14ac:dyDescent="0.2">
      <c r="A249" s="4">
        <v>43439</v>
      </c>
      <c r="B249" t="s">
        <v>538</v>
      </c>
      <c r="C249">
        <v>1</v>
      </c>
      <c r="D249">
        <v>6</v>
      </c>
      <c r="E249">
        <v>4</v>
      </c>
      <c r="F249" t="s">
        <v>438</v>
      </c>
      <c r="G249" s="6" t="s">
        <v>866</v>
      </c>
      <c r="H249" s="9" t="s">
        <v>1071</v>
      </c>
      <c r="I249">
        <f t="shared" si="16"/>
        <v>24</v>
      </c>
      <c r="J249">
        <f t="shared" si="13"/>
        <v>10.886216880000001</v>
      </c>
      <c r="K249" s="6">
        <v>3.25</v>
      </c>
      <c r="L249">
        <f t="shared" si="14"/>
        <v>35.380204860000006</v>
      </c>
    </row>
    <row r="250" spans="1:12" x14ac:dyDescent="0.2">
      <c r="A250" s="10">
        <v>43371</v>
      </c>
      <c r="B250" s="9" t="s">
        <v>175</v>
      </c>
      <c r="C250">
        <v>1</v>
      </c>
      <c r="D250">
        <v>1</v>
      </c>
      <c r="E250" s="9">
        <v>52.2</v>
      </c>
      <c r="F250" s="9" t="s">
        <v>176</v>
      </c>
      <c r="G250" s="9" t="s">
        <v>756</v>
      </c>
      <c r="H250" s="8" t="s">
        <v>1072</v>
      </c>
      <c r="I250">
        <f t="shared" si="16"/>
        <v>52.2</v>
      </c>
      <c r="J250">
        <f t="shared" si="13"/>
        <v>23.677521714000004</v>
      </c>
      <c r="K250">
        <v>34.744999999999997</v>
      </c>
      <c r="L250" s="8">
        <f t="shared" si="14"/>
        <v>822.67549195293009</v>
      </c>
    </row>
    <row r="251" spans="1:12" x14ac:dyDescent="0.2">
      <c r="A251" s="10">
        <v>43371</v>
      </c>
      <c r="B251" s="9" t="s">
        <v>175</v>
      </c>
      <c r="C251">
        <v>1</v>
      </c>
      <c r="D251">
        <v>1</v>
      </c>
      <c r="E251" s="9">
        <v>70.489999999999995</v>
      </c>
      <c r="F251" s="9" t="s">
        <v>178</v>
      </c>
      <c r="G251" s="9" t="s">
        <v>756</v>
      </c>
      <c r="H251" s="8" t="s">
        <v>1072</v>
      </c>
      <c r="I251">
        <f t="shared" si="16"/>
        <v>70.489999999999995</v>
      </c>
      <c r="J251">
        <f t="shared" si="13"/>
        <v>31.973726161299997</v>
      </c>
      <c r="K251">
        <v>34.744999999999997</v>
      </c>
      <c r="L251" s="8">
        <f t="shared" si="14"/>
        <v>1110.9271154743683</v>
      </c>
    </row>
    <row r="252" spans="1:12" x14ac:dyDescent="0.2">
      <c r="A252" s="4">
        <v>43372</v>
      </c>
      <c r="B252" t="s">
        <v>48</v>
      </c>
      <c r="C252">
        <v>1</v>
      </c>
      <c r="D252">
        <v>1</v>
      </c>
      <c r="E252">
        <f>12*2.12</f>
        <v>25.44</v>
      </c>
      <c r="F252" t="s">
        <v>185</v>
      </c>
      <c r="G252" t="s">
        <v>185</v>
      </c>
      <c r="H252" s="8" t="s">
        <v>1067</v>
      </c>
      <c r="I252">
        <f t="shared" si="16"/>
        <v>25.44</v>
      </c>
      <c r="J252">
        <f t="shared" si="13"/>
        <v>11.539389892800003</v>
      </c>
      <c r="K252">
        <v>0.33200000000000002</v>
      </c>
      <c r="L252" s="8">
        <f t="shared" si="14"/>
        <v>3.8310774444096012</v>
      </c>
    </row>
    <row r="253" spans="1:12" x14ac:dyDescent="0.2">
      <c r="A253" s="4">
        <v>43371</v>
      </c>
      <c r="B253" t="s">
        <v>48</v>
      </c>
      <c r="C253">
        <v>1</v>
      </c>
      <c r="D253">
        <v>1</v>
      </c>
      <c r="E253">
        <f>12*2.12</f>
        <v>25.44</v>
      </c>
      <c r="F253" t="s">
        <v>185</v>
      </c>
      <c r="G253" t="s">
        <v>185</v>
      </c>
      <c r="H253" s="8" t="s">
        <v>1067</v>
      </c>
      <c r="I253">
        <f t="shared" si="16"/>
        <v>25.44</v>
      </c>
      <c r="J253">
        <f t="shared" si="13"/>
        <v>11.539389892800003</v>
      </c>
      <c r="K253">
        <v>0.33200000000000002</v>
      </c>
      <c r="L253" s="8">
        <f t="shared" si="14"/>
        <v>3.8310774444096012</v>
      </c>
    </row>
    <row r="254" spans="1:12" x14ac:dyDescent="0.2">
      <c r="A254" s="4">
        <v>43371</v>
      </c>
      <c r="B254" t="s">
        <v>48</v>
      </c>
      <c r="C254">
        <v>2</v>
      </c>
      <c r="D254">
        <v>1</v>
      </c>
      <c r="E254">
        <v>10</v>
      </c>
      <c r="F254" t="s">
        <v>186</v>
      </c>
      <c r="G254" t="s">
        <v>768</v>
      </c>
      <c r="H254" s="8" t="s">
        <v>1067</v>
      </c>
      <c r="I254">
        <f t="shared" si="16"/>
        <v>20</v>
      </c>
      <c r="J254">
        <f t="shared" si="13"/>
        <v>9.0718474000000011</v>
      </c>
      <c r="K254">
        <v>0.22</v>
      </c>
      <c r="L254" s="8">
        <f t="shared" si="14"/>
        <v>1.9958064280000003</v>
      </c>
    </row>
    <row r="255" spans="1:12" x14ac:dyDescent="0.2">
      <c r="A255" s="4">
        <v>43372</v>
      </c>
      <c r="B255" t="s">
        <v>48</v>
      </c>
      <c r="C255">
        <v>1</v>
      </c>
      <c r="D255">
        <v>1</v>
      </c>
      <c r="E255">
        <v>10</v>
      </c>
      <c r="F255" t="s">
        <v>186</v>
      </c>
      <c r="G255" t="s">
        <v>768</v>
      </c>
      <c r="H255" s="8" t="s">
        <v>1067</v>
      </c>
      <c r="I255">
        <f t="shared" si="16"/>
        <v>10</v>
      </c>
      <c r="J255">
        <f t="shared" si="13"/>
        <v>4.5359237000000006</v>
      </c>
      <c r="K255">
        <v>0.22</v>
      </c>
      <c r="L255" s="8">
        <f t="shared" si="14"/>
        <v>0.99790321400000015</v>
      </c>
    </row>
    <row r="256" spans="1:12" x14ac:dyDescent="0.2">
      <c r="A256" s="4">
        <v>43377</v>
      </c>
      <c r="B256" t="s">
        <v>48</v>
      </c>
      <c r="C256" s="28">
        <v>2</v>
      </c>
      <c r="D256">
        <v>1</v>
      </c>
      <c r="E256">
        <v>10</v>
      </c>
      <c r="F256" t="s">
        <v>257</v>
      </c>
      <c r="G256" t="s">
        <v>787</v>
      </c>
      <c r="H256" s="8" t="s">
        <v>1067</v>
      </c>
      <c r="I256">
        <f t="shared" si="16"/>
        <v>20</v>
      </c>
      <c r="J256">
        <f t="shared" si="13"/>
        <v>9.0718474000000011</v>
      </c>
      <c r="K256">
        <v>0.22</v>
      </c>
      <c r="L256" s="8">
        <f t="shared" si="14"/>
        <v>1.9958064280000003</v>
      </c>
    </row>
    <row r="257" spans="1:12" x14ac:dyDescent="0.2">
      <c r="A257" s="4">
        <v>43372</v>
      </c>
      <c r="B257" t="s">
        <v>48</v>
      </c>
      <c r="C257">
        <v>3</v>
      </c>
      <c r="D257">
        <v>1</v>
      </c>
      <c r="E257">
        <v>48</v>
      </c>
      <c r="F257" t="s">
        <v>71</v>
      </c>
      <c r="G257" t="s">
        <v>787</v>
      </c>
      <c r="H257" s="8" t="s">
        <v>1067</v>
      </c>
      <c r="I257">
        <f t="shared" si="16"/>
        <v>144</v>
      </c>
      <c r="J257">
        <f t="shared" si="13"/>
        <v>65.317301279999995</v>
      </c>
      <c r="K257">
        <v>0.158</v>
      </c>
      <c r="L257" s="8">
        <f t="shared" si="14"/>
        <v>10.320133602239999</v>
      </c>
    </row>
    <row r="258" spans="1:12" x14ac:dyDescent="0.2">
      <c r="A258" s="4">
        <v>43371</v>
      </c>
      <c r="B258" t="s">
        <v>48</v>
      </c>
      <c r="C258">
        <v>4</v>
      </c>
      <c r="D258">
        <v>1</v>
      </c>
      <c r="E258">
        <v>48</v>
      </c>
      <c r="F258" t="s">
        <v>71</v>
      </c>
      <c r="G258" t="s">
        <v>787</v>
      </c>
      <c r="H258" s="8" t="s">
        <v>1067</v>
      </c>
      <c r="I258">
        <f t="shared" si="16"/>
        <v>192</v>
      </c>
      <c r="J258">
        <f t="shared" si="13"/>
        <v>87.089735040000008</v>
      </c>
      <c r="K258">
        <v>0.158</v>
      </c>
      <c r="L258" s="8">
        <f t="shared" si="14"/>
        <v>13.760178136320002</v>
      </c>
    </row>
    <row r="259" spans="1:12" x14ac:dyDescent="0.2">
      <c r="A259" s="4">
        <v>43376</v>
      </c>
      <c r="B259" t="s">
        <v>48</v>
      </c>
      <c r="C259">
        <v>3</v>
      </c>
      <c r="D259">
        <v>1</v>
      </c>
      <c r="E259">
        <v>48</v>
      </c>
      <c r="F259" t="s">
        <v>71</v>
      </c>
      <c r="G259" t="s">
        <v>787</v>
      </c>
      <c r="H259" s="8" t="s">
        <v>1067</v>
      </c>
      <c r="I259">
        <f t="shared" si="16"/>
        <v>144</v>
      </c>
      <c r="J259">
        <f t="shared" ref="J259:J322" si="17">CONVERT(I259,"lbm","kg")</f>
        <v>65.317301279999995</v>
      </c>
      <c r="K259">
        <v>0.158</v>
      </c>
      <c r="L259" s="8">
        <f t="shared" ref="L259:L322" si="18">J259*K259</f>
        <v>10.320133602239999</v>
      </c>
    </row>
    <row r="260" spans="1:12" x14ac:dyDescent="0.2">
      <c r="A260" s="4">
        <v>43377</v>
      </c>
      <c r="B260" t="s">
        <v>48</v>
      </c>
      <c r="C260" s="28">
        <v>2</v>
      </c>
      <c r="D260">
        <v>1</v>
      </c>
      <c r="E260">
        <v>48</v>
      </c>
      <c r="F260" t="s">
        <v>274</v>
      </c>
      <c r="G260" t="s">
        <v>787</v>
      </c>
      <c r="H260" s="8" t="s">
        <v>1067</v>
      </c>
      <c r="I260">
        <f t="shared" si="16"/>
        <v>96</v>
      </c>
      <c r="J260">
        <f t="shared" si="17"/>
        <v>43.544867520000004</v>
      </c>
      <c r="K260">
        <v>0.158</v>
      </c>
      <c r="L260" s="8">
        <f t="shared" si="18"/>
        <v>6.8800890681600011</v>
      </c>
    </row>
    <row r="261" spans="1:12" x14ac:dyDescent="0.2">
      <c r="A261" s="4">
        <v>43372</v>
      </c>
      <c r="B261" t="s">
        <v>48</v>
      </c>
      <c r="C261">
        <v>1</v>
      </c>
      <c r="D261">
        <v>1</v>
      </c>
      <c r="E261">
        <v>10</v>
      </c>
      <c r="F261" t="s">
        <v>186</v>
      </c>
      <c r="G261" t="s">
        <v>800</v>
      </c>
      <c r="H261" s="8" t="s">
        <v>1067</v>
      </c>
      <c r="I261">
        <f t="shared" si="16"/>
        <v>10</v>
      </c>
      <c r="J261">
        <f t="shared" si="17"/>
        <v>4.5359237000000006</v>
      </c>
      <c r="K261">
        <v>0.22</v>
      </c>
      <c r="L261" s="8">
        <f t="shared" si="18"/>
        <v>0.99790321400000015</v>
      </c>
    </row>
    <row r="262" spans="1:12" x14ac:dyDescent="0.2">
      <c r="A262" s="4">
        <v>43371</v>
      </c>
      <c r="B262" t="s">
        <v>48</v>
      </c>
      <c r="C262">
        <v>1</v>
      </c>
      <c r="D262">
        <v>1</v>
      </c>
      <c r="E262">
        <f>12*2.135</f>
        <v>25.619999999999997</v>
      </c>
      <c r="F262" t="s">
        <v>101</v>
      </c>
      <c r="G262" t="s">
        <v>101</v>
      </c>
      <c r="H262" s="8" t="s">
        <v>1067</v>
      </c>
      <c r="I262">
        <f t="shared" si="16"/>
        <v>25.619999999999997</v>
      </c>
      <c r="J262">
        <f t="shared" si="17"/>
        <v>11.621036519399999</v>
      </c>
      <c r="K262">
        <v>1.9430000000000001</v>
      </c>
      <c r="L262" s="8">
        <f t="shared" si="18"/>
        <v>22.579673957194199</v>
      </c>
    </row>
    <row r="263" spans="1:12" x14ac:dyDescent="0.2">
      <c r="A263" s="4">
        <v>43374</v>
      </c>
      <c r="B263" s="9" t="s">
        <v>38</v>
      </c>
      <c r="C263">
        <v>12</v>
      </c>
      <c r="D263">
        <v>1</v>
      </c>
      <c r="E263">
        <f>8.6*5</f>
        <v>43</v>
      </c>
      <c r="F263" s="9" t="s">
        <v>39</v>
      </c>
      <c r="G263" s="9" t="s">
        <v>774</v>
      </c>
      <c r="H263" s="8" t="s">
        <v>1091</v>
      </c>
      <c r="I263">
        <f t="shared" si="16"/>
        <v>516</v>
      </c>
      <c r="J263">
        <f t="shared" si="17"/>
        <v>234.05366291999999</v>
      </c>
      <c r="K263">
        <v>1.23</v>
      </c>
      <c r="L263" s="8">
        <f t="shared" si="18"/>
        <v>287.88600539160001</v>
      </c>
    </row>
    <row r="264" spans="1:12" x14ac:dyDescent="0.2">
      <c r="A264" s="4">
        <v>43374</v>
      </c>
      <c r="B264" s="9" t="s">
        <v>38</v>
      </c>
      <c r="C264">
        <v>3</v>
      </c>
      <c r="D264">
        <v>1</v>
      </c>
      <c r="E264">
        <f>8.6*5</f>
        <v>43</v>
      </c>
      <c r="F264" s="9" t="s">
        <v>40</v>
      </c>
      <c r="G264" s="9" t="s">
        <v>774</v>
      </c>
      <c r="H264" s="8" t="s">
        <v>1091</v>
      </c>
      <c r="I264">
        <f t="shared" si="16"/>
        <v>129</v>
      </c>
      <c r="J264">
        <f t="shared" si="17"/>
        <v>58.513415729999998</v>
      </c>
      <c r="K264">
        <v>1.23</v>
      </c>
      <c r="L264" s="8">
        <f t="shared" si="18"/>
        <v>71.971501347900002</v>
      </c>
    </row>
    <row r="265" spans="1:12" x14ac:dyDescent="0.2">
      <c r="A265" s="4">
        <v>43374</v>
      </c>
      <c r="B265" s="9" t="s">
        <v>38</v>
      </c>
      <c r="C265">
        <v>5</v>
      </c>
      <c r="D265">
        <v>1</v>
      </c>
      <c r="E265">
        <f>8.6*5</f>
        <v>43</v>
      </c>
      <c r="F265" s="9" t="s">
        <v>47</v>
      </c>
      <c r="G265" s="9" t="s">
        <v>774</v>
      </c>
      <c r="H265" s="8" t="s">
        <v>1091</v>
      </c>
      <c r="I265">
        <f t="shared" si="16"/>
        <v>215</v>
      </c>
      <c r="J265">
        <f t="shared" si="17"/>
        <v>97.522359550000004</v>
      </c>
      <c r="K265">
        <v>1.23</v>
      </c>
      <c r="L265" s="8">
        <f t="shared" si="18"/>
        <v>119.9525022465</v>
      </c>
    </row>
    <row r="266" spans="1:12" x14ac:dyDescent="0.2">
      <c r="A266" s="4">
        <v>43374</v>
      </c>
      <c r="B266" s="9" t="s">
        <v>38</v>
      </c>
      <c r="C266">
        <v>4</v>
      </c>
      <c r="D266">
        <v>1</v>
      </c>
      <c r="E266">
        <f>8.6*1</f>
        <v>8.6</v>
      </c>
      <c r="F266" s="9" t="s">
        <v>45</v>
      </c>
      <c r="G266" s="9" t="s">
        <v>774</v>
      </c>
      <c r="H266" s="8" t="s">
        <v>1091</v>
      </c>
      <c r="I266">
        <f t="shared" si="16"/>
        <v>34.4</v>
      </c>
      <c r="J266">
        <f t="shared" si="17"/>
        <v>15.603577528000001</v>
      </c>
      <c r="K266">
        <v>1.23</v>
      </c>
      <c r="L266" s="8">
        <f t="shared" si="18"/>
        <v>19.192400359440001</v>
      </c>
    </row>
    <row r="267" spans="1:12" x14ac:dyDescent="0.2">
      <c r="A267" s="4">
        <v>43377</v>
      </c>
      <c r="B267" s="9" t="s">
        <v>38</v>
      </c>
      <c r="C267">
        <v>8</v>
      </c>
      <c r="D267">
        <v>1</v>
      </c>
      <c r="E267">
        <f>8.6*5</f>
        <v>43</v>
      </c>
      <c r="F267" s="9" t="s">
        <v>39</v>
      </c>
      <c r="G267" s="9" t="s">
        <v>774</v>
      </c>
      <c r="H267" s="8" t="s">
        <v>1091</v>
      </c>
      <c r="I267">
        <f t="shared" si="16"/>
        <v>344</v>
      </c>
      <c r="J267">
        <f t="shared" si="17"/>
        <v>156.03577528</v>
      </c>
      <c r="K267">
        <v>1.23</v>
      </c>
      <c r="L267" s="8">
        <f t="shared" si="18"/>
        <v>191.92400359440001</v>
      </c>
    </row>
    <row r="268" spans="1:12" x14ac:dyDescent="0.2">
      <c r="A268" s="4">
        <v>43377</v>
      </c>
      <c r="B268" s="9" t="s">
        <v>38</v>
      </c>
      <c r="C268">
        <v>2</v>
      </c>
      <c r="D268">
        <v>1</v>
      </c>
      <c r="E268">
        <f>8.6*5</f>
        <v>43</v>
      </c>
      <c r="F268" s="9" t="s">
        <v>40</v>
      </c>
      <c r="G268" s="9" t="s">
        <v>774</v>
      </c>
      <c r="H268" s="8" t="s">
        <v>1091</v>
      </c>
      <c r="I268">
        <f t="shared" si="16"/>
        <v>86</v>
      </c>
      <c r="J268">
        <f t="shared" si="17"/>
        <v>39.008943819999999</v>
      </c>
      <c r="K268">
        <v>1.23</v>
      </c>
      <c r="L268" s="8">
        <f t="shared" si="18"/>
        <v>47.981000898600001</v>
      </c>
    </row>
    <row r="269" spans="1:12" x14ac:dyDescent="0.2">
      <c r="A269" s="4">
        <v>43377</v>
      </c>
      <c r="B269" s="9" t="s">
        <v>38</v>
      </c>
      <c r="C269">
        <v>5</v>
      </c>
      <c r="D269">
        <v>1</v>
      </c>
      <c r="E269">
        <f>8.6*5</f>
        <v>43</v>
      </c>
      <c r="F269" s="9" t="s">
        <v>46</v>
      </c>
      <c r="G269" s="9" t="s">
        <v>774</v>
      </c>
      <c r="H269" s="8" t="s">
        <v>1091</v>
      </c>
      <c r="I269">
        <f t="shared" si="16"/>
        <v>215</v>
      </c>
      <c r="J269">
        <f t="shared" si="17"/>
        <v>97.522359550000004</v>
      </c>
      <c r="K269">
        <v>1.23</v>
      </c>
      <c r="L269" s="8">
        <f t="shared" si="18"/>
        <v>119.9525022465</v>
      </c>
    </row>
    <row r="270" spans="1:12" x14ac:dyDescent="0.2">
      <c r="A270" s="4">
        <v>43377</v>
      </c>
      <c r="B270" s="9" t="s">
        <v>38</v>
      </c>
      <c r="C270">
        <v>5</v>
      </c>
      <c r="D270">
        <v>1</v>
      </c>
      <c r="E270">
        <f>8.6*5</f>
        <v>43</v>
      </c>
      <c r="F270" s="9" t="s">
        <v>47</v>
      </c>
      <c r="G270" s="9" t="s">
        <v>774</v>
      </c>
      <c r="H270" s="8" t="s">
        <v>1091</v>
      </c>
      <c r="I270">
        <f t="shared" si="16"/>
        <v>215</v>
      </c>
      <c r="J270">
        <f t="shared" si="17"/>
        <v>97.522359550000004</v>
      </c>
      <c r="K270">
        <v>1.23</v>
      </c>
      <c r="L270" s="8">
        <f t="shared" si="18"/>
        <v>119.9525022465</v>
      </c>
    </row>
    <row r="271" spans="1:12" x14ac:dyDescent="0.2">
      <c r="A271" s="4">
        <v>43377</v>
      </c>
      <c r="B271" s="9" t="s">
        <v>38</v>
      </c>
      <c r="C271">
        <v>36</v>
      </c>
      <c r="D271">
        <v>1</v>
      </c>
      <c r="E271">
        <v>2.0499999999999998</v>
      </c>
      <c r="F271" s="9" t="s">
        <v>181</v>
      </c>
      <c r="G271" s="9" t="s">
        <v>774</v>
      </c>
      <c r="H271" s="8" t="s">
        <v>1091</v>
      </c>
      <c r="I271">
        <f t="shared" si="16"/>
        <v>73.8</v>
      </c>
      <c r="J271">
        <f t="shared" si="17"/>
        <v>33.475116906000004</v>
      </c>
      <c r="K271">
        <v>1.23</v>
      </c>
      <c r="L271" s="8">
        <f t="shared" si="18"/>
        <v>41.174393794380002</v>
      </c>
    </row>
    <row r="272" spans="1:12" x14ac:dyDescent="0.2">
      <c r="A272" s="4">
        <v>43377</v>
      </c>
      <c r="B272" s="9" t="s">
        <v>38</v>
      </c>
      <c r="C272">
        <v>24</v>
      </c>
      <c r="D272">
        <v>1</v>
      </c>
      <c r="E272">
        <v>2.0499999999999998</v>
      </c>
      <c r="F272" s="9" t="s">
        <v>182</v>
      </c>
      <c r="G272" s="9" t="s">
        <v>774</v>
      </c>
      <c r="H272" s="8" t="s">
        <v>1091</v>
      </c>
      <c r="I272">
        <f t="shared" si="16"/>
        <v>49.199999999999996</v>
      </c>
      <c r="J272">
        <f t="shared" si="17"/>
        <v>22.316744604</v>
      </c>
      <c r="K272">
        <v>1.23</v>
      </c>
      <c r="L272" s="8">
        <f t="shared" si="18"/>
        <v>27.449595862919999</v>
      </c>
    </row>
    <row r="273" spans="1:12" x14ac:dyDescent="0.2">
      <c r="A273" s="4">
        <v>43437</v>
      </c>
      <c r="B273" t="s">
        <v>517</v>
      </c>
      <c r="C273">
        <v>1</v>
      </c>
      <c r="D273">
        <v>20</v>
      </c>
      <c r="E273">
        <f>1/2</f>
        <v>0.5</v>
      </c>
      <c r="F273" t="s">
        <v>465</v>
      </c>
      <c r="G273" t="s">
        <v>774</v>
      </c>
      <c r="H273" s="9" t="s">
        <v>1073</v>
      </c>
      <c r="I273">
        <f t="shared" si="16"/>
        <v>10</v>
      </c>
      <c r="J273">
        <f t="shared" si="17"/>
        <v>4.5359237000000006</v>
      </c>
      <c r="K273">
        <v>1.23</v>
      </c>
      <c r="L273">
        <f t="shared" si="18"/>
        <v>5.5791861510000009</v>
      </c>
    </row>
    <row r="274" spans="1:12" x14ac:dyDescent="0.2">
      <c r="A274" s="4">
        <v>43434</v>
      </c>
      <c r="B274" t="s">
        <v>538</v>
      </c>
      <c r="C274">
        <v>1</v>
      </c>
      <c r="D274">
        <v>4</v>
      </c>
      <c r="E274">
        <f>11.89</f>
        <v>11.89</v>
      </c>
      <c r="F274" t="s">
        <v>547</v>
      </c>
      <c r="G274" t="s">
        <v>865</v>
      </c>
      <c r="H274" s="9" t="s">
        <v>1071</v>
      </c>
      <c r="I274">
        <f t="shared" si="16"/>
        <v>47.56</v>
      </c>
      <c r="J274">
        <f t="shared" si="17"/>
        <v>21.572853117200001</v>
      </c>
      <c r="K274">
        <v>0.48799999999999999</v>
      </c>
      <c r="L274">
        <f t="shared" si="18"/>
        <v>10.5275523211936</v>
      </c>
    </row>
    <row r="275" spans="1:12" x14ac:dyDescent="0.2">
      <c r="A275" s="4">
        <v>43372</v>
      </c>
      <c r="B275" t="s">
        <v>48</v>
      </c>
      <c r="C275">
        <v>10</v>
      </c>
      <c r="D275">
        <v>1</v>
      </c>
      <c r="E275">
        <v>10</v>
      </c>
      <c r="F275" t="s">
        <v>187</v>
      </c>
      <c r="G275" t="s">
        <v>233</v>
      </c>
      <c r="H275" s="8" t="s">
        <v>1067</v>
      </c>
      <c r="I275">
        <f t="shared" si="16"/>
        <v>100</v>
      </c>
      <c r="J275">
        <f t="shared" si="17"/>
        <v>45.359237</v>
      </c>
      <c r="K275">
        <v>3.093</v>
      </c>
      <c r="L275" s="8">
        <f t="shared" si="18"/>
        <v>140.29612004099999</v>
      </c>
    </row>
    <row r="276" spans="1:12" x14ac:dyDescent="0.2">
      <c r="A276" s="4">
        <v>43371</v>
      </c>
      <c r="B276" t="s">
        <v>48</v>
      </c>
      <c r="C276">
        <v>7</v>
      </c>
      <c r="D276">
        <v>1</v>
      </c>
      <c r="E276">
        <v>5</v>
      </c>
      <c r="F276" t="s">
        <v>210</v>
      </c>
      <c r="G276" t="s">
        <v>233</v>
      </c>
      <c r="H276" s="8" t="s">
        <v>1067</v>
      </c>
      <c r="I276">
        <f t="shared" si="16"/>
        <v>35</v>
      </c>
      <c r="J276">
        <f t="shared" si="17"/>
        <v>15.875732950000002</v>
      </c>
      <c r="K276">
        <v>3.093</v>
      </c>
      <c r="L276" s="8">
        <f t="shared" si="18"/>
        <v>49.103642014350001</v>
      </c>
    </row>
    <row r="277" spans="1:12" x14ac:dyDescent="0.2">
      <c r="A277" s="4">
        <v>43371</v>
      </c>
      <c r="B277" t="s">
        <v>48</v>
      </c>
      <c r="C277">
        <v>8</v>
      </c>
      <c r="D277">
        <v>1</v>
      </c>
      <c r="E277">
        <v>5</v>
      </c>
      <c r="F277" t="s">
        <v>187</v>
      </c>
      <c r="G277" t="s">
        <v>233</v>
      </c>
      <c r="H277" s="8" t="s">
        <v>1067</v>
      </c>
      <c r="I277">
        <f t="shared" si="16"/>
        <v>40</v>
      </c>
      <c r="J277">
        <f t="shared" si="17"/>
        <v>18.143694800000002</v>
      </c>
      <c r="K277">
        <v>3.093</v>
      </c>
      <c r="L277" s="8">
        <f t="shared" si="18"/>
        <v>56.118448016400009</v>
      </c>
    </row>
    <row r="278" spans="1:12" x14ac:dyDescent="0.2">
      <c r="A278" s="4">
        <v>43374</v>
      </c>
      <c r="B278" t="s">
        <v>48</v>
      </c>
      <c r="C278">
        <v>8</v>
      </c>
      <c r="D278">
        <v>1</v>
      </c>
      <c r="E278">
        <v>5</v>
      </c>
      <c r="F278" t="s">
        <v>233</v>
      </c>
      <c r="G278" t="s">
        <v>233</v>
      </c>
      <c r="H278" s="8" t="s">
        <v>1067</v>
      </c>
      <c r="I278">
        <f t="shared" si="16"/>
        <v>40</v>
      </c>
      <c r="J278">
        <f t="shared" si="17"/>
        <v>18.143694800000002</v>
      </c>
      <c r="K278">
        <v>3.093</v>
      </c>
      <c r="L278" s="8">
        <f t="shared" si="18"/>
        <v>56.118448016400009</v>
      </c>
    </row>
    <row r="279" spans="1:12" x14ac:dyDescent="0.2">
      <c r="A279" s="4">
        <v>43376</v>
      </c>
      <c r="B279" t="s">
        <v>48</v>
      </c>
      <c r="C279">
        <v>10</v>
      </c>
      <c r="D279">
        <v>1</v>
      </c>
      <c r="E279">
        <v>5</v>
      </c>
      <c r="F279" t="s">
        <v>167</v>
      </c>
      <c r="G279" t="s">
        <v>233</v>
      </c>
      <c r="H279" s="8" t="s">
        <v>1067</v>
      </c>
      <c r="I279">
        <f t="shared" si="16"/>
        <v>50</v>
      </c>
      <c r="J279">
        <f t="shared" si="17"/>
        <v>22.6796185</v>
      </c>
      <c r="K279">
        <v>3.093</v>
      </c>
      <c r="L279" s="8">
        <f t="shared" si="18"/>
        <v>70.148060020499997</v>
      </c>
    </row>
    <row r="280" spans="1:12" x14ac:dyDescent="0.2">
      <c r="A280" s="4">
        <v>43377</v>
      </c>
      <c r="B280" t="s">
        <v>48</v>
      </c>
      <c r="C280" s="28">
        <v>8</v>
      </c>
      <c r="D280">
        <v>1</v>
      </c>
      <c r="E280">
        <v>5</v>
      </c>
      <c r="F280" t="s">
        <v>260</v>
      </c>
      <c r="G280" t="s">
        <v>313</v>
      </c>
      <c r="H280" s="8" t="s">
        <v>1067</v>
      </c>
      <c r="I280">
        <f t="shared" si="16"/>
        <v>40</v>
      </c>
      <c r="J280">
        <f t="shared" si="17"/>
        <v>18.143694800000002</v>
      </c>
      <c r="K280">
        <v>3.093</v>
      </c>
      <c r="L280" s="8">
        <f t="shared" si="18"/>
        <v>56.118448016400009</v>
      </c>
    </row>
    <row r="281" spans="1:12" x14ac:dyDescent="0.2">
      <c r="A281" s="4">
        <v>43437</v>
      </c>
      <c r="B281" t="s">
        <v>538</v>
      </c>
      <c r="C281">
        <v>3</v>
      </c>
      <c r="D281">
        <v>4</v>
      </c>
      <c r="E281">
        <v>5</v>
      </c>
      <c r="F281" t="s">
        <v>586</v>
      </c>
      <c r="G281" s="6" t="s">
        <v>876</v>
      </c>
      <c r="H281" s="9" t="s">
        <v>1071</v>
      </c>
      <c r="I281">
        <f t="shared" si="16"/>
        <v>60</v>
      </c>
      <c r="J281">
        <f t="shared" si="17"/>
        <v>27.215542200000002</v>
      </c>
      <c r="K281">
        <v>5.99</v>
      </c>
      <c r="L281">
        <f t="shared" si="18"/>
        <v>163.02109777800001</v>
      </c>
    </row>
    <row r="282" spans="1:12" x14ac:dyDescent="0.2">
      <c r="A282" s="4">
        <v>43439</v>
      </c>
      <c r="B282" t="s">
        <v>538</v>
      </c>
      <c r="C282">
        <v>3</v>
      </c>
      <c r="D282">
        <v>4</v>
      </c>
      <c r="E282">
        <v>5</v>
      </c>
      <c r="F282" t="s">
        <v>586</v>
      </c>
      <c r="G282" s="6" t="s">
        <v>876</v>
      </c>
      <c r="H282" s="9" t="s">
        <v>1071</v>
      </c>
      <c r="I282">
        <f t="shared" si="16"/>
        <v>60</v>
      </c>
      <c r="J282">
        <f t="shared" si="17"/>
        <v>27.215542200000002</v>
      </c>
      <c r="K282">
        <v>5.99</v>
      </c>
      <c r="L282">
        <f t="shared" si="18"/>
        <v>163.02109777800001</v>
      </c>
    </row>
    <row r="283" spans="1:12" x14ac:dyDescent="0.2">
      <c r="A283" s="4">
        <v>43437</v>
      </c>
      <c r="B283" t="s">
        <v>531</v>
      </c>
      <c r="C283">
        <v>3</v>
      </c>
      <c r="D283">
        <v>4</v>
      </c>
      <c r="E283">
        <v>5</v>
      </c>
      <c r="F283" t="s">
        <v>418</v>
      </c>
      <c r="G283" s="6" t="s">
        <v>876</v>
      </c>
      <c r="H283" s="9" t="s">
        <v>1071</v>
      </c>
      <c r="I283">
        <f t="shared" si="16"/>
        <v>60</v>
      </c>
      <c r="J283">
        <f t="shared" si="17"/>
        <v>27.215542200000002</v>
      </c>
      <c r="K283" s="6">
        <v>5.99</v>
      </c>
      <c r="L283">
        <f t="shared" si="18"/>
        <v>163.02109777800001</v>
      </c>
    </row>
    <row r="284" spans="1:12" x14ac:dyDescent="0.2">
      <c r="A284" s="4">
        <v>43437</v>
      </c>
      <c r="B284" t="s">
        <v>538</v>
      </c>
      <c r="C284">
        <v>6</v>
      </c>
      <c r="D284">
        <v>4</v>
      </c>
      <c r="E284">
        <v>7.9</v>
      </c>
      <c r="F284" t="s">
        <v>455</v>
      </c>
      <c r="G284" t="s">
        <v>867</v>
      </c>
      <c r="H284" s="9" t="s">
        <v>1071</v>
      </c>
      <c r="I284">
        <f t="shared" si="16"/>
        <v>189.60000000000002</v>
      </c>
      <c r="J284">
        <f t="shared" si="17"/>
        <v>86.001113352000019</v>
      </c>
      <c r="K284">
        <v>2.6459999999999999</v>
      </c>
      <c r="L284">
        <f t="shared" si="18"/>
        <v>227.55894592939205</v>
      </c>
    </row>
    <row r="285" spans="1:12" x14ac:dyDescent="0.2">
      <c r="A285" s="4">
        <v>43439</v>
      </c>
      <c r="B285" t="s">
        <v>538</v>
      </c>
      <c r="C285">
        <v>3</v>
      </c>
      <c r="D285">
        <v>1</v>
      </c>
      <c r="E285">
        <v>35</v>
      </c>
      <c r="F285" t="s">
        <v>441</v>
      </c>
      <c r="G285" t="s">
        <v>867</v>
      </c>
      <c r="H285" s="9" t="s">
        <v>1071</v>
      </c>
      <c r="I285">
        <f t="shared" si="16"/>
        <v>105</v>
      </c>
      <c r="J285">
        <f t="shared" si="17"/>
        <v>47.627198849999999</v>
      </c>
      <c r="K285">
        <v>2.6459999999999999</v>
      </c>
      <c r="L285">
        <f t="shared" si="18"/>
        <v>126.02156815709999</v>
      </c>
    </row>
    <row r="286" spans="1:12" x14ac:dyDescent="0.2">
      <c r="A286" s="4">
        <v>43439</v>
      </c>
      <c r="B286" t="s">
        <v>538</v>
      </c>
      <c r="C286">
        <v>6</v>
      </c>
      <c r="D286">
        <v>4</v>
      </c>
      <c r="E286">
        <v>7.9</v>
      </c>
      <c r="F286" t="s">
        <v>455</v>
      </c>
      <c r="G286" t="s">
        <v>867</v>
      </c>
      <c r="H286" s="9" t="s">
        <v>1071</v>
      </c>
      <c r="I286">
        <f t="shared" si="16"/>
        <v>189.60000000000002</v>
      </c>
      <c r="J286">
        <f t="shared" si="17"/>
        <v>86.001113352000019</v>
      </c>
      <c r="K286">
        <v>2.6459999999999999</v>
      </c>
      <c r="L286">
        <f t="shared" si="18"/>
        <v>227.55894592939205</v>
      </c>
    </row>
    <row r="287" spans="1:12" x14ac:dyDescent="0.2">
      <c r="A287" s="4">
        <v>43434</v>
      </c>
      <c r="B287" t="s">
        <v>538</v>
      </c>
      <c r="C287">
        <v>6</v>
      </c>
      <c r="D287">
        <v>4</v>
      </c>
      <c r="E287">
        <v>7.9</v>
      </c>
      <c r="F287" t="s">
        <v>455</v>
      </c>
      <c r="G287" t="s">
        <v>867</v>
      </c>
      <c r="H287" s="9" t="s">
        <v>1071</v>
      </c>
      <c r="I287">
        <f t="shared" si="16"/>
        <v>189.60000000000002</v>
      </c>
      <c r="J287">
        <f t="shared" si="17"/>
        <v>86.001113352000019</v>
      </c>
      <c r="K287">
        <v>2.6459999999999999</v>
      </c>
      <c r="L287">
        <f t="shared" si="18"/>
        <v>227.55894592939205</v>
      </c>
    </row>
    <row r="288" spans="1:12" x14ac:dyDescent="0.2">
      <c r="A288" s="4">
        <v>43439</v>
      </c>
      <c r="B288" t="s">
        <v>538</v>
      </c>
      <c r="C288">
        <v>1</v>
      </c>
      <c r="D288">
        <v>6</v>
      </c>
      <c r="E288">
        <v>10</v>
      </c>
      <c r="F288" t="s">
        <v>445</v>
      </c>
      <c r="G288" t="s">
        <v>883</v>
      </c>
      <c r="H288" s="9" t="s">
        <v>1071</v>
      </c>
      <c r="I288">
        <f t="shared" si="16"/>
        <v>60</v>
      </c>
      <c r="J288">
        <f t="shared" si="17"/>
        <v>27.215542200000002</v>
      </c>
      <c r="K288">
        <v>3.206</v>
      </c>
      <c r="L288">
        <f t="shared" si="18"/>
        <v>87.253028293200003</v>
      </c>
    </row>
    <row r="289" spans="1:12" x14ac:dyDescent="0.2">
      <c r="A289" s="4">
        <v>43377</v>
      </c>
      <c r="B289" t="s">
        <v>48</v>
      </c>
      <c r="C289" s="28">
        <v>1</v>
      </c>
      <c r="D289">
        <v>1</v>
      </c>
      <c r="E289">
        <v>20</v>
      </c>
      <c r="F289" t="s">
        <v>272</v>
      </c>
      <c r="G289" t="s">
        <v>790</v>
      </c>
      <c r="H289" s="8" t="s">
        <v>1067</v>
      </c>
      <c r="I289">
        <f t="shared" si="16"/>
        <v>20</v>
      </c>
      <c r="J289">
        <f t="shared" si="17"/>
        <v>9.0718474000000011</v>
      </c>
      <c r="K289">
        <v>0.26900000000000002</v>
      </c>
      <c r="L289" s="8">
        <f t="shared" si="18"/>
        <v>2.4403269506000003</v>
      </c>
    </row>
    <row r="290" spans="1:12" x14ac:dyDescent="0.2">
      <c r="A290" s="4">
        <v>43372</v>
      </c>
      <c r="B290" t="s">
        <v>48</v>
      </c>
      <c r="C290">
        <v>1</v>
      </c>
      <c r="D290">
        <v>1</v>
      </c>
      <c r="E290">
        <v>50</v>
      </c>
      <c r="F290" t="s">
        <v>189</v>
      </c>
      <c r="G290" t="s">
        <v>762</v>
      </c>
      <c r="H290" s="8" t="s">
        <v>1067</v>
      </c>
      <c r="I290">
        <f t="shared" si="16"/>
        <v>50</v>
      </c>
      <c r="J290">
        <f t="shared" si="17"/>
        <v>22.6796185</v>
      </c>
      <c r="K290">
        <v>0.26900000000000002</v>
      </c>
      <c r="L290" s="8">
        <f t="shared" si="18"/>
        <v>6.1008173765000002</v>
      </c>
    </row>
    <row r="291" spans="1:12" x14ac:dyDescent="0.2">
      <c r="A291" s="4">
        <v>43371</v>
      </c>
      <c r="B291" t="s">
        <v>48</v>
      </c>
      <c r="C291">
        <v>1</v>
      </c>
      <c r="D291">
        <v>1</v>
      </c>
      <c r="E291">
        <f>24/16</f>
        <v>1.5</v>
      </c>
      <c r="F291" t="s">
        <v>107</v>
      </c>
      <c r="G291" t="s">
        <v>804</v>
      </c>
      <c r="H291" s="8" t="s">
        <v>1067</v>
      </c>
      <c r="I291">
        <f t="shared" si="16"/>
        <v>1.5</v>
      </c>
      <c r="J291">
        <f t="shared" si="17"/>
        <v>0.68038855500000006</v>
      </c>
      <c r="K291">
        <v>8.5000000000000006E-2</v>
      </c>
      <c r="L291" s="8">
        <f t="shared" si="18"/>
        <v>5.783302717500001E-2</v>
      </c>
    </row>
    <row r="292" spans="1:12" x14ac:dyDescent="0.2">
      <c r="A292" s="4">
        <v>43374</v>
      </c>
      <c r="B292" t="s">
        <v>48</v>
      </c>
      <c r="C292">
        <v>1</v>
      </c>
      <c r="D292">
        <v>1</v>
      </c>
      <c r="E292">
        <f>24/16</f>
        <v>1.5</v>
      </c>
      <c r="F292" t="s">
        <v>107</v>
      </c>
      <c r="G292" t="s">
        <v>804</v>
      </c>
      <c r="H292" s="8" t="s">
        <v>1067</v>
      </c>
      <c r="I292">
        <f t="shared" si="16"/>
        <v>1.5</v>
      </c>
      <c r="J292">
        <f t="shared" si="17"/>
        <v>0.68038855500000006</v>
      </c>
      <c r="K292">
        <v>8.5000000000000006E-2</v>
      </c>
      <c r="L292" s="8">
        <f t="shared" si="18"/>
        <v>5.783302717500001E-2</v>
      </c>
    </row>
    <row r="293" spans="1:12" x14ac:dyDescent="0.2">
      <c r="A293" s="4">
        <v>43376</v>
      </c>
      <c r="B293" t="s">
        <v>48</v>
      </c>
      <c r="C293">
        <v>1</v>
      </c>
      <c r="D293">
        <v>1</v>
      </c>
      <c r="E293">
        <f>24/16</f>
        <v>1.5</v>
      </c>
      <c r="F293" t="s">
        <v>107</v>
      </c>
      <c r="G293" t="s">
        <v>804</v>
      </c>
      <c r="H293" s="8" t="s">
        <v>1067</v>
      </c>
      <c r="I293">
        <f t="shared" si="16"/>
        <v>1.5</v>
      </c>
      <c r="J293">
        <f t="shared" si="17"/>
        <v>0.68038855500000006</v>
      </c>
      <c r="K293">
        <v>8.5000000000000006E-2</v>
      </c>
      <c r="L293" s="8">
        <f t="shared" si="18"/>
        <v>5.783302717500001E-2</v>
      </c>
    </row>
    <row r="294" spans="1:12" x14ac:dyDescent="0.2">
      <c r="A294" s="4">
        <v>43377</v>
      </c>
      <c r="B294" t="s">
        <v>48</v>
      </c>
      <c r="C294" s="28">
        <v>1</v>
      </c>
      <c r="D294">
        <v>1</v>
      </c>
      <c r="E294">
        <v>1.5</v>
      </c>
      <c r="F294" t="s">
        <v>261</v>
      </c>
      <c r="G294" t="s">
        <v>804</v>
      </c>
      <c r="H294" s="8" t="s">
        <v>1067</v>
      </c>
      <c r="I294">
        <f t="shared" si="16"/>
        <v>1.5</v>
      </c>
      <c r="J294">
        <f t="shared" si="17"/>
        <v>0.68038855500000006</v>
      </c>
      <c r="K294">
        <v>8.5000000000000006E-2</v>
      </c>
      <c r="L294" s="8">
        <f t="shared" si="18"/>
        <v>5.783302717500001E-2</v>
      </c>
    </row>
    <row r="295" spans="1:12" x14ac:dyDescent="0.2">
      <c r="A295" s="4">
        <v>43371</v>
      </c>
      <c r="B295" t="s">
        <v>48</v>
      </c>
      <c r="C295">
        <v>2</v>
      </c>
      <c r="D295">
        <v>1</v>
      </c>
      <c r="E295">
        <v>25</v>
      </c>
      <c r="F295" t="s">
        <v>211</v>
      </c>
      <c r="G295" t="s">
        <v>805</v>
      </c>
      <c r="H295" s="8" t="s">
        <v>1067</v>
      </c>
      <c r="I295">
        <f t="shared" si="16"/>
        <v>50</v>
      </c>
      <c r="J295">
        <f t="shared" si="17"/>
        <v>22.6796185</v>
      </c>
      <c r="K295">
        <v>0.26900000000000002</v>
      </c>
      <c r="L295" s="8">
        <f t="shared" si="18"/>
        <v>6.1008173765000002</v>
      </c>
    </row>
    <row r="296" spans="1:12" x14ac:dyDescent="0.2">
      <c r="A296" s="4">
        <v>43377</v>
      </c>
      <c r="B296" t="s">
        <v>48</v>
      </c>
      <c r="C296" s="28">
        <v>1</v>
      </c>
      <c r="D296">
        <v>1</v>
      </c>
      <c r="E296">
        <v>25</v>
      </c>
      <c r="F296" t="s">
        <v>262</v>
      </c>
      <c r="G296" t="s">
        <v>805</v>
      </c>
      <c r="H296" s="8" t="s">
        <v>1067</v>
      </c>
      <c r="I296">
        <f t="shared" si="16"/>
        <v>25</v>
      </c>
      <c r="J296">
        <f t="shared" si="17"/>
        <v>11.33980925</v>
      </c>
      <c r="K296">
        <v>0.26900000000000002</v>
      </c>
      <c r="L296" s="8">
        <f t="shared" si="18"/>
        <v>3.0504086882500001</v>
      </c>
    </row>
    <row r="297" spans="1:12" x14ac:dyDescent="0.2">
      <c r="A297" s="4">
        <v>43372</v>
      </c>
      <c r="B297" t="s">
        <v>48</v>
      </c>
      <c r="C297">
        <v>1</v>
      </c>
      <c r="D297">
        <v>1</v>
      </c>
      <c r="E297">
        <v>50</v>
      </c>
      <c r="F297" t="s">
        <v>188</v>
      </c>
      <c r="G297" t="s">
        <v>779</v>
      </c>
      <c r="H297" s="8" t="s">
        <v>1067</v>
      </c>
      <c r="I297">
        <f t="shared" si="16"/>
        <v>50</v>
      </c>
      <c r="J297">
        <f t="shared" si="17"/>
        <v>22.6796185</v>
      </c>
      <c r="K297">
        <v>0.26900000000000002</v>
      </c>
      <c r="L297" s="8">
        <f t="shared" si="18"/>
        <v>6.1008173765000002</v>
      </c>
    </row>
    <row r="298" spans="1:12" x14ac:dyDescent="0.2">
      <c r="A298" s="4">
        <v>43372</v>
      </c>
      <c r="B298" t="s">
        <v>48</v>
      </c>
      <c r="C298">
        <v>3</v>
      </c>
      <c r="D298">
        <v>1</v>
      </c>
      <c r="E298">
        <v>20</v>
      </c>
      <c r="F298" t="s">
        <v>189</v>
      </c>
      <c r="G298" t="s">
        <v>779</v>
      </c>
      <c r="H298" s="8" t="s">
        <v>1067</v>
      </c>
      <c r="I298">
        <f t="shared" si="16"/>
        <v>60</v>
      </c>
      <c r="J298">
        <f t="shared" si="17"/>
        <v>27.215542200000002</v>
      </c>
      <c r="K298">
        <v>0.26900000000000002</v>
      </c>
      <c r="L298" s="8">
        <f t="shared" si="18"/>
        <v>7.3209808518000008</v>
      </c>
    </row>
    <row r="299" spans="1:12" x14ac:dyDescent="0.2">
      <c r="A299" s="4">
        <v>43371</v>
      </c>
      <c r="B299" t="s">
        <v>48</v>
      </c>
      <c r="C299">
        <v>3</v>
      </c>
      <c r="D299">
        <v>1</v>
      </c>
      <c r="E299">
        <v>50</v>
      </c>
      <c r="F299" t="s">
        <v>189</v>
      </c>
      <c r="G299" t="s">
        <v>779</v>
      </c>
      <c r="H299" s="8" t="s">
        <v>1067</v>
      </c>
      <c r="I299">
        <f t="shared" si="16"/>
        <v>150</v>
      </c>
      <c r="J299">
        <f t="shared" si="17"/>
        <v>68.038855500000011</v>
      </c>
      <c r="K299">
        <v>0.26900000000000002</v>
      </c>
      <c r="L299" s="8">
        <f t="shared" si="18"/>
        <v>18.302452129500004</v>
      </c>
    </row>
    <row r="300" spans="1:12" x14ac:dyDescent="0.2">
      <c r="A300" s="4">
        <v>43371</v>
      </c>
      <c r="B300" t="s">
        <v>48</v>
      </c>
      <c r="C300">
        <v>2</v>
      </c>
      <c r="D300">
        <v>1</v>
      </c>
      <c r="E300">
        <f>20/16</f>
        <v>1.25</v>
      </c>
      <c r="F300" t="s">
        <v>189</v>
      </c>
      <c r="G300" t="s">
        <v>779</v>
      </c>
      <c r="H300" s="8" t="s">
        <v>1067</v>
      </c>
      <c r="I300">
        <f t="shared" si="16"/>
        <v>2.5</v>
      </c>
      <c r="J300">
        <f t="shared" si="17"/>
        <v>1.1339809250000001</v>
      </c>
      <c r="K300">
        <v>0.26900000000000002</v>
      </c>
      <c r="L300" s="8">
        <f t="shared" si="18"/>
        <v>0.30504086882500003</v>
      </c>
    </row>
    <row r="301" spans="1:12" x14ac:dyDescent="0.2">
      <c r="A301" s="4">
        <v>43371</v>
      </c>
      <c r="B301" t="s">
        <v>48</v>
      </c>
      <c r="C301">
        <v>1</v>
      </c>
      <c r="D301">
        <v>1</v>
      </c>
      <c r="E301">
        <v>50</v>
      </c>
      <c r="F301" t="s">
        <v>189</v>
      </c>
      <c r="G301" t="s">
        <v>779</v>
      </c>
      <c r="H301" s="8" t="s">
        <v>1067</v>
      </c>
      <c r="I301">
        <f t="shared" si="16"/>
        <v>50</v>
      </c>
      <c r="J301">
        <f t="shared" si="17"/>
        <v>22.6796185</v>
      </c>
      <c r="K301">
        <v>0.26900000000000002</v>
      </c>
      <c r="L301" s="8">
        <f t="shared" si="18"/>
        <v>6.1008173765000002</v>
      </c>
    </row>
    <row r="302" spans="1:12" x14ac:dyDescent="0.2">
      <c r="A302" s="4">
        <v>43372</v>
      </c>
      <c r="B302" t="s">
        <v>48</v>
      </c>
      <c r="C302">
        <v>3</v>
      </c>
      <c r="D302">
        <v>1</v>
      </c>
      <c r="E302">
        <v>20</v>
      </c>
      <c r="F302" t="s">
        <v>222</v>
      </c>
      <c r="G302" t="s">
        <v>779</v>
      </c>
      <c r="H302" s="8" t="s">
        <v>1067</v>
      </c>
      <c r="I302">
        <f t="shared" si="16"/>
        <v>60</v>
      </c>
      <c r="J302">
        <f t="shared" si="17"/>
        <v>27.215542200000002</v>
      </c>
      <c r="K302">
        <v>0.26900000000000002</v>
      </c>
      <c r="L302" s="8">
        <f t="shared" si="18"/>
        <v>7.3209808518000008</v>
      </c>
    </row>
    <row r="303" spans="1:12" x14ac:dyDescent="0.2">
      <c r="A303" s="4">
        <v>43372</v>
      </c>
      <c r="B303" t="s">
        <v>48</v>
      </c>
      <c r="C303">
        <v>1</v>
      </c>
      <c r="D303">
        <v>1</v>
      </c>
      <c r="E303">
        <v>20</v>
      </c>
      <c r="F303" t="s">
        <v>223</v>
      </c>
      <c r="G303" t="s">
        <v>779</v>
      </c>
      <c r="H303" s="8" t="s">
        <v>1067</v>
      </c>
      <c r="I303">
        <f t="shared" si="16"/>
        <v>20</v>
      </c>
      <c r="J303">
        <f t="shared" si="17"/>
        <v>9.0718474000000011</v>
      </c>
      <c r="K303">
        <v>0.26900000000000002</v>
      </c>
      <c r="L303" s="8">
        <f t="shared" si="18"/>
        <v>2.4403269506000003</v>
      </c>
    </row>
    <row r="304" spans="1:12" x14ac:dyDescent="0.2">
      <c r="A304" s="4">
        <v>43376</v>
      </c>
      <c r="B304" t="s">
        <v>48</v>
      </c>
      <c r="C304">
        <v>1</v>
      </c>
      <c r="D304">
        <v>1</v>
      </c>
      <c r="E304">
        <v>50</v>
      </c>
      <c r="F304" t="s">
        <v>189</v>
      </c>
      <c r="G304" t="s">
        <v>779</v>
      </c>
      <c r="H304" s="8" t="s">
        <v>1067</v>
      </c>
      <c r="I304">
        <f t="shared" si="16"/>
        <v>50</v>
      </c>
      <c r="J304">
        <f t="shared" si="17"/>
        <v>22.6796185</v>
      </c>
      <c r="K304">
        <v>0.26900000000000002</v>
      </c>
      <c r="L304" s="8">
        <f t="shared" si="18"/>
        <v>6.1008173765000002</v>
      </c>
    </row>
    <row r="305" spans="1:12" x14ac:dyDescent="0.2">
      <c r="A305" s="4">
        <v>43377</v>
      </c>
      <c r="B305" t="s">
        <v>48</v>
      </c>
      <c r="C305" s="28">
        <v>2</v>
      </c>
      <c r="D305">
        <v>1</v>
      </c>
      <c r="E305">
        <v>50</v>
      </c>
      <c r="F305" t="s">
        <v>263</v>
      </c>
      <c r="G305" t="s">
        <v>779</v>
      </c>
      <c r="H305" s="8" t="s">
        <v>1067</v>
      </c>
      <c r="I305">
        <f t="shared" si="16"/>
        <v>100</v>
      </c>
      <c r="J305">
        <f t="shared" si="17"/>
        <v>45.359237</v>
      </c>
      <c r="K305">
        <v>0.26900000000000002</v>
      </c>
      <c r="L305" s="8">
        <f t="shared" si="18"/>
        <v>12.201634753</v>
      </c>
    </row>
    <row r="306" spans="1:12" x14ac:dyDescent="0.2">
      <c r="A306" s="4">
        <v>43371</v>
      </c>
      <c r="B306" t="s">
        <v>48</v>
      </c>
      <c r="C306">
        <v>25</v>
      </c>
      <c r="D306">
        <v>1</v>
      </c>
      <c r="E306">
        <f t="shared" ref="E306:E311" si="19">88*0.288806</f>
        <v>25.414928</v>
      </c>
      <c r="F306" t="s">
        <v>49</v>
      </c>
      <c r="G306" t="s">
        <v>49</v>
      </c>
      <c r="H306" s="8" t="s">
        <v>1067</v>
      </c>
      <c r="I306">
        <f t="shared" si="16"/>
        <v>635.3732</v>
      </c>
      <c r="J306">
        <f t="shared" si="17"/>
        <v>288.20043562248401</v>
      </c>
      <c r="K306">
        <v>0.29399999999999998</v>
      </c>
      <c r="L306" s="8">
        <f t="shared" si="18"/>
        <v>84.73092807301029</v>
      </c>
    </row>
    <row r="307" spans="1:12" x14ac:dyDescent="0.2">
      <c r="A307" s="4">
        <v>43372</v>
      </c>
      <c r="B307" t="s">
        <v>48</v>
      </c>
      <c r="C307">
        <v>40</v>
      </c>
      <c r="D307">
        <v>1</v>
      </c>
      <c r="E307">
        <f t="shared" si="19"/>
        <v>25.414928</v>
      </c>
      <c r="F307" t="s">
        <v>55</v>
      </c>
      <c r="G307" t="s">
        <v>55</v>
      </c>
      <c r="H307" s="8" t="s">
        <v>1067</v>
      </c>
      <c r="I307">
        <f t="shared" si="16"/>
        <v>1016.59712</v>
      </c>
      <c r="J307">
        <f t="shared" si="17"/>
        <v>461.12069699597441</v>
      </c>
      <c r="K307">
        <v>0.29399999999999998</v>
      </c>
      <c r="L307" s="8">
        <f t="shared" si="18"/>
        <v>135.56948491681646</v>
      </c>
    </row>
    <row r="308" spans="1:12" x14ac:dyDescent="0.2">
      <c r="A308" s="4">
        <v>43374</v>
      </c>
      <c r="B308" t="s">
        <v>48</v>
      </c>
      <c r="C308">
        <v>10</v>
      </c>
      <c r="D308">
        <v>1</v>
      </c>
      <c r="E308">
        <f t="shared" si="19"/>
        <v>25.414928</v>
      </c>
      <c r="F308" t="s">
        <v>55</v>
      </c>
      <c r="G308" t="s">
        <v>55</v>
      </c>
      <c r="H308" s="8" t="s">
        <v>1067</v>
      </c>
      <c r="I308">
        <f t="shared" si="16"/>
        <v>254.14928</v>
      </c>
      <c r="J308">
        <f t="shared" si="17"/>
        <v>115.2801742489936</v>
      </c>
      <c r="K308">
        <v>0.29399999999999998</v>
      </c>
      <c r="L308" s="8">
        <f t="shared" si="18"/>
        <v>33.892371229204116</v>
      </c>
    </row>
    <row r="309" spans="1:12" x14ac:dyDescent="0.2">
      <c r="A309" s="4">
        <v>43375</v>
      </c>
      <c r="B309" t="s">
        <v>48</v>
      </c>
      <c r="C309">
        <v>20</v>
      </c>
      <c r="D309">
        <v>1</v>
      </c>
      <c r="E309">
        <f t="shared" si="19"/>
        <v>25.414928</v>
      </c>
      <c r="F309" t="s">
        <v>55</v>
      </c>
      <c r="G309" t="s">
        <v>55</v>
      </c>
      <c r="H309" s="8" t="s">
        <v>1067</v>
      </c>
      <c r="I309">
        <f t="shared" si="16"/>
        <v>508.29856000000001</v>
      </c>
      <c r="J309">
        <f t="shared" si="17"/>
        <v>230.56034849798721</v>
      </c>
      <c r="K309">
        <v>0.29399999999999998</v>
      </c>
      <c r="L309" s="8">
        <f t="shared" si="18"/>
        <v>67.784742458408232</v>
      </c>
    </row>
    <row r="310" spans="1:12" x14ac:dyDescent="0.2">
      <c r="A310" s="4">
        <v>43376</v>
      </c>
      <c r="B310" t="s">
        <v>48</v>
      </c>
      <c r="C310">
        <v>20</v>
      </c>
      <c r="D310">
        <v>1</v>
      </c>
      <c r="E310">
        <f t="shared" si="19"/>
        <v>25.414928</v>
      </c>
      <c r="F310" t="s">
        <v>55</v>
      </c>
      <c r="G310" t="s">
        <v>55</v>
      </c>
      <c r="H310" s="8" t="s">
        <v>1067</v>
      </c>
      <c r="I310">
        <f t="shared" si="16"/>
        <v>508.29856000000001</v>
      </c>
      <c r="J310">
        <f t="shared" si="17"/>
        <v>230.56034849798721</v>
      </c>
      <c r="K310">
        <v>0.29399999999999998</v>
      </c>
      <c r="L310" s="8">
        <f t="shared" si="18"/>
        <v>67.784742458408232</v>
      </c>
    </row>
    <row r="311" spans="1:12" x14ac:dyDescent="0.2">
      <c r="A311" s="4">
        <v>43377</v>
      </c>
      <c r="B311" t="s">
        <v>48</v>
      </c>
      <c r="C311">
        <v>20</v>
      </c>
      <c r="D311">
        <v>1</v>
      </c>
      <c r="E311">
        <f t="shared" si="19"/>
        <v>25.414928</v>
      </c>
      <c r="F311" t="s">
        <v>55</v>
      </c>
      <c r="G311" t="s">
        <v>55</v>
      </c>
      <c r="H311" s="8" t="s">
        <v>1067</v>
      </c>
      <c r="I311">
        <f t="shared" si="16"/>
        <v>508.29856000000001</v>
      </c>
      <c r="J311">
        <f t="shared" si="17"/>
        <v>230.56034849798721</v>
      </c>
      <c r="K311">
        <v>0.29399999999999998</v>
      </c>
      <c r="L311" s="8">
        <f t="shared" si="18"/>
        <v>67.784742458408232</v>
      </c>
    </row>
    <row r="312" spans="1:12" x14ac:dyDescent="0.2">
      <c r="A312" s="4">
        <v>43434</v>
      </c>
      <c r="B312" t="s">
        <v>538</v>
      </c>
      <c r="C312">
        <v>1</v>
      </c>
      <c r="D312">
        <v>6</v>
      </c>
      <c r="E312">
        <v>5</v>
      </c>
      <c r="F312" t="s">
        <v>439</v>
      </c>
      <c r="G312" s="14" t="s">
        <v>904</v>
      </c>
      <c r="H312" s="9" t="s">
        <v>1071</v>
      </c>
      <c r="I312">
        <f t="shared" ref="I312:I375" si="20">C312*D312*E312</f>
        <v>30</v>
      </c>
      <c r="J312">
        <f t="shared" si="17"/>
        <v>13.607771100000001</v>
      </c>
      <c r="L312">
        <f t="shared" si="18"/>
        <v>0</v>
      </c>
    </row>
    <row r="313" spans="1:12" x14ac:dyDescent="0.2">
      <c r="A313" s="4">
        <v>43437</v>
      </c>
      <c r="B313" t="s">
        <v>538</v>
      </c>
      <c r="C313">
        <v>1</v>
      </c>
      <c r="D313">
        <v>6</v>
      </c>
      <c r="E313">
        <v>5</v>
      </c>
      <c r="F313" t="s">
        <v>439</v>
      </c>
      <c r="G313" s="14" t="s">
        <v>904</v>
      </c>
      <c r="H313" s="9" t="s">
        <v>1071</v>
      </c>
      <c r="I313">
        <f t="shared" si="20"/>
        <v>30</v>
      </c>
      <c r="J313">
        <f t="shared" si="17"/>
        <v>13.607771100000001</v>
      </c>
      <c r="L313">
        <f t="shared" si="18"/>
        <v>0</v>
      </c>
    </row>
    <row r="314" spans="1:12" x14ac:dyDescent="0.2">
      <c r="A314" s="4">
        <v>43371</v>
      </c>
      <c r="B314" t="s">
        <v>48</v>
      </c>
      <c r="C314">
        <v>1</v>
      </c>
      <c r="D314">
        <v>1</v>
      </c>
      <c r="E314">
        <f>30*1/8</f>
        <v>3.75</v>
      </c>
      <c r="F314" t="s">
        <v>56</v>
      </c>
      <c r="G314" t="s">
        <v>757</v>
      </c>
      <c r="H314" s="8" t="s">
        <v>1067</v>
      </c>
      <c r="I314">
        <f t="shared" si="20"/>
        <v>3.75</v>
      </c>
      <c r="J314">
        <f t="shared" si="17"/>
        <v>1.7009713875000001</v>
      </c>
      <c r="K314">
        <v>0.23200000000000001</v>
      </c>
      <c r="L314" s="8">
        <f t="shared" si="18"/>
        <v>0.39462536190000003</v>
      </c>
    </row>
    <row r="315" spans="1:12" x14ac:dyDescent="0.2">
      <c r="A315" s="4">
        <v>43374</v>
      </c>
      <c r="B315" t="s">
        <v>48</v>
      </c>
      <c r="C315">
        <v>1</v>
      </c>
      <c r="D315">
        <v>1</v>
      </c>
      <c r="E315">
        <f>30*1/8</f>
        <v>3.75</v>
      </c>
      <c r="F315" t="s">
        <v>234</v>
      </c>
      <c r="G315" t="s">
        <v>757</v>
      </c>
      <c r="H315" s="8" t="s">
        <v>1067</v>
      </c>
      <c r="I315">
        <f t="shared" si="20"/>
        <v>3.75</v>
      </c>
      <c r="J315">
        <f t="shared" si="17"/>
        <v>1.7009713875000001</v>
      </c>
      <c r="K315">
        <v>0.23200000000000001</v>
      </c>
      <c r="L315" s="8">
        <f t="shared" si="18"/>
        <v>0.39462536190000003</v>
      </c>
    </row>
    <row r="316" spans="1:12" x14ac:dyDescent="0.2">
      <c r="A316" s="4">
        <v>43434</v>
      </c>
      <c r="B316" t="s">
        <v>538</v>
      </c>
      <c r="C316">
        <v>4</v>
      </c>
      <c r="D316">
        <v>2</v>
      </c>
      <c r="E316">
        <v>10</v>
      </c>
      <c r="F316" t="s">
        <v>458</v>
      </c>
      <c r="G316" s="6" t="s">
        <v>875</v>
      </c>
      <c r="H316" s="9" t="s">
        <v>1071</v>
      </c>
      <c r="I316">
        <f t="shared" si="20"/>
        <v>80</v>
      </c>
      <c r="J316">
        <f t="shared" si="17"/>
        <v>36.287389600000004</v>
      </c>
      <c r="K316">
        <v>5.99</v>
      </c>
      <c r="L316">
        <f t="shared" si="18"/>
        <v>217.36146370400004</v>
      </c>
    </row>
    <row r="317" spans="1:12" x14ac:dyDescent="0.2">
      <c r="A317" s="4">
        <v>43434</v>
      </c>
      <c r="B317" t="s">
        <v>538</v>
      </c>
      <c r="C317">
        <v>4</v>
      </c>
      <c r="D317">
        <v>2</v>
      </c>
      <c r="E317">
        <v>10</v>
      </c>
      <c r="F317" t="s">
        <v>461</v>
      </c>
      <c r="G317" s="6" t="s">
        <v>875</v>
      </c>
      <c r="H317" s="9" t="s">
        <v>1071</v>
      </c>
      <c r="I317">
        <f t="shared" si="20"/>
        <v>80</v>
      </c>
      <c r="J317">
        <f t="shared" si="17"/>
        <v>36.287389600000004</v>
      </c>
      <c r="K317">
        <v>5.99</v>
      </c>
      <c r="L317">
        <f t="shared" si="18"/>
        <v>217.36146370400004</v>
      </c>
    </row>
    <row r="318" spans="1:12" x14ac:dyDescent="0.2">
      <c r="A318" s="4">
        <v>43434</v>
      </c>
      <c r="B318" t="s">
        <v>538</v>
      </c>
      <c r="C318">
        <v>4</v>
      </c>
      <c r="D318">
        <v>2</v>
      </c>
      <c r="E318">
        <v>10</v>
      </c>
      <c r="F318" t="s">
        <v>462</v>
      </c>
      <c r="G318" s="6" t="s">
        <v>875</v>
      </c>
      <c r="H318" s="9" t="s">
        <v>1071</v>
      </c>
      <c r="I318">
        <f t="shared" si="20"/>
        <v>80</v>
      </c>
      <c r="J318">
        <f t="shared" si="17"/>
        <v>36.287389600000004</v>
      </c>
      <c r="K318">
        <v>5.99</v>
      </c>
      <c r="L318">
        <f t="shared" si="18"/>
        <v>217.36146370400004</v>
      </c>
    </row>
    <row r="319" spans="1:12" x14ac:dyDescent="0.2">
      <c r="A319" s="4">
        <v>43434</v>
      </c>
      <c r="B319" t="s">
        <v>538</v>
      </c>
      <c r="C319">
        <v>4</v>
      </c>
      <c r="D319">
        <v>2</v>
      </c>
      <c r="E319">
        <v>10</v>
      </c>
      <c r="F319" t="s">
        <v>566</v>
      </c>
      <c r="G319" s="6" t="s">
        <v>875</v>
      </c>
      <c r="H319" s="9" t="s">
        <v>1071</v>
      </c>
      <c r="I319">
        <f t="shared" si="20"/>
        <v>80</v>
      </c>
      <c r="J319">
        <f t="shared" si="17"/>
        <v>36.287389600000004</v>
      </c>
      <c r="K319">
        <v>5.99</v>
      </c>
      <c r="L319">
        <f t="shared" si="18"/>
        <v>217.36146370400004</v>
      </c>
    </row>
    <row r="320" spans="1:12" x14ac:dyDescent="0.2">
      <c r="A320" s="4">
        <v>43439</v>
      </c>
      <c r="B320" t="s">
        <v>538</v>
      </c>
      <c r="C320">
        <v>3</v>
      </c>
      <c r="D320">
        <v>2</v>
      </c>
      <c r="E320">
        <v>10</v>
      </c>
      <c r="F320" t="s">
        <v>458</v>
      </c>
      <c r="G320" s="6" t="s">
        <v>875</v>
      </c>
      <c r="H320" s="9" t="s">
        <v>1071</v>
      </c>
      <c r="I320">
        <f t="shared" si="20"/>
        <v>60</v>
      </c>
      <c r="J320">
        <f t="shared" si="17"/>
        <v>27.215542200000002</v>
      </c>
      <c r="K320">
        <v>5.99</v>
      </c>
      <c r="L320">
        <f t="shared" si="18"/>
        <v>163.02109777800001</v>
      </c>
    </row>
    <row r="321" spans="1:12" x14ac:dyDescent="0.2">
      <c r="A321" s="4">
        <v>43434</v>
      </c>
      <c r="B321" t="s">
        <v>538</v>
      </c>
      <c r="C321">
        <v>1</v>
      </c>
      <c r="D321">
        <v>12</v>
      </c>
      <c r="E321">
        <v>1</v>
      </c>
      <c r="F321" t="s">
        <v>560</v>
      </c>
      <c r="G321" s="6" t="s">
        <v>911</v>
      </c>
      <c r="H321" s="9" t="s">
        <v>1071</v>
      </c>
      <c r="I321">
        <f t="shared" si="20"/>
        <v>12</v>
      </c>
      <c r="J321">
        <f t="shared" si="17"/>
        <v>5.4431084400000005</v>
      </c>
      <c r="K321">
        <v>0.11799999999999999</v>
      </c>
      <c r="L321">
        <f t="shared" si="18"/>
        <v>0.64228679592000004</v>
      </c>
    </row>
    <row r="322" spans="1:12" x14ac:dyDescent="0.2">
      <c r="A322" s="4">
        <v>43439</v>
      </c>
      <c r="B322" t="s">
        <v>538</v>
      </c>
      <c r="C322">
        <v>1</v>
      </c>
      <c r="D322">
        <v>1</v>
      </c>
      <c r="E322">
        <v>20</v>
      </c>
      <c r="F322" t="s">
        <v>592</v>
      </c>
      <c r="G322" t="s">
        <v>921</v>
      </c>
      <c r="H322" s="9" t="s">
        <v>1071</v>
      </c>
      <c r="I322">
        <f t="shared" si="20"/>
        <v>20</v>
      </c>
      <c r="J322">
        <f t="shared" si="17"/>
        <v>9.0718474000000011</v>
      </c>
      <c r="K322">
        <v>0.61699999999999999</v>
      </c>
      <c r="L322">
        <f t="shared" si="18"/>
        <v>5.5973298458000009</v>
      </c>
    </row>
    <row r="323" spans="1:12" x14ac:dyDescent="0.2">
      <c r="A323" s="4">
        <v>43371</v>
      </c>
      <c r="B323" t="s">
        <v>48</v>
      </c>
      <c r="C323">
        <v>5</v>
      </c>
      <c r="D323">
        <v>1</v>
      </c>
      <c r="E323">
        <v>10</v>
      </c>
      <c r="F323" t="s">
        <v>57</v>
      </c>
      <c r="G323" t="s">
        <v>806</v>
      </c>
      <c r="H323" s="8" t="s">
        <v>1067</v>
      </c>
      <c r="I323">
        <f t="shared" si="20"/>
        <v>50</v>
      </c>
      <c r="J323">
        <f t="shared" ref="J323:J386" si="21">CONVERT(I323,"lbm","kg")</f>
        <v>22.6796185</v>
      </c>
      <c r="K323">
        <v>0.70099999999999996</v>
      </c>
      <c r="L323" s="8">
        <f t="shared" ref="L323:L386" si="22">J323*K323</f>
        <v>15.8984125685</v>
      </c>
    </row>
    <row r="324" spans="1:12" x14ac:dyDescent="0.2">
      <c r="A324" s="4">
        <v>43376</v>
      </c>
      <c r="B324" t="s">
        <v>48</v>
      </c>
      <c r="C324">
        <v>3</v>
      </c>
      <c r="D324">
        <v>1</v>
      </c>
      <c r="E324">
        <v>10</v>
      </c>
      <c r="F324" t="s">
        <v>57</v>
      </c>
      <c r="G324" t="s">
        <v>806</v>
      </c>
      <c r="H324" s="8" t="s">
        <v>1067</v>
      </c>
      <c r="I324">
        <f t="shared" si="20"/>
        <v>30</v>
      </c>
      <c r="J324">
        <f t="shared" si="21"/>
        <v>13.607771100000001</v>
      </c>
      <c r="K324">
        <v>0.70099999999999996</v>
      </c>
      <c r="L324" s="8">
        <f t="shared" si="22"/>
        <v>9.5390475411000004</v>
      </c>
    </row>
    <row r="325" spans="1:12" x14ac:dyDescent="0.2">
      <c r="A325" s="4">
        <v>43434</v>
      </c>
      <c r="B325" t="s">
        <v>531</v>
      </c>
      <c r="C325">
        <v>2</v>
      </c>
      <c r="D325">
        <v>12</v>
      </c>
      <c r="E325">
        <v>2.5</v>
      </c>
      <c r="F325" t="s">
        <v>405</v>
      </c>
      <c r="G325" t="s">
        <v>891</v>
      </c>
      <c r="H325" s="9" t="s">
        <v>1071</v>
      </c>
      <c r="I325">
        <f t="shared" si="20"/>
        <v>60</v>
      </c>
      <c r="J325">
        <f t="shared" si="21"/>
        <v>27.215542200000002</v>
      </c>
      <c r="K325">
        <v>0.61699999999999999</v>
      </c>
      <c r="L325">
        <f t="shared" si="22"/>
        <v>16.791989537399999</v>
      </c>
    </row>
    <row r="326" spans="1:12" x14ac:dyDescent="0.2">
      <c r="A326" s="4">
        <v>43437</v>
      </c>
      <c r="B326" t="s">
        <v>531</v>
      </c>
      <c r="C326">
        <v>1</v>
      </c>
      <c r="D326">
        <v>12</v>
      </c>
      <c r="E326">
        <v>2.5</v>
      </c>
      <c r="F326" t="s">
        <v>405</v>
      </c>
      <c r="G326" t="s">
        <v>891</v>
      </c>
      <c r="H326" s="9" t="s">
        <v>1071</v>
      </c>
      <c r="I326">
        <f t="shared" si="20"/>
        <v>30</v>
      </c>
      <c r="J326">
        <f t="shared" si="21"/>
        <v>13.607771100000001</v>
      </c>
      <c r="K326">
        <v>0.61699999999999999</v>
      </c>
      <c r="L326">
        <f t="shared" si="22"/>
        <v>8.3959947686999996</v>
      </c>
    </row>
    <row r="327" spans="1:12" x14ac:dyDescent="0.2">
      <c r="A327" s="4">
        <v>43372</v>
      </c>
      <c r="B327" t="s">
        <v>48</v>
      </c>
      <c r="C327">
        <v>3</v>
      </c>
      <c r="D327">
        <v>1</v>
      </c>
      <c r="E327">
        <f>120*0.39</f>
        <v>46.800000000000004</v>
      </c>
      <c r="F327" t="s">
        <v>228</v>
      </c>
      <c r="G327" t="s">
        <v>228</v>
      </c>
      <c r="H327" s="8" t="s">
        <v>1067</v>
      </c>
      <c r="I327">
        <f t="shared" si="20"/>
        <v>140.4</v>
      </c>
      <c r="J327">
        <f t="shared" si="21"/>
        <v>63.684368748000011</v>
      </c>
      <c r="K327">
        <v>0.249</v>
      </c>
      <c r="L327" s="8">
        <f t="shared" si="22"/>
        <v>15.857407818252003</v>
      </c>
    </row>
    <row r="328" spans="1:12" x14ac:dyDescent="0.2">
      <c r="A328" s="4">
        <v>43372</v>
      </c>
      <c r="B328" t="s">
        <v>48</v>
      </c>
      <c r="C328">
        <v>3</v>
      </c>
      <c r="D328">
        <v>1</v>
      </c>
      <c r="E328">
        <v>20</v>
      </c>
      <c r="F328" t="s">
        <v>229</v>
      </c>
      <c r="G328" t="s">
        <v>228</v>
      </c>
      <c r="H328" s="8" t="s">
        <v>1067</v>
      </c>
      <c r="I328">
        <f t="shared" si="20"/>
        <v>60</v>
      </c>
      <c r="J328">
        <f t="shared" si="21"/>
        <v>27.215542200000002</v>
      </c>
      <c r="K328">
        <v>0.249</v>
      </c>
      <c r="L328" s="8">
        <f t="shared" si="22"/>
        <v>6.7766700078</v>
      </c>
    </row>
    <row r="329" spans="1:12" x14ac:dyDescent="0.2">
      <c r="A329" s="4">
        <v>43377</v>
      </c>
      <c r="B329" t="s">
        <v>48</v>
      </c>
      <c r="C329" s="28">
        <v>2</v>
      </c>
      <c r="D329">
        <v>1</v>
      </c>
      <c r="E329">
        <f>120*0.39</f>
        <v>46.800000000000004</v>
      </c>
      <c r="F329" t="s">
        <v>264</v>
      </c>
      <c r="G329" t="s">
        <v>791</v>
      </c>
      <c r="H329" s="8" t="s">
        <v>1067</v>
      </c>
      <c r="I329">
        <f t="shared" si="20"/>
        <v>93.600000000000009</v>
      </c>
      <c r="J329">
        <f t="shared" si="21"/>
        <v>42.456245832000008</v>
      </c>
      <c r="K329">
        <v>0.249</v>
      </c>
      <c r="L329" s="8">
        <f t="shared" si="22"/>
        <v>10.571605212168002</v>
      </c>
    </row>
    <row r="330" spans="1:12" x14ac:dyDescent="0.2">
      <c r="A330" s="4">
        <v>43372</v>
      </c>
      <c r="B330" t="s">
        <v>48</v>
      </c>
      <c r="C330">
        <v>2</v>
      </c>
      <c r="D330">
        <v>1</v>
      </c>
      <c r="E330">
        <f>(12*8)/16</f>
        <v>6</v>
      </c>
      <c r="F330" t="s">
        <v>218</v>
      </c>
      <c r="G330" t="s">
        <v>218</v>
      </c>
      <c r="H330" s="8" t="s">
        <v>1067</v>
      </c>
      <c r="I330">
        <f t="shared" si="20"/>
        <v>12</v>
      </c>
      <c r="J330">
        <f t="shared" si="21"/>
        <v>5.4431084400000005</v>
      </c>
      <c r="K330">
        <v>0.52500000000000002</v>
      </c>
      <c r="L330" s="8">
        <f t="shared" si="22"/>
        <v>2.8576319310000002</v>
      </c>
    </row>
    <row r="331" spans="1:12" x14ac:dyDescent="0.2">
      <c r="A331" s="4">
        <v>43377</v>
      </c>
      <c r="B331" t="s">
        <v>48</v>
      </c>
      <c r="C331" s="28">
        <v>1</v>
      </c>
      <c r="D331">
        <v>1</v>
      </c>
      <c r="E331" s="28">
        <f>10/9*30</f>
        <v>33.333333333333336</v>
      </c>
      <c r="F331" t="s">
        <v>266</v>
      </c>
      <c r="G331" t="s">
        <v>792</v>
      </c>
      <c r="H331" s="8" t="s">
        <v>1067</v>
      </c>
      <c r="I331">
        <f t="shared" si="20"/>
        <v>33.333333333333336</v>
      </c>
      <c r="J331">
        <f t="shared" si="21"/>
        <v>15.119745666666669</v>
      </c>
      <c r="K331">
        <v>0.52500000000000002</v>
      </c>
      <c r="L331" s="8">
        <f t="shared" si="22"/>
        <v>7.9378664750000016</v>
      </c>
    </row>
    <row r="332" spans="1:12" x14ac:dyDescent="0.2">
      <c r="A332" s="4">
        <v>43434</v>
      </c>
      <c r="B332" t="s">
        <v>538</v>
      </c>
      <c r="C332">
        <v>1</v>
      </c>
      <c r="D332">
        <v>12</v>
      </c>
      <c r="E332">
        <f>28/16</f>
        <v>1.75</v>
      </c>
      <c r="F332" t="s">
        <v>559</v>
      </c>
      <c r="G332" t="s">
        <v>848</v>
      </c>
      <c r="H332" s="9" t="s">
        <v>1071</v>
      </c>
      <c r="I332">
        <f t="shared" si="20"/>
        <v>21</v>
      </c>
      <c r="J332">
        <f t="shared" si="21"/>
        <v>9.5254397700000002</v>
      </c>
      <c r="K332">
        <v>0.52500000000000002</v>
      </c>
      <c r="L332">
        <f t="shared" si="22"/>
        <v>5.0008558792500004</v>
      </c>
    </row>
    <row r="333" spans="1:12" x14ac:dyDescent="0.2">
      <c r="A333" s="4">
        <v>43434</v>
      </c>
      <c r="B333" t="s">
        <v>538</v>
      </c>
      <c r="C333">
        <v>1</v>
      </c>
      <c r="D333">
        <v>3</v>
      </c>
      <c r="E333">
        <v>5</v>
      </c>
      <c r="F333" t="s">
        <v>556</v>
      </c>
      <c r="G333" t="s">
        <v>909</v>
      </c>
      <c r="H333" s="9" t="s">
        <v>1071</v>
      </c>
      <c r="I333">
        <f t="shared" si="20"/>
        <v>15</v>
      </c>
      <c r="J333">
        <f t="shared" si="21"/>
        <v>6.8038855500000004</v>
      </c>
      <c r="K333">
        <v>0.87</v>
      </c>
      <c r="L333">
        <f t="shared" si="22"/>
        <v>5.9193804285000002</v>
      </c>
    </row>
    <row r="334" spans="1:12" x14ac:dyDescent="0.2">
      <c r="A334" s="4">
        <v>43439</v>
      </c>
      <c r="B334" t="s">
        <v>538</v>
      </c>
      <c r="C334">
        <v>1</v>
      </c>
      <c r="D334">
        <v>3</v>
      </c>
      <c r="E334">
        <v>5</v>
      </c>
      <c r="F334" t="s">
        <v>556</v>
      </c>
      <c r="G334" t="s">
        <v>909</v>
      </c>
      <c r="H334" s="9" t="s">
        <v>1071</v>
      </c>
      <c r="I334">
        <f t="shared" si="20"/>
        <v>15</v>
      </c>
      <c r="J334">
        <f t="shared" si="21"/>
        <v>6.8038855500000004</v>
      </c>
      <c r="K334">
        <v>0.87</v>
      </c>
      <c r="L334">
        <f t="shared" si="22"/>
        <v>5.9193804285000002</v>
      </c>
    </row>
    <row r="335" spans="1:12" x14ac:dyDescent="0.2">
      <c r="A335" s="4">
        <v>43372</v>
      </c>
      <c r="B335" t="s">
        <v>48</v>
      </c>
      <c r="C335">
        <v>2</v>
      </c>
      <c r="D335">
        <v>1</v>
      </c>
      <c r="E335">
        <f>10/9*30</f>
        <v>33.333333333333336</v>
      </c>
      <c r="F335" t="s">
        <v>168</v>
      </c>
      <c r="G335" t="s">
        <v>801</v>
      </c>
      <c r="H335" s="8" t="s">
        <v>1067</v>
      </c>
      <c r="I335">
        <f t="shared" si="20"/>
        <v>66.666666666666671</v>
      </c>
      <c r="J335">
        <f t="shared" si="21"/>
        <v>30.239491333333337</v>
      </c>
      <c r="K335">
        <v>0.52500000000000002</v>
      </c>
      <c r="L335" s="8">
        <f t="shared" si="22"/>
        <v>15.875732950000003</v>
      </c>
    </row>
    <row r="336" spans="1:12" x14ac:dyDescent="0.2">
      <c r="A336" s="4">
        <v>43372</v>
      </c>
      <c r="B336" t="s">
        <v>48</v>
      </c>
      <c r="C336">
        <v>3</v>
      </c>
      <c r="D336">
        <v>1</v>
      </c>
      <c r="E336">
        <v>20</v>
      </c>
      <c r="F336" t="s">
        <v>168</v>
      </c>
      <c r="G336" t="s">
        <v>801</v>
      </c>
      <c r="H336" s="8" t="s">
        <v>1067</v>
      </c>
      <c r="I336">
        <f t="shared" si="20"/>
        <v>60</v>
      </c>
      <c r="J336">
        <f t="shared" si="21"/>
        <v>27.215542200000002</v>
      </c>
      <c r="K336">
        <v>0.52500000000000002</v>
      </c>
      <c r="L336" s="8">
        <f t="shared" si="22"/>
        <v>14.288159655000001</v>
      </c>
    </row>
    <row r="337" spans="1:12" x14ac:dyDescent="0.2">
      <c r="A337" s="4">
        <v>43371</v>
      </c>
      <c r="B337" t="s">
        <v>48</v>
      </c>
      <c r="C337">
        <v>2</v>
      </c>
      <c r="D337">
        <v>1</v>
      </c>
      <c r="E337">
        <f>10/9*30</f>
        <v>33.333333333333336</v>
      </c>
      <c r="F337" t="s">
        <v>168</v>
      </c>
      <c r="G337" t="s">
        <v>801</v>
      </c>
      <c r="H337" s="8" t="s">
        <v>1067</v>
      </c>
      <c r="I337">
        <f t="shared" si="20"/>
        <v>66.666666666666671</v>
      </c>
      <c r="J337">
        <f t="shared" si="21"/>
        <v>30.239491333333337</v>
      </c>
      <c r="K337">
        <v>0.52500000000000002</v>
      </c>
      <c r="L337" s="8">
        <f t="shared" si="22"/>
        <v>15.875732950000003</v>
      </c>
    </row>
    <row r="338" spans="1:12" x14ac:dyDescent="0.2">
      <c r="A338" s="4">
        <v>43374</v>
      </c>
      <c r="B338" t="s">
        <v>48</v>
      </c>
      <c r="C338">
        <v>2</v>
      </c>
      <c r="D338">
        <v>1</v>
      </c>
      <c r="E338">
        <f>10/9*30</f>
        <v>33.333333333333336</v>
      </c>
      <c r="F338" t="s">
        <v>168</v>
      </c>
      <c r="G338" t="s">
        <v>801</v>
      </c>
      <c r="H338" s="8" t="s">
        <v>1067</v>
      </c>
      <c r="I338">
        <f t="shared" si="20"/>
        <v>66.666666666666671</v>
      </c>
      <c r="J338">
        <f t="shared" si="21"/>
        <v>30.239491333333337</v>
      </c>
      <c r="K338">
        <v>0.52500000000000002</v>
      </c>
      <c r="L338" s="8">
        <f t="shared" si="22"/>
        <v>15.875732950000003</v>
      </c>
    </row>
    <row r="339" spans="1:12" x14ac:dyDescent="0.2">
      <c r="A339" s="4">
        <v>43377</v>
      </c>
      <c r="B339" t="s">
        <v>48</v>
      </c>
      <c r="C339" s="28">
        <v>2</v>
      </c>
      <c r="D339">
        <v>1</v>
      </c>
      <c r="E339" s="28">
        <f>10/9*30</f>
        <v>33.333333333333336</v>
      </c>
      <c r="F339" t="s">
        <v>265</v>
      </c>
      <c r="G339" t="s">
        <v>801</v>
      </c>
      <c r="H339" s="8" t="s">
        <v>1067</v>
      </c>
      <c r="I339">
        <f t="shared" si="20"/>
        <v>66.666666666666671</v>
      </c>
      <c r="J339">
        <f t="shared" si="21"/>
        <v>30.239491333333337</v>
      </c>
      <c r="K339">
        <v>0.52500000000000002</v>
      </c>
      <c r="L339" s="8">
        <f t="shared" si="22"/>
        <v>15.875732950000003</v>
      </c>
    </row>
    <row r="340" spans="1:12" x14ac:dyDescent="0.2">
      <c r="A340" s="4">
        <v>43434</v>
      </c>
      <c r="B340" t="s">
        <v>538</v>
      </c>
      <c r="C340">
        <v>2</v>
      </c>
      <c r="D340">
        <v>12</v>
      </c>
      <c r="E340">
        <f>27/16</f>
        <v>1.6875</v>
      </c>
      <c r="F340" t="s">
        <v>555</v>
      </c>
      <c r="G340" t="s">
        <v>908</v>
      </c>
      <c r="H340" s="9" t="s">
        <v>1071</v>
      </c>
      <c r="I340">
        <f t="shared" si="20"/>
        <v>40.5</v>
      </c>
      <c r="J340">
        <f t="shared" si="21"/>
        <v>18.370490985</v>
      </c>
      <c r="K340">
        <v>0.79900000000000004</v>
      </c>
      <c r="L340">
        <f t="shared" si="22"/>
        <v>14.678022297015001</v>
      </c>
    </row>
    <row r="341" spans="1:12" x14ac:dyDescent="0.2">
      <c r="A341" s="4">
        <v>43434</v>
      </c>
      <c r="B341" t="s">
        <v>538</v>
      </c>
      <c r="C341">
        <v>2</v>
      </c>
      <c r="D341">
        <v>12</v>
      </c>
      <c r="E341">
        <f>7/16</f>
        <v>0.4375</v>
      </c>
      <c r="F341" t="s">
        <v>448</v>
      </c>
      <c r="G341" t="s">
        <v>908</v>
      </c>
      <c r="H341" s="9" t="s">
        <v>1071</v>
      </c>
      <c r="I341">
        <f t="shared" si="20"/>
        <v>10.5</v>
      </c>
      <c r="J341">
        <f t="shared" si="21"/>
        <v>4.7627198850000001</v>
      </c>
      <c r="K341">
        <v>0.79900000000000004</v>
      </c>
      <c r="L341">
        <f t="shared" si="22"/>
        <v>3.8054131881150002</v>
      </c>
    </row>
    <row r="342" spans="1:12" x14ac:dyDescent="0.2">
      <c r="A342" s="4">
        <v>43439</v>
      </c>
      <c r="B342" t="s">
        <v>538</v>
      </c>
      <c r="C342">
        <v>1</v>
      </c>
      <c r="D342">
        <v>4</v>
      </c>
      <c r="E342">
        <v>8.35</v>
      </c>
      <c r="F342" t="s">
        <v>541</v>
      </c>
      <c r="G342" t="s">
        <v>908</v>
      </c>
      <c r="H342" s="9" t="s">
        <v>1071</v>
      </c>
      <c r="I342">
        <f t="shared" si="20"/>
        <v>33.4</v>
      </c>
      <c r="J342">
        <f t="shared" si="21"/>
        <v>15.149985158</v>
      </c>
      <c r="K342">
        <v>0.79900000000000004</v>
      </c>
      <c r="L342">
        <f t="shared" si="22"/>
        <v>12.104838141242</v>
      </c>
    </row>
    <row r="343" spans="1:12" x14ac:dyDescent="0.2">
      <c r="A343" s="4">
        <v>43434</v>
      </c>
      <c r="B343" t="s">
        <v>538</v>
      </c>
      <c r="C343">
        <v>1</v>
      </c>
      <c r="D343">
        <v>4</v>
      </c>
      <c r="E343">
        <v>8.35</v>
      </c>
      <c r="F343" t="s">
        <v>541</v>
      </c>
      <c r="G343" t="s">
        <v>937</v>
      </c>
      <c r="H343" s="9" t="s">
        <v>1071</v>
      </c>
      <c r="I343">
        <f t="shared" si="20"/>
        <v>33.4</v>
      </c>
      <c r="J343">
        <f t="shared" si="21"/>
        <v>15.149985158</v>
      </c>
      <c r="K343">
        <v>0.79900000000000004</v>
      </c>
      <c r="L343">
        <f t="shared" si="22"/>
        <v>12.104838141242</v>
      </c>
    </row>
    <row r="344" spans="1:12" x14ac:dyDescent="0.2">
      <c r="A344" s="4">
        <v>43372</v>
      </c>
      <c r="B344" t="s">
        <v>48</v>
      </c>
      <c r="C344">
        <v>2</v>
      </c>
      <c r="D344">
        <v>1</v>
      </c>
      <c r="E344">
        <f>10/9*30</f>
        <v>33.333333333333336</v>
      </c>
      <c r="F344" t="s">
        <v>59</v>
      </c>
      <c r="G344" t="s">
        <v>802</v>
      </c>
      <c r="H344" s="8" t="s">
        <v>1067</v>
      </c>
      <c r="I344">
        <f t="shared" si="20"/>
        <v>66.666666666666671</v>
      </c>
      <c r="J344">
        <f t="shared" si="21"/>
        <v>30.239491333333337</v>
      </c>
      <c r="K344">
        <v>0.52500000000000002</v>
      </c>
      <c r="L344" s="8">
        <f t="shared" si="22"/>
        <v>15.875732950000003</v>
      </c>
    </row>
    <row r="345" spans="1:12" x14ac:dyDescent="0.2">
      <c r="A345" s="4">
        <v>43371</v>
      </c>
      <c r="B345" t="s">
        <v>48</v>
      </c>
      <c r="C345">
        <v>1</v>
      </c>
      <c r="D345">
        <v>1</v>
      </c>
      <c r="E345">
        <f>10/9*30</f>
        <v>33.333333333333336</v>
      </c>
      <c r="F345" t="s">
        <v>59</v>
      </c>
      <c r="G345" t="s">
        <v>802</v>
      </c>
      <c r="H345" s="8" t="s">
        <v>1067</v>
      </c>
      <c r="I345">
        <f t="shared" si="20"/>
        <v>33.333333333333336</v>
      </c>
      <c r="J345">
        <f t="shared" si="21"/>
        <v>15.119745666666669</v>
      </c>
      <c r="K345">
        <v>0.52500000000000002</v>
      </c>
      <c r="L345" s="8">
        <f t="shared" si="22"/>
        <v>7.9378664750000016</v>
      </c>
    </row>
    <row r="346" spans="1:12" x14ac:dyDescent="0.2">
      <c r="A346" s="4">
        <v>43371</v>
      </c>
      <c r="B346" t="s">
        <v>48</v>
      </c>
      <c r="C346">
        <v>1</v>
      </c>
      <c r="D346">
        <v>1</v>
      </c>
      <c r="E346">
        <f>10/9*30</f>
        <v>33.333333333333336</v>
      </c>
      <c r="F346" t="s">
        <v>59</v>
      </c>
      <c r="G346" t="s">
        <v>802</v>
      </c>
      <c r="H346" s="8" t="s">
        <v>1067</v>
      </c>
      <c r="I346">
        <f t="shared" si="20"/>
        <v>33.333333333333336</v>
      </c>
      <c r="J346">
        <f t="shared" si="21"/>
        <v>15.119745666666669</v>
      </c>
      <c r="K346">
        <v>0.52500000000000002</v>
      </c>
      <c r="L346" s="8">
        <f t="shared" si="22"/>
        <v>7.9378664750000016</v>
      </c>
    </row>
    <row r="347" spans="1:12" x14ac:dyDescent="0.2">
      <c r="A347" s="4">
        <v>43374</v>
      </c>
      <c r="B347" t="s">
        <v>48</v>
      </c>
      <c r="C347">
        <v>2</v>
      </c>
      <c r="D347">
        <v>1</v>
      </c>
      <c r="E347">
        <f>10/9*30</f>
        <v>33.333333333333336</v>
      </c>
      <c r="F347" t="s">
        <v>59</v>
      </c>
      <c r="G347" t="s">
        <v>802</v>
      </c>
      <c r="H347" s="8" t="s">
        <v>1067</v>
      </c>
      <c r="I347">
        <f t="shared" si="20"/>
        <v>66.666666666666671</v>
      </c>
      <c r="J347">
        <f t="shared" si="21"/>
        <v>30.239491333333337</v>
      </c>
      <c r="K347">
        <v>0.52500000000000002</v>
      </c>
      <c r="L347" s="8">
        <f t="shared" si="22"/>
        <v>15.875732950000003</v>
      </c>
    </row>
    <row r="348" spans="1:12" x14ac:dyDescent="0.2">
      <c r="A348" s="4">
        <v>43376</v>
      </c>
      <c r="B348" t="s">
        <v>48</v>
      </c>
      <c r="C348">
        <v>2</v>
      </c>
      <c r="D348">
        <v>1</v>
      </c>
      <c r="E348">
        <f>10/9*30</f>
        <v>33.333333333333336</v>
      </c>
      <c r="F348" t="s">
        <v>59</v>
      </c>
      <c r="G348" t="s">
        <v>802</v>
      </c>
      <c r="H348" s="8" t="s">
        <v>1067</v>
      </c>
      <c r="I348">
        <f t="shared" si="20"/>
        <v>66.666666666666671</v>
      </c>
      <c r="J348">
        <f t="shared" si="21"/>
        <v>30.239491333333337</v>
      </c>
      <c r="K348">
        <v>0.52500000000000002</v>
      </c>
      <c r="L348" s="8">
        <f t="shared" si="22"/>
        <v>15.875732950000003</v>
      </c>
    </row>
    <row r="349" spans="1:12" x14ac:dyDescent="0.2">
      <c r="A349" s="4">
        <v>43372</v>
      </c>
      <c r="B349" t="s">
        <v>48</v>
      </c>
      <c r="C349">
        <v>6</v>
      </c>
      <c r="D349">
        <v>1</v>
      </c>
      <c r="E349">
        <f>10*2</f>
        <v>20</v>
      </c>
      <c r="F349" t="s">
        <v>60</v>
      </c>
      <c r="G349" t="s">
        <v>758</v>
      </c>
      <c r="H349" s="8" t="s">
        <v>1067</v>
      </c>
      <c r="I349">
        <f t="shared" si="20"/>
        <v>120</v>
      </c>
      <c r="J349">
        <f t="shared" si="21"/>
        <v>54.431084400000003</v>
      </c>
      <c r="K349">
        <v>0.91400000000000003</v>
      </c>
      <c r="L349" s="8">
        <f t="shared" si="22"/>
        <v>49.750011141600005</v>
      </c>
    </row>
    <row r="350" spans="1:12" x14ac:dyDescent="0.2">
      <c r="A350" s="4">
        <v>43371</v>
      </c>
      <c r="B350" t="s">
        <v>48</v>
      </c>
      <c r="C350">
        <v>5</v>
      </c>
      <c r="D350">
        <v>1</v>
      </c>
      <c r="E350">
        <f>10*2</f>
        <v>20</v>
      </c>
      <c r="F350" t="s">
        <v>60</v>
      </c>
      <c r="G350" t="s">
        <v>758</v>
      </c>
      <c r="H350" s="8" t="s">
        <v>1067</v>
      </c>
      <c r="I350">
        <f t="shared" si="20"/>
        <v>100</v>
      </c>
      <c r="J350">
        <f t="shared" si="21"/>
        <v>45.359237</v>
      </c>
      <c r="K350">
        <v>0.91400000000000003</v>
      </c>
      <c r="L350" s="8">
        <f t="shared" si="22"/>
        <v>41.458342618000003</v>
      </c>
    </row>
    <row r="351" spans="1:12" x14ac:dyDescent="0.2">
      <c r="A351" s="4">
        <v>43376</v>
      </c>
      <c r="B351" t="s">
        <v>48</v>
      </c>
      <c r="C351">
        <v>4</v>
      </c>
      <c r="D351">
        <v>1</v>
      </c>
      <c r="E351">
        <v>20</v>
      </c>
      <c r="F351" t="s">
        <v>60</v>
      </c>
      <c r="G351" t="s">
        <v>758</v>
      </c>
      <c r="H351" s="8" t="s">
        <v>1067</v>
      </c>
      <c r="I351">
        <f t="shared" si="20"/>
        <v>80</v>
      </c>
      <c r="J351">
        <f t="shared" si="21"/>
        <v>36.287389600000004</v>
      </c>
      <c r="K351">
        <v>0.91400000000000003</v>
      </c>
      <c r="L351" s="8">
        <f t="shared" si="22"/>
        <v>33.166674094400008</v>
      </c>
    </row>
    <row r="352" spans="1:12" x14ac:dyDescent="0.2">
      <c r="A352" s="4">
        <v>43377</v>
      </c>
      <c r="B352" t="s">
        <v>48</v>
      </c>
      <c r="C352" s="28">
        <v>2</v>
      </c>
      <c r="D352">
        <v>1</v>
      </c>
      <c r="E352">
        <v>20</v>
      </c>
      <c r="F352" t="s">
        <v>267</v>
      </c>
      <c r="G352" t="s">
        <v>793</v>
      </c>
      <c r="H352" s="8" t="s">
        <v>1067</v>
      </c>
      <c r="I352">
        <f t="shared" si="20"/>
        <v>40</v>
      </c>
      <c r="J352">
        <f t="shared" si="21"/>
        <v>18.143694800000002</v>
      </c>
      <c r="K352">
        <v>0.91400000000000003</v>
      </c>
      <c r="L352" s="8">
        <f t="shared" si="22"/>
        <v>16.583337047200004</v>
      </c>
    </row>
    <row r="353" spans="1:12" x14ac:dyDescent="0.2">
      <c r="A353" s="10">
        <v>43371</v>
      </c>
      <c r="B353" s="8" t="s">
        <v>13</v>
      </c>
      <c r="C353">
        <v>1</v>
      </c>
      <c r="D353">
        <v>1</v>
      </c>
      <c r="E353" s="9">
        <v>120</v>
      </c>
      <c r="F353" s="9" t="s">
        <v>15</v>
      </c>
      <c r="G353" s="9" t="s">
        <v>15</v>
      </c>
      <c r="H353" s="8" t="s">
        <v>1072</v>
      </c>
      <c r="I353">
        <f t="shared" si="20"/>
        <v>120</v>
      </c>
      <c r="J353">
        <f t="shared" si="21"/>
        <v>54.431084400000003</v>
      </c>
      <c r="K353">
        <v>5.56</v>
      </c>
      <c r="L353" s="8">
        <f t="shared" si="22"/>
        <v>302.63682926399997</v>
      </c>
    </row>
    <row r="354" spans="1:12" x14ac:dyDescent="0.2">
      <c r="A354" s="10">
        <v>43371</v>
      </c>
      <c r="B354" s="8" t="s">
        <v>13</v>
      </c>
      <c r="C354">
        <v>1</v>
      </c>
      <c r="D354">
        <v>1</v>
      </c>
      <c r="E354" s="9">
        <v>302.45999999999998</v>
      </c>
      <c r="F354" s="9" t="s">
        <v>179</v>
      </c>
      <c r="G354" s="9" t="s">
        <v>15</v>
      </c>
      <c r="H354" s="8" t="s">
        <v>1072</v>
      </c>
      <c r="I354">
        <f t="shared" si="20"/>
        <v>302.45999999999998</v>
      </c>
      <c r="J354">
        <f t="shared" si="21"/>
        <v>137.19354823019998</v>
      </c>
      <c r="K354">
        <v>5.56</v>
      </c>
      <c r="L354" s="8">
        <f t="shared" si="22"/>
        <v>762.79612815991186</v>
      </c>
    </row>
    <row r="355" spans="1:12" x14ac:dyDescent="0.2">
      <c r="A355" s="10">
        <v>43371</v>
      </c>
      <c r="B355" s="8" t="s">
        <v>13</v>
      </c>
      <c r="C355">
        <v>1</v>
      </c>
      <c r="D355">
        <v>1</v>
      </c>
      <c r="E355" s="9">
        <v>20</v>
      </c>
      <c r="F355" s="9" t="s">
        <v>17</v>
      </c>
      <c r="G355" s="9" t="s">
        <v>15</v>
      </c>
      <c r="H355" s="8" t="s">
        <v>1072</v>
      </c>
      <c r="I355">
        <f t="shared" si="20"/>
        <v>20</v>
      </c>
      <c r="J355">
        <f t="shared" si="21"/>
        <v>9.0718474000000011</v>
      </c>
      <c r="K355">
        <v>5.56</v>
      </c>
      <c r="L355" s="8">
        <f t="shared" si="22"/>
        <v>50.439471544</v>
      </c>
    </row>
    <row r="356" spans="1:12" x14ac:dyDescent="0.2">
      <c r="A356" s="10">
        <v>43371</v>
      </c>
      <c r="B356" s="8" t="s">
        <v>13</v>
      </c>
      <c r="C356">
        <v>1</v>
      </c>
      <c r="D356">
        <v>1</v>
      </c>
      <c r="E356" s="9">
        <v>80</v>
      </c>
      <c r="F356" s="9" t="s">
        <v>20</v>
      </c>
      <c r="G356" s="9" t="s">
        <v>15</v>
      </c>
      <c r="H356" s="8" t="s">
        <v>1072</v>
      </c>
      <c r="I356">
        <f t="shared" si="20"/>
        <v>80</v>
      </c>
      <c r="J356">
        <f t="shared" si="21"/>
        <v>36.287389600000004</v>
      </c>
      <c r="K356">
        <v>5.56</v>
      </c>
      <c r="L356" s="8">
        <f t="shared" si="22"/>
        <v>201.757886176</v>
      </c>
    </row>
    <row r="357" spans="1:12" x14ac:dyDescent="0.2">
      <c r="A357" s="4">
        <v>43434</v>
      </c>
      <c r="B357" t="s">
        <v>525</v>
      </c>
      <c r="C357">
        <v>1</v>
      </c>
      <c r="D357">
        <v>1</v>
      </c>
      <c r="E357">
        <v>89.1</v>
      </c>
      <c r="F357" t="s">
        <v>396</v>
      </c>
      <c r="G357" t="s">
        <v>15</v>
      </c>
      <c r="H357" s="9" t="s">
        <v>1072</v>
      </c>
      <c r="I357">
        <f t="shared" si="20"/>
        <v>89.1</v>
      </c>
      <c r="J357">
        <f t="shared" si="21"/>
        <v>40.415080166999999</v>
      </c>
      <c r="K357">
        <v>5.56</v>
      </c>
      <c r="L357">
        <f t="shared" si="22"/>
        <v>224.70784572851997</v>
      </c>
    </row>
    <row r="358" spans="1:12" x14ac:dyDescent="0.2">
      <c r="A358" s="4">
        <v>43439</v>
      </c>
      <c r="B358" t="s">
        <v>525</v>
      </c>
      <c r="C358">
        <v>1</v>
      </c>
      <c r="D358">
        <v>1</v>
      </c>
      <c r="E358">
        <v>29.8</v>
      </c>
      <c r="F358" t="s">
        <v>396</v>
      </c>
      <c r="G358" t="s">
        <v>15</v>
      </c>
      <c r="H358" s="9" t="s">
        <v>1072</v>
      </c>
      <c r="I358">
        <f t="shared" si="20"/>
        <v>29.8</v>
      </c>
      <c r="J358">
        <f t="shared" si="21"/>
        <v>13.517052626000002</v>
      </c>
      <c r="K358">
        <v>5.56</v>
      </c>
      <c r="L358">
        <f t="shared" si="22"/>
        <v>75.154812600560007</v>
      </c>
    </row>
    <row r="359" spans="1:12" x14ac:dyDescent="0.2">
      <c r="A359" s="4">
        <v>43372</v>
      </c>
      <c r="B359" t="s">
        <v>48</v>
      </c>
      <c r="C359">
        <v>3</v>
      </c>
      <c r="D359">
        <v>1</v>
      </c>
      <c r="E359">
        <v>50</v>
      </c>
      <c r="F359" t="s">
        <v>62</v>
      </c>
      <c r="G359" t="s">
        <v>759</v>
      </c>
      <c r="H359" s="8" t="s">
        <v>1067</v>
      </c>
      <c r="I359">
        <f t="shared" si="20"/>
        <v>150</v>
      </c>
      <c r="J359">
        <f t="shared" si="21"/>
        <v>68.038855500000011</v>
      </c>
      <c r="K359">
        <v>0.217</v>
      </c>
      <c r="L359" s="8">
        <f t="shared" si="22"/>
        <v>14.764431643500002</v>
      </c>
    </row>
    <row r="360" spans="1:12" x14ac:dyDescent="0.2">
      <c r="A360" s="4">
        <v>43371</v>
      </c>
      <c r="B360" t="s">
        <v>48</v>
      </c>
      <c r="C360">
        <v>3</v>
      </c>
      <c r="D360">
        <v>1</v>
      </c>
      <c r="E360">
        <v>50</v>
      </c>
      <c r="F360" t="s">
        <v>62</v>
      </c>
      <c r="G360" t="s">
        <v>759</v>
      </c>
      <c r="H360" s="8" t="s">
        <v>1067</v>
      </c>
      <c r="I360">
        <f t="shared" si="20"/>
        <v>150</v>
      </c>
      <c r="J360">
        <f t="shared" si="21"/>
        <v>68.038855500000011</v>
      </c>
      <c r="K360">
        <v>0.217</v>
      </c>
      <c r="L360" s="8">
        <f t="shared" si="22"/>
        <v>14.764431643500002</v>
      </c>
    </row>
    <row r="361" spans="1:12" x14ac:dyDescent="0.2">
      <c r="A361" s="4">
        <v>43371</v>
      </c>
      <c r="B361" t="s">
        <v>48</v>
      </c>
      <c r="C361">
        <v>3</v>
      </c>
      <c r="D361">
        <v>1</v>
      </c>
      <c r="E361">
        <v>50</v>
      </c>
      <c r="F361" t="s">
        <v>212</v>
      </c>
      <c r="G361" t="s">
        <v>759</v>
      </c>
      <c r="H361" s="8" t="s">
        <v>1067</v>
      </c>
      <c r="I361">
        <f t="shared" si="20"/>
        <v>150</v>
      </c>
      <c r="J361">
        <f t="shared" si="21"/>
        <v>68.038855500000011</v>
      </c>
      <c r="K361">
        <v>0.217</v>
      </c>
      <c r="L361" s="8">
        <f t="shared" si="22"/>
        <v>14.764431643500002</v>
      </c>
    </row>
    <row r="362" spans="1:12" x14ac:dyDescent="0.2">
      <c r="A362" s="4">
        <v>43371</v>
      </c>
      <c r="B362" t="s">
        <v>48</v>
      </c>
      <c r="C362">
        <v>2</v>
      </c>
      <c r="D362">
        <v>1</v>
      </c>
      <c r="E362">
        <v>50</v>
      </c>
      <c r="F362" t="s">
        <v>217</v>
      </c>
      <c r="G362" t="s">
        <v>759</v>
      </c>
      <c r="H362" s="8" t="s">
        <v>1067</v>
      </c>
      <c r="I362">
        <f t="shared" si="20"/>
        <v>100</v>
      </c>
      <c r="J362">
        <f t="shared" si="21"/>
        <v>45.359237</v>
      </c>
      <c r="K362">
        <v>0.217</v>
      </c>
      <c r="L362" s="8">
        <f t="shared" si="22"/>
        <v>9.8429544290000006</v>
      </c>
    </row>
    <row r="363" spans="1:12" x14ac:dyDescent="0.2">
      <c r="A363" s="4">
        <v>43376</v>
      </c>
      <c r="B363" t="s">
        <v>48</v>
      </c>
      <c r="C363">
        <v>3</v>
      </c>
      <c r="D363">
        <v>1</v>
      </c>
      <c r="E363">
        <v>50</v>
      </c>
      <c r="F363" t="s">
        <v>244</v>
      </c>
      <c r="G363" t="s">
        <v>759</v>
      </c>
      <c r="H363" s="8" t="s">
        <v>1067</v>
      </c>
      <c r="I363">
        <f t="shared" si="20"/>
        <v>150</v>
      </c>
      <c r="J363">
        <f t="shared" si="21"/>
        <v>68.038855500000011</v>
      </c>
      <c r="K363">
        <v>0.217</v>
      </c>
      <c r="L363" s="8">
        <f t="shared" si="22"/>
        <v>14.764431643500002</v>
      </c>
    </row>
    <row r="364" spans="1:12" x14ac:dyDescent="0.2">
      <c r="A364" s="4">
        <v>43377</v>
      </c>
      <c r="B364" t="s">
        <v>48</v>
      </c>
      <c r="C364" s="28">
        <v>2</v>
      </c>
      <c r="D364">
        <v>1</v>
      </c>
      <c r="E364">
        <v>50</v>
      </c>
      <c r="F364" t="s">
        <v>268</v>
      </c>
      <c r="G364" t="s">
        <v>343</v>
      </c>
      <c r="H364" s="8" t="s">
        <v>1067</v>
      </c>
      <c r="I364">
        <f t="shared" si="20"/>
        <v>100</v>
      </c>
      <c r="J364">
        <f t="shared" si="21"/>
        <v>45.359237</v>
      </c>
      <c r="K364">
        <v>0.217</v>
      </c>
      <c r="L364" s="8">
        <f t="shared" si="22"/>
        <v>9.8429544290000006</v>
      </c>
    </row>
    <row r="365" spans="1:12" x14ac:dyDescent="0.2">
      <c r="A365" s="4">
        <v>43434</v>
      </c>
      <c r="B365" t="s">
        <v>531</v>
      </c>
      <c r="C365">
        <v>4</v>
      </c>
      <c r="D365">
        <v>6</v>
      </c>
      <c r="E365">
        <v>6</v>
      </c>
      <c r="F365" t="s">
        <v>533</v>
      </c>
      <c r="G365" t="s">
        <v>854</v>
      </c>
      <c r="H365" s="9" t="s">
        <v>1071</v>
      </c>
      <c r="I365">
        <f t="shared" si="20"/>
        <v>144</v>
      </c>
      <c r="J365">
        <f t="shared" si="21"/>
        <v>65.317301279999995</v>
      </c>
      <c r="K365">
        <v>0.217</v>
      </c>
      <c r="L365">
        <f t="shared" si="22"/>
        <v>14.17385437776</v>
      </c>
    </row>
    <row r="366" spans="1:12" x14ac:dyDescent="0.2">
      <c r="A366" s="4">
        <v>43434</v>
      </c>
      <c r="B366" t="s">
        <v>531</v>
      </c>
      <c r="C366">
        <v>4</v>
      </c>
      <c r="D366">
        <v>6</v>
      </c>
      <c r="E366">
        <v>3</v>
      </c>
      <c r="F366" t="s">
        <v>404</v>
      </c>
      <c r="G366" t="s">
        <v>854</v>
      </c>
      <c r="H366" s="9" t="s">
        <v>1071</v>
      </c>
      <c r="I366">
        <f t="shared" si="20"/>
        <v>72</v>
      </c>
      <c r="J366">
        <f t="shared" si="21"/>
        <v>32.658650639999998</v>
      </c>
      <c r="K366">
        <v>0.217</v>
      </c>
      <c r="L366">
        <f t="shared" si="22"/>
        <v>7.0869271888799998</v>
      </c>
    </row>
    <row r="367" spans="1:12" x14ac:dyDescent="0.2">
      <c r="A367" s="4">
        <v>43434</v>
      </c>
      <c r="B367" t="s">
        <v>531</v>
      </c>
      <c r="C367">
        <v>6</v>
      </c>
      <c r="D367">
        <v>6</v>
      </c>
      <c r="E367">
        <v>5</v>
      </c>
      <c r="F367" t="s">
        <v>419</v>
      </c>
      <c r="G367" t="s">
        <v>854</v>
      </c>
      <c r="H367" s="9" t="s">
        <v>1071</v>
      </c>
      <c r="I367">
        <f t="shared" si="20"/>
        <v>180</v>
      </c>
      <c r="J367">
        <f t="shared" si="21"/>
        <v>81.646626600000005</v>
      </c>
      <c r="K367">
        <v>0.217</v>
      </c>
      <c r="L367">
        <f t="shared" si="22"/>
        <v>17.7173179722</v>
      </c>
    </row>
    <row r="368" spans="1:12" x14ac:dyDescent="0.2">
      <c r="A368" s="4">
        <v>43437</v>
      </c>
      <c r="B368" t="s">
        <v>531</v>
      </c>
      <c r="C368">
        <v>4</v>
      </c>
      <c r="D368">
        <v>6</v>
      </c>
      <c r="E368">
        <v>6</v>
      </c>
      <c r="F368" t="s">
        <v>533</v>
      </c>
      <c r="G368" t="s">
        <v>854</v>
      </c>
      <c r="H368" s="9" t="s">
        <v>1071</v>
      </c>
      <c r="I368">
        <f t="shared" si="20"/>
        <v>144</v>
      </c>
      <c r="J368">
        <f t="shared" si="21"/>
        <v>65.317301279999995</v>
      </c>
      <c r="K368">
        <v>0.217</v>
      </c>
      <c r="L368">
        <f t="shared" si="22"/>
        <v>14.17385437776</v>
      </c>
    </row>
    <row r="369" spans="1:12" x14ac:dyDescent="0.2">
      <c r="A369" s="4">
        <v>43437</v>
      </c>
      <c r="B369" t="s">
        <v>531</v>
      </c>
      <c r="C369">
        <v>4</v>
      </c>
      <c r="D369">
        <v>6</v>
      </c>
      <c r="E369">
        <v>3</v>
      </c>
      <c r="F369" t="s">
        <v>404</v>
      </c>
      <c r="G369" t="s">
        <v>854</v>
      </c>
      <c r="H369" s="9" t="s">
        <v>1071</v>
      </c>
      <c r="I369">
        <f t="shared" si="20"/>
        <v>72</v>
      </c>
      <c r="J369">
        <f t="shared" si="21"/>
        <v>32.658650639999998</v>
      </c>
      <c r="K369">
        <v>0.217</v>
      </c>
      <c r="L369">
        <f t="shared" si="22"/>
        <v>7.0869271888799998</v>
      </c>
    </row>
    <row r="370" spans="1:12" x14ac:dyDescent="0.2">
      <c r="A370" s="4">
        <v>43437</v>
      </c>
      <c r="B370" t="s">
        <v>531</v>
      </c>
      <c r="C370">
        <v>4</v>
      </c>
      <c r="D370">
        <v>6</v>
      </c>
      <c r="E370">
        <v>5</v>
      </c>
      <c r="F370" t="s">
        <v>406</v>
      </c>
      <c r="G370" t="s">
        <v>854</v>
      </c>
      <c r="H370" s="9" t="s">
        <v>1071</v>
      </c>
      <c r="I370">
        <f t="shared" si="20"/>
        <v>120</v>
      </c>
      <c r="J370">
        <f t="shared" si="21"/>
        <v>54.431084400000003</v>
      </c>
      <c r="K370">
        <v>0.217</v>
      </c>
      <c r="L370">
        <f t="shared" si="22"/>
        <v>11.8115453148</v>
      </c>
    </row>
    <row r="371" spans="1:12" x14ac:dyDescent="0.2">
      <c r="A371" s="4">
        <v>43439</v>
      </c>
      <c r="B371" t="s">
        <v>531</v>
      </c>
      <c r="C371">
        <v>4</v>
      </c>
      <c r="D371">
        <v>6</v>
      </c>
      <c r="E371">
        <v>5</v>
      </c>
      <c r="F371" t="s">
        <v>403</v>
      </c>
      <c r="G371" t="s">
        <v>854</v>
      </c>
      <c r="H371" s="9" t="s">
        <v>1071</v>
      </c>
      <c r="I371">
        <f t="shared" si="20"/>
        <v>120</v>
      </c>
      <c r="J371">
        <f t="shared" si="21"/>
        <v>54.431084400000003</v>
      </c>
      <c r="K371">
        <v>0.217</v>
      </c>
      <c r="L371">
        <f t="shared" si="22"/>
        <v>11.8115453148</v>
      </c>
    </row>
    <row r="372" spans="1:12" x14ac:dyDescent="0.2">
      <c r="A372" s="4">
        <v>43439</v>
      </c>
      <c r="B372" t="s">
        <v>531</v>
      </c>
      <c r="C372">
        <v>4</v>
      </c>
      <c r="D372">
        <v>6</v>
      </c>
      <c r="E372">
        <v>5</v>
      </c>
      <c r="F372" t="s">
        <v>406</v>
      </c>
      <c r="G372" t="s">
        <v>854</v>
      </c>
      <c r="H372" s="9" t="s">
        <v>1071</v>
      </c>
      <c r="I372">
        <f t="shared" si="20"/>
        <v>120</v>
      </c>
      <c r="J372">
        <f t="shared" si="21"/>
        <v>54.431084400000003</v>
      </c>
      <c r="K372">
        <v>0.217</v>
      </c>
      <c r="L372">
        <f t="shared" si="22"/>
        <v>11.8115453148</v>
      </c>
    </row>
    <row r="373" spans="1:12" x14ac:dyDescent="0.2">
      <c r="A373" s="4">
        <v>43439</v>
      </c>
      <c r="B373" t="s">
        <v>531</v>
      </c>
      <c r="C373">
        <v>8</v>
      </c>
      <c r="D373">
        <v>6</v>
      </c>
      <c r="E373">
        <v>5</v>
      </c>
      <c r="F373" t="s">
        <v>419</v>
      </c>
      <c r="G373" t="s">
        <v>854</v>
      </c>
      <c r="H373" s="9" t="s">
        <v>1071</v>
      </c>
      <c r="I373">
        <f t="shared" si="20"/>
        <v>240</v>
      </c>
      <c r="J373">
        <f t="shared" si="21"/>
        <v>108.86216880000001</v>
      </c>
      <c r="K373">
        <v>0.217</v>
      </c>
      <c r="L373">
        <f t="shared" si="22"/>
        <v>23.6230906296</v>
      </c>
    </row>
    <row r="374" spans="1:12" x14ac:dyDescent="0.2">
      <c r="A374" s="4">
        <v>43437</v>
      </c>
      <c r="B374" t="s">
        <v>531</v>
      </c>
      <c r="C374">
        <v>4</v>
      </c>
      <c r="D374">
        <v>6</v>
      </c>
      <c r="E374">
        <v>5</v>
      </c>
      <c r="F374" t="s">
        <v>412</v>
      </c>
      <c r="G374" t="s">
        <v>914</v>
      </c>
      <c r="H374" s="9" t="s">
        <v>1071</v>
      </c>
      <c r="I374">
        <f t="shared" si="20"/>
        <v>120</v>
      </c>
      <c r="J374">
        <f t="shared" si="21"/>
        <v>54.431084400000003</v>
      </c>
      <c r="K374">
        <v>1.5449999999999999</v>
      </c>
      <c r="L374">
        <f t="shared" si="22"/>
        <v>84.096025397999995</v>
      </c>
    </row>
    <row r="375" spans="1:12" x14ac:dyDescent="0.2">
      <c r="A375" s="4">
        <v>43439</v>
      </c>
      <c r="B375" t="s">
        <v>538</v>
      </c>
      <c r="C375">
        <v>1</v>
      </c>
      <c r="D375">
        <v>24</v>
      </c>
      <c r="E375">
        <f>15/16</f>
        <v>0.9375</v>
      </c>
      <c r="F375" t="s">
        <v>590</v>
      </c>
      <c r="G375" t="s">
        <v>882</v>
      </c>
      <c r="H375" s="9" t="s">
        <v>1071</v>
      </c>
      <c r="I375">
        <f t="shared" si="20"/>
        <v>22.5</v>
      </c>
      <c r="J375">
        <f t="shared" si="21"/>
        <v>10.205828325000001</v>
      </c>
      <c r="K375">
        <v>0.68400000000000005</v>
      </c>
      <c r="L375">
        <f t="shared" si="22"/>
        <v>6.9807865743000006</v>
      </c>
    </row>
    <row r="376" spans="1:12" x14ac:dyDescent="0.2">
      <c r="A376" s="4">
        <v>43439</v>
      </c>
      <c r="B376" t="s">
        <v>538</v>
      </c>
      <c r="C376">
        <v>1</v>
      </c>
      <c r="D376">
        <v>1</v>
      </c>
      <c r="E376">
        <v>30</v>
      </c>
      <c r="F376" t="s">
        <v>593</v>
      </c>
      <c r="G376" t="s">
        <v>882</v>
      </c>
      <c r="H376" s="9" t="s">
        <v>1071</v>
      </c>
      <c r="I376">
        <f t="shared" ref="I376:I439" si="23">C376*D376*E376</f>
        <v>30</v>
      </c>
      <c r="J376">
        <f t="shared" si="21"/>
        <v>13.607771100000001</v>
      </c>
      <c r="K376">
        <v>0.68400000000000005</v>
      </c>
      <c r="L376">
        <f t="shared" si="22"/>
        <v>9.307715432400002</v>
      </c>
    </row>
    <row r="377" spans="1:12" x14ac:dyDescent="0.2">
      <c r="A377" s="4">
        <v>43434</v>
      </c>
      <c r="B377" t="s">
        <v>538</v>
      </c>
      <c r="C377">
        <v>8</v>
      </c>
      <c r="D377">
        <v>1</v>
      </c>
      <c r="E377">
        <v>25</v>
      </c>
      <c r="F377" t="s">
        <v>424</v>
      </c>
      <c r="G377" t="s">
        <v>859</v>
      </c>
      <c r="H377" s="9" t="s">
        <v>1071</v>
      </c>
      <c r="I377">
        <f t="shared" si="23"/>
        <v>200</v>
      </c>
      <c r="J377">
        <f t="shared" si="21"/>
        <v>90.718474000000001</v>
      </c>
      <c r="K377">
        <v>1.5409999999999999</v>
      </c>
      <c r="L377">
        <f t="shared" si="22"/>
        <v>139.79716843399999</v>
      </c>
    </row>
    <row r="378" spans="1:12" x14ac:dyDescent="0.2">
      <c r="A378" s="4">
        <v>43434</v>
      </c>
      <c r="B378" t="s">
        <v>538</v>
      </c>
      <c r="C378">
        <v>4</v>
      </c>
      <c r="D378">
        <v>2</v>
      </c>
      <c r="E378">
        <v>5</v>
      </c>
      <c r="F378" t="s">
        <v>429</v>
      </c>
      <c r="G378" t="s">
        <v>859</v>
      </c>
      <c r="H378" s="9" t="s">
        <v>1071</v>
      </c>
      <c r="I378">
        <f t="shared" si="23"/>
        <v>40</v>
      </c>
      <c r="J378">
        <f t="shared" si="21"/>
        <v>18.143694800000002</v>
      </c>
      <c r="K378">
        <v>1.5409999999999999</v>
      </c>
      <c r="L378">
        <f t="shared" si="22"/>
        <v>27.959433686800001</v>
      </c>
    </row>
    <row r="379" spans="1:12" x14ac:dyDescent="0.2">
      <c r="A379" s="4">
        <v>43434</v>
      </c>
      <c r="B379" t="s">
        <v>538</v>
      </c>
      <c r="C379">
        <v>4</v>
      </c>
      <c r="D379">
        <v>1</v>
      </c>
      <c r="E379">
        <v>25</v>
      </c>
      <c r="F379" t="s">
        <v>452</v>
      </c>
      <c r="G379" t="s">
        <v>859</v>
      </c>
      <c r="H379" s="9" t="s">
        <v>1071</v>
      </c>
      <c r="I379">
        <f t="shared" si="23"/>
        <v>100</v>
      </c>
      <c r="J379">
        <f t="shared" si="21"/>
        <v>45.359237</v>
      </c>
      <c r="K379">
        <v>1.5409999999999999</v>
      </c>
      <c r="L379">
        <f t="shared" si="22"/>
        <v>69.898584216999993</v>
      </c>
    </row>
    <row r="380" spans="1:12" x14ac:dyDescent="0.2">
      <c r="A380" s="4">
        <v>43434</v>
      </c>
      <c r="B380" t="s">
        <v>538</v>
      </c>
      <c r="C380">
        <v>4</v>
      </c>
      <c r="D380">
        <v>2</v>
      </c>
      <c r="E380">
        <v>5</v>
      </c>
      <c r="F380" t="s">
        <v>564</v>
      </c>
      <c r="G380" t="s">
        <v>859</v>
      </c>
      <c r="H380" s="9" t="s">
        <v>1071</v>
      </c>
      <c r="I380">
        <f t="shared" si="23"/>
        <v>40</v>
      </c>
      <c r="J380">
        <f t="shared" si="21"/>
        <v>18.143694800000002</v>
      </c>
      <c r="K380">
        <v>1.5409999999999999</v>
      </c>
      <c r="L380">
        <f t="shared" si="22"/>
        <v>27.959433686800001</v>
      </c>
    </row>
    <row r="381" spans="1:12" x14ac:dyDescent="0.2">
      <c r="A381" s="4">
        <v>43437</v>
      </c>
      <c r="B381" t="s">
        <v>538</v>
      </c>
      <c r="C381">
        <v>3</v>
      </c>
      <c r="D381">
        <v>1</v>
      </c>
      <c r="E381">
        <v>25</v>
      </c>
      <c r="F381" t="s">
        <v>424</v>
      </c>
      <c r="G381" t="s">
        <v>859</v>
      </c>
      <c r="H381" s="9" t="s">
        <v>1071</v>
      </c>
      <c r="I381">
        <f t="shared" si="23"/>
        <v>75</v>
      </c>
      <c r="J381">
        <f t="shared" si="21"/>
        <v>34.019427750000006</v>
      </c>
      <c r="K381">
        <v>1.5409999999999999</v>
      </c>
      <c r="L381">
        <f t="shared" si="22"/>
        <v>52.423938162750005</v>
      </c>
    </row>
    <row r="382" spans="1:12" x14ac:dyDescent="0.2">
      <c r="A382" s="4">
        <v>43437</v>
      </c>
      <c r="B382" t="s">
        <v>538</v>
      </c>
      <c r="C382">
        <v>3</v>
      </c>
      <c r="D382">
        <v>2</v>
      </c>
      <c r="E382">
        <v>5</v>
      </c>
      <c r="F382" t="s">
        <v>429</v>
      </c>
      <c r="G382" t="s">
        <v>859</v>
      </c>
      <c r="H382" s="9" t="s">
        <v>1071</v>
      </c>
      <c r="I382">
        <f t="shared" si="23"/>
        <v>30</v>
      </c>
      <c r="J382">
        <f t="shared" si="21"/>
        <v>13.607771100000001</v>
      </c>
      <c r="K382">
        <v>1.5409999999999999</v>
      </c>
      <c r="L382">
        <f t="shared" si="22"/>
        <v>20.969575265100001</v>
      </c>
    </row>
    <row r="383" spans="1:12" x14ac:dyDescent="0.2">
      <c r="A383" s="4">
        <v>43437</v>
      </c>
      <c r="B383" t="s">
        <v>538</v>
      </c>
      <c r="C383">
        <v>2</v>
      </c>
      <c r="D383">
        <v>1</v>
      </c>
      <c r="E383">
        <v>25</v>
      </c>
      <c r="F383" t="s">
        <v>452</v>
      </c>
      <c r="G383" t="s">
        <v>859</v>
      </c>
      <c r="H383" s="9" t="s">
        <v>1071</v>
      </c>
      <c r="I383">
        <f t="shared" si="23"/>
        <v>50</v>
      </c>
      <c r="J383">
        <f t="shared" si="21"/>
        <v>22.6796185</v>
      </c>
      <c r="K383">
        <v>1.5409999999999999</v>
      </c>
      <c r="L383">
        <f t="shared" si="22"/>
        <v>34.949292108499996</v>
      </c>
    </row>
    <row r="384" spans="1:12" x14ac:dyDescent="0.2">
      <c r="A384" s="4">
        <v>43437</v>
      </c>
      <c r="B384" t="s">
        <v>538</v>
      </c>
      <c r="C384">
        <v>1</v>
      </c>
      <c r="D384">
        <v>1</v>
      </c>
      <c r="E384">
        <v>50</v>
      </c>
      <c r="F384" t="s">
        <v>459</v>
      </c>
      <c r="G384" t="s">
        <v>859</v>
      </c>
      <c r="H384" s="9" t="s">
        <v>1071</v>
      </c>
      <c r="I384">
        <f t="shared" si="23"/>
        <v>50</v>
      </c>
      <c r="J384">
        <f t="shared" si="21"/>
        <v>22.6796185</v>
      </c>
      <c r="K384">
        <v>1.5409999999999999</v>
      </c>
      <c r="L384">
        <f t="shared" si="22"/>
        <v>34.949292108499996</v>
      </c>
    </row>
    <row r="385" spans="1:12" x14ac:dyDescent="0.2">
      <c r="A385" s="4">
        <v>43439</v>
      </c>
      <c r="B385" t="s">
        <v>538</v>
      </c>
      <c r="C385">
        <v>4</v>
      </c>
      <c r="D385">
        <v>1</v>
      </c>
      <c r="E385">
        <v>25</v>
      </c>
      <c r="F385" t="s">
        <v>424</v>
      </c>
      <c r="G385" t="s">
        <v>859</v>
      </c>
      <c r="H385" s="9" t="s">
        <v>1071</v>
      </c>
      <c r="I385">
        <f t="shared" si="23"/>
        <v>100</v>
      </c>
      <c r="J385">
        <f t="shared" si="21"/>
        <v>45.359237</v>
      </c>
      <c r="K385">
        <v>1.5409999999999999</v>
      </c>
      <c r="L385">
        <f t="shared" si="22"/>
        <v>69.898584216999993</v>
      </c>
    </row>
    <row r="386" spans="1:12" x14ac:dyDescent="0.2">
      <c r="A386" s="4">
        <v>43439</v>
      </c>
      <c r="B386" t="s">
        <v>538</v>
      </c>
      <c r="C386">
        <v>3</v>
      </c>
      <c r="D386">
        <v>1</v>
      </c>
      <c r="E386">
        <v>25</v>
      </c>
      <c r="F386" t="s">
        <v>452</v>
      </c>
      <c r="G386" t="s">
        <v>859</v>
      </c>
      <c r="H386" s="9" t="s">
        <v>1071</v>
      </c>
      <c r="I386">
        <f t="shared" si="23"/>
        <v>75</v>
      </c>
      <c r="J386">
        <f t="shared" si="21"/>
        <v>34.019427750000006</v>
      </c>
      <c r="K386">
        <v>1.5409999999999999</v>
      </c>
      <c r="L386">
        <f t="shared" si="22"/>
        <v>52.423938162750005</v>
      </c>
    </row>
    <row r="387" spans="1:12" x14ac:dyDescent="0.2">
      <c r="A387" s="4">
        <v>43439</v>
      </c>
      <c r="B387" t="s">
        <v>538</v>
      </c>
      <c r="C387">
        <v>1</v>
      </c>
      <c r="D387">
        <v>1</v>
      </c>
      <c r="E387">
        <v>50</v>
      </c>
      <c r="F387" t="s">
        <v>459</v>
      </c>
      <c r="G387" t="s">
        <v>859</v>
      </c>
      <c r="H387" s="9" t="s">
        <v>1071</v>
      </c>
      <c r="I387">
        <f t="shared" si="23"/>
        <v>50</v>
      </c>
      <c r="J387">
        <f t="shared" ref="J387:J450" si="24">CONVERT(I387,"lbm","kg")</f>
        <v>22.6796185</v>
      </c>
      <c r="K387">
        <v>1.5409999999999999</v>
      </c>
      <c r="L387">
        <f t="shared" ref="L387:L450" si="25">J387*K387</f>
        <v>34.949292108499996</v>
      </c>
    </row>
    <row r="388" spans="1:12" x14ac:dyDescent="0.2">
      <c r="A388" s="4">
        <v>43434</v>
      </c>
      <c r="B388" t="s">
        <v>538</v>
      </c>
      <c r="C388">
        <v>1</v>
      </c>
      <c r="D388">
        <v>4</v>
      </c>
      <c r="E388">
        <v>7.9</v>
      </c>
      <c r="F388" t="s">
        <v>550</v>
      </c>
      <c r="G388" t="s">
        <v>906</v>
      </c>
      <c r="H388" s="9" t="s">
        <v>1071</v>
      </c>
      <c r="I388">
        <f t="shared" si="23"/>
        <v>31.6</v>
      </c>
      <c r="J388">
        <f t="shared" si="24"/>
        <v>14.333518892000003</v>
      </c>
      <c r="K388">
        <v>2.3340000000000001</v>
      </c>
      <c r="L388">
        <f t="shared" si="25"/>
        <v>33.45443309392801</v>
      </c>
    </row>
    <row r="389" spans="1:12" x14ac:dyDescent="0.2">
      <c r="A389" s="4">
        <v>43371</v>
      </c>
      <c r="B389" t="s">
        <v>48</v>
      </c>
      <c r="C389">
        <v>2</v>
      </c>
      <c r="D389">
        <v>1</v>
      </c>
      <c r="E389">
        <f>4*4.54</f>
        <v>18.16</v>
      </c>
      <c r="F389" t="s">
        <v>216</v>
      </c>
      <c r="G389" t="s">
        <v>216</v>
      </c>
      <c r="H389" s="8" t="s">
        <v>1067</v>
      </c>
      <c r="I389">
        <f t="shared" si="23"/>
        <v>36.32</v>
      </c>
      <c r="J389">
        <f t="shared" si="24"/>
        <v>16.474474878400002</v>
      </c>
      <c r="K389">
        <v>0.27500000000000002</v>
      </c>
      <c r="L389" s="8">
        <f t="shared" si="25"/>
        <v>4.5304805915600008</v>
      </c>
    </row>
    <row r="390" spans="1:12" x14ac:dyDescent="0.2">
      <c r="A390" s="4">
        <v>43434</v>
      </c>
      <c r="B390" t="s">
        <v>517</v>
      </c>
      <c r="C390">
        <v>3</v>
      </c>
      <c r="D390">
        <v>1</v>
      </c>
      <c r="E390">
        <f>2.5*8.6</f>
        <v>21.5</v>
      </c>
      <c r="F390" t="s">
        <v>463</v>
      </c>
      <c r="G390" t="s">
        <v>933</v>
      </c>
      <c r="H390" s="9" t="s">
        <v>1071</v>
      </c>
      <c r="I390">
        <f t="shared" si="23"/>
        <v>64.5</v>
      </c>
      <c r="J390">
        <f t="shared" si="24"/>
        <v>29.256707864999999</v>
      </c>
      <c r="K390">
        <v>0.25800000000000001</v>
      </c>
      <c r="L390">
        <f t="shared" si="25"/>
        <v>7.5482306291699999</v>
      </c>
    </row>
    <row r="391" spans="1:12" x14ac:dyDescent="0.2">
      <c r="A391" s="4">
        <v>43434</v>
      </c>
      <c r="B391" t="s">
        <v>517</v>
      </c>
      <c r="C391">
        <v>3</v>
      </c>
      <c r="D391">
        <v>1</v>
      </c>
      <c r="E391">
        <f>2.5*8.6</f>
        <v>21.5</v>
      </c>
      <c r="F391" t="s">
        <v>464</v>
      </c>
      <c r="G391" t="s">
        <v>933</v>
      </c>
      <c r="H391" s="9" t="s">
        <v>1071</v>
      </c>
      <c r="I391">
        <f t="shared" si="23"/>
        <v>64.5</v>
      </c>
      <c r="J391">
        <f t="shared" si="24"/>
        <v>29.256707864999999</v>
      </c>
      <c r="K391">
        <v>0.25800000000000001</v>
      </c>
      <c r="L391">
        <f t="shared" si="25"/>
        <v>7.5482306291699999</v>
      </c>
    </row>
    <row r="392" spans="1:12" x14ac:dyDescent="0.2">
      <c r="A392" s="4">
        <v>43434</v>
      </c>
      <c r="B392" t="s">
        <v>517</v>
      </c>
      <c r="C392">
        <v>1</v>
      </c>
      <c r="D392">
        <v>12</v>
      </c>
      <c r="E392">
        <f>2</f>
        <v>2</v>
      </c>
      <c r="F392" t="s">
        <v>520</v>
      </c>
      <c r="G392" t="s">
        <v>933</v>
      </c>
      <c r="H392" s="9" t="s">
        <v>1071</v>
      </c>
      <c r="I392">
        <f t="shared" si="23"/>
        <v>24</v>
      </c>
      <c r="J392">
        <f t="shared" si="24"/>
        <v>10.886216880000001</v>
      </c>
      <c r="K392">
        <v>0.25800000000000001</v>
      </c>
      <c r="L392">
        <f t="shared" si="25"/>
        <v>2.8086439550400004</v>
      </c>
    </row>
    <row r="393" spans="1:12" x14ac:dyDescent="0.2">
      <c r="A393" s="4">
        <v>43437</v>
      </c>
      <c r="B393" t="s">
        <v>517</v>
      </c>
      <c r="C393">
        <v>2</v>
      </c>
      <c r="D393">
        <v>1</v>
      </c>
      <c r="E393">
        <f>2.5*8.6</f>
        <v>21.5</v>
      </c>
      <c r="F393" t="s">
        <v>463</v>
      </c>
      <c r="G393" t="s">
        <v>933</v>
      </c>
      <c r="H393" s="9" t="s">
        <v>1071</v>
      </c>
      <c r="I393">
        <f t="shared" si="23"/>
        <v>43</v>
      </c>
      <c r="J393">
        <f t="shared" si="24"/>
        <v>19.504471909999999</v>
      </c>
      <c r="K393">
        <v>0.25800000000000001</v>
      </c>
      <c r="L393">
        <f t="shared" si="25"/>
        <v>5.0321537527800002</v>
      </c>
    </row>
    <row r="394" spans="1:12" x14ac:dyDescent="0.2">
      <c r="A394" s="4">
        <v>43437</v>
      </c>
      <c r="B394" t="s">
        <v>517</v>
      </c>
      <c r="C394">
        <v>1</v>
      </c>
      <c r="D394">
        <v>1</v>
      </c>
      <c r="E394">
        <f>2.5*8.6</f>
        <v>21.5</v>
      </c>
      <c r="F394" t="s">
        <v>464</v>
      </c>
      <c r="G394" t="s">
        <v>933</v>
      </c>
      <c r="H394" s="9" t="s">
        <v>1071</v>
      </c>
      <c r="I394">
        <f t="shared" si="23"/>
        <v>21.5</v>
      </c>
      <c r="J394">
        <f t="shared" si="24"/>
        <v>9.7522359549999997</v>
      </c>
      <c r="K394">
        <v>0.25800000000000001</v>
      </c>
      <c r="L394">
        <f t="shared" si="25"/>
        <v>2.5160768763900001</v>
      </c>
    </row>
    <row r="395" spans="1:12" x14ac:dyDescent="0.2">
      <c r="A395" s="4">
        <v>43439</v>
      </c>
      <c r="B395" t="s">
        <v>517</v>
      </c>
      <c r="C395">
        <v>2</v>
      </c>
      <c r="D395">
        <v>1</v>
      </c>
      <c r="E395">
        <f>2.5*8.6</f>
        <v>21.5</v>
      </c>
      <c r="F395" t="s">
        <v>463</v>
      </c>
      <c r="G395" t="s">
        <v>933</v>
      </c>
      <c r="H395" s="9" t="s">
        <v>1071</v>
      </c>
      <c r="I395">
        <f t="shared" si="23"/>
        <v>43</v>
      </c>
      <c r="J395">
        <f t="shared" si="24"/>
        <v>19.504471909999999</v>
      </c>
      <c r="K395">
        <v>0.25800000000000001</v>
      </c>
      <c r="L395">
        <f t="shared" si="25"/>
        <v>5.0321537527800002</v>
      </c>
    </row>
    <row r="396" spans="1:12" x14ac:dyDescent="0.2">
      <c r="A396" s="4">
        <v>43439</v>
      </c>
      <c r="B396" t="s">
        <v>517</v>
      </c>
      <c r="C396">
        <v>2</v>
      </c>
      <c r="D396">
        <v>1</v>
      </c>
      <c r="E396">
        <f>2.5*8.6</f>
        <v>21.5</v>
      </c>
      <c r="F396" t="s">
        <v>464</v>
      </c>
      <c r="G396" t="s">
        <v>933</v>
      </c>
      <c r="H396" s="9" t="s">
        <v>1071</v>
      </c>
      <c r="I396">
        <f t="shared" si="23"/>
        <v>43</v>
      </c>
      <c r="J396">
        <f t="shared" si="24"/>
        <v>19.504471909999999</v>
      </c>
      <c r="K396">
        <v>0.25800000000000001</v>
      </c>
      <c r="L396">
        <f t="shared" si="25"/>
        <v>5.0321537527800002</v>
      </c>
    </row>
    <row r="397" spans="1:12" x14ac:dyDescent="0.2">
      <c r="A397" s="4">
        <v>43371</v>
      </c>
      <c r="B397" t="s">
        <v>48</v>
      </c>
      <c r="C397">
        <v>2</v>
      </c>
      <c r="D397">
        <v>1</v>
      </c>
      <c r="E397">
        <v>20</v>
      </c>
      <c r="F397" t="s">
        <v>82</v>
      </c>
      <c r="G397" t="s">
        <v>962</v>
      </c>
      <c r="H397" s="8" t="s">
        <v>1067</v>
      </c>
      <c r="I397">
        <f t="shared" si="23"/>
        <v>40</v>
      </c>
      <c r="J397">
        <f t="shared" si="24"/>
        <v>18.143694800000002</v>
      </c>
      <c r="K397">
        <v>1.1539999999999999</v>
      </c>
      <c r="L397" s="8">
        <f t="shared" si="25"/>
        <v>20.9378237992</v>
      </c>
    </row>
    <row r="398" spans="1:12" x14ac:dyDescent="0.2">
      <c r="A398" s="4">
        <v>43377</v>
      </c>
      <c r="B398" t="s">
        <v>48</v>
      </c>
      <c r="C398" s="28">
        <v>1</v>
      </c>
      <c r="D398">
        <v>1</v>
      </c>
      <c r="E398">
        <v>20</v>
      </c>
      <c r="F398" t="s">
        <v>250</v>
      </c>
      <c r="G398" t="s">
        <v>962</v>
      </c>
      <c r="H398" s="8" t="s">
        <v>1067</v>
      </c>
      <c r="I398">
        <f t="shared" si="23"/>
        <v>20</v>
      </c>
      <c r="J398">
        <f t="shared" si="24"/>
        <v>9.0718474000000011</v>
      </c>
      <c r="K398">
        <v>1.1539999999999999</v>
      </c>
      <c r="L398" s="8">
        <f t="shared" si="25"/>
        <v>10.4689118996</v>
      </c>
    </row>
    <row r="399" spans="1:12" x14ac:dyDescent="0.2">
      <c r="A399" s="4">
        <v>43437</v>
      </c>
      <c r="B399" t="s">
        <v>538</v>
      </c>
      <c r="C399">
        <v>3</v>
      </c>
      <c r="D399">
        <v>6</v>
      </c>
      <c r="E399">
        <f>14/16</f>
        <v>0.875</v>
      </c>
      <c r="F399" t="s">
        <v>581</v>
      </c>
      <c r="G399" t="s">
        <v>869</v>
      </c>
      <c r="H399" s="9" t="s">
        <v>1071</v>
      </c>
      <c r="I399">
        <f t="shared" si="23"/>
        <v>15.75</v>
      </c>
      <c r="J399">
        <f t="shared" si="24"/>
        <v>7.1440798275000006</v>
      </c>
      <c r="K399">
        <v>0.87</v>
      </c>
      <c r="L399">
        <f t="shared" si="25"/>
        <v>6.2153494499250002</v>
      </c>
    </row>
    <row r="400" spans="1:12" x14ac:dyDescent="0.2">
      <c r="A400" s="4">
        <v>43437</v>
      </c>
      <c r="B400" t="s">
        <v>538</v>
      </c>
      <c r="C400">
        <v>3</v>
      </c>
      <c r="D400">
        <v>6</v>
      </c>
      <c r="E400">
        <v>1</v>
      </c>
      <c r="F400" t="s">
        <v>582</v>
      </c>
      <c r="G400" t="s">
        <v>869</v>
      </c>
      <c r="H400" s="9" t="s">
        <v>1071</v>
      </c>
      <c r="I400">
        <f t="shared" si="23"/>
        <v>18</v>
      </c>
      <c r="J400">
        <f t="shared" si="24"/>
        <v>8.1646626599999994</v>
      </c>
      <c r="K400">
        <v>0.87</v>
      </c>
      <c r="L400">
        <f t="shared" si="25"/>
        <v>7.103256514199999</v>
      </c>
    </row>
    <row r="401" spans="1:12" x14ac:dyDescent="0.2">
      <c r="A401" s="4">
        <v>43439</v>
      </c>
      <c r="B401" t="s">
        <v>538</v>
      </c>
      <c r="C401">
        <v>3</v>
      </c>
      <c r="D401">
        <v>6</v>
      </c>
      <c r="E401">
        <f>18/16</f>
        <v>1.125</v>
      </c>
      <c r="F401" t="s">
        <v>597</v>
      </c>
      <c r="G401" t="s">
        <v>869</v>
      </c>
      <c r="H401" s="9" t="s">
        <v>1071</v>
      </c>
      <c r="I401">
        <f t="shared" si="23"/>
        <v>20.25</v>
      </c>
      <c r="J401">
        <f t="shared" si="24"/>
        <v>9.1852454925</v>
      </c>
      <c r="K401">
        <v>0.87</v>
      </c>
      <c r="L401">
        <f t="shared" si="25"/>
        <v>7.9911635784749997</v>
      </c>
    </row>
    <row r="402" spans="1:12" x14ac:dyDescent="0.2">
      <c r="A402" s="4">
        <v>43439</v>
      </c>
      <c r="B402" t="s">
        <v>538</v>
      </c>
      <c r="C402">
        <v>3</v>
      </c>
      <c r="D402">
        <v>6</v>
      </c>
      <c r="E402">
        <f>14/16</f>
        <v>0.875</v>
      </c>
      <c r="F402" t="s">
        <v>581</v>
      </c>
      <c r="G402" t="s">
        <v>869</v>
      </c>
      <c r="H402" s="9" t="s">
        <v>1071</v>
      </c>
      <c r="I402">
        <f t="shared" si="23"/>
        <v>15.75</v>
      </c>
      <c r="J402">
        <f t="shared" si="24"/>
        <v>7.1440798275000006</v>
      </c>
      <c r="K402">
        <v>0.87</v>
      </c>
      <c r="L402">
        <f t="shared" si="25"/>
        <v>6.2153494499250002</v>
      </c>
    </row>
    <row r="403" spans="1:12" x14ac:dyDescent="0.2">
      <c r="A403" s="4">
        <v>43439</v>
      </c>
      <c r="B403" t="s">
        <v>538</v>
      </c>
      <c r="C403">
        <v>1</v>
      </c>
      <c r="D403">
        <v>3</v>
      </c>
      <c r="E403">
        <v>7.25</v>
      </c>
      <c r="F403" t="s">
        <v>554</v>
      </c>
      <c r="G403" t="s">
        <v>869</v>
      </c>
      <c r="H403" s="9" t="s">
        <v>1071</v>
      </c>
      <c r="I403">
        <f t="shared" si="23"/>
        <v>21.75</v>
      </c>
      <c r="J403">
        <f t="shared" si="24"/>
        <v>9.8656340475000004</v>
      </c>
      <c r="K403">
        <v>0.87</v>
      </c>
      <c r="L403">
        <f t="shared" si="25"/>
        <v>8.5831016213249995</v>
      </c>
    </row>
    <row r="404" spans="1:12" x14ac:dyDescent="0.2">
      <c r="A404" s="4">
        <v>43439</v>
      </c>
      <c r="B404" t="s">
        <v>538</v>
      </c>
      <c r="C404">
        <v>3</v>
      </c>
      <c r="D404">
        <v>6</v>
      </c>
      <c r="E404">
        <f>20/16</f>
        <v>1.25</v>
      </c>
      <c r="F404" t="s">
        <v>598</v>
      </c>
      <c r="G404" t="s">
        <v>869</v>
      </c>
      <c r="H404" s="9" t="s">
        <v>1071</v>
      </c>
      <c r="I404">
        <f t="shared" si="23"/>
        <v>22.5</v>
      </c>
      <c r="J404">
        <f t="shared" si="24"/>
        <v>10.205828325000001</v>
      </c>
      <c r="K404">
        <v>0.87</v>
      </c>
      <c r="L404">
        <f t="shared" si="25"/>
        <v>8.8790706427500012</v>
      </c>
    </row>
    <row r="405" spans="1:12" x14ac:dyDescent="0.2">
      <c r="A405" s="4">
        <v>43372</v>
      </c>
      <c r="B405" t="s">
        <v>48</v>
      </c>
      <c r="C405">
        <v>1</v>
      </c>
      <c r="D405">
        <v>1</v>
      </c>
      <c r="E405">
        <v>1.25</v>
      </c>
      <c r="F405" t="s">
        <v>226</v>
      </c>
      <c r="G405" t="s">
        <v>907</v>
      </c>
      <c r="H405" s="8" t="s">
        <v>1067</v>
      </c>
      <c r="I405">
        <f t="shared" si="23"/>
        <v>1.25</v>
      </c>
      <c r="J405">
        <f t="shared" si="24"/>
        <v>0.56699046250000007</v>
      </c>
      <c r="K405">
        <v>0.87</v>
      </c>
      <c r="L405" s="8">
        <f t="shared" si="25"/>
        <v>0.49328170237500008</v>
      </c>
    </row>
    <row r="406" spans="1:12" x14ac:dyDescent="0.2">
      <c r="A406" s="4">
        <v>43372</v>
      </c>
      <c r="B406" t="s">
        <v>48</v>
      </c>
      <c r="C406">
        <v>2</v>
      </c>
      <c r="D406">
        <v>1</v>
      </c>
      <c r="E406">
        <v>1</v>
      </c>
      <c r="F406" t="s">
        <v>191</v>
      </c>
      <c r="G406" t="s">
        <v>907</v>
      </c>
      <c r="H406" s="8" t="s">
        <v>1067</v>
      </c>
      <c r="I406">
        <f t="shared" si="23"/>
        <v>2</v>
      </c>
      <c r="J406">
        <f t="shared" si="24"/>
        <v>0.90718474000000004</v>
      </c>
      <c r="K406">
        <v>0.87</v>
      </c>
      <c r="L406" s="8">
        <f t="shared" si="25"/>
        <v>0.78925072380000005</v>
      </c>
    </row>
    <row r="407" spans="1:12" x14ac:dyDescent="0.2">
      <c r="A407" s="4">
        <v>43376</v>
      </c>
      <c r="B407" t="s">
        <v>48</v>
      </c>
      <c r="C407">
        <v>1</v>
      </c>
      <c r="D407">
        <v>1</v>
      </c>
      <c r="E407">
        <v>5</v>
      </c>
      <c r="F407" t="s">
        <v>247</v>
      </c>
      <c r="G407" t="s">
        <v>907</v>
      </c>
      <c r="H407" s="8" t="s">
        <v>1067</v>
      </c>
      <c r="I407">
        <f t="shared" si="23"/>
        <v>5</v>
      </c>
      <c r="J407">
        <f t="shared" si="24"/>
        <v>2.2679618500000003</v>
      </c>
      <c r="K407">
        <v>0.87</v>
      </c>
      <c r="L407" s="8">
        <f t="shared" si="25"/>
        <v>1.9731268095000003</v>
      </c>
    </row>
    <row r="408" spans="1:12" x14ac:dyDescent="0.2">
      <c r="A408" s="4">
        <v>43434</v>
      </c>
      <c r="B408" t="s">
        <v>538</v>
      </c>
      <c r="C408">
        <v>2</v>
      </c>
      <c r="D408">
        <v>6</v>
      </c>
      <c r="E408">
        <f>18/16</f>
        <v>1.125</v>
      </c>
      <c r="F408" t="s">
        <v>552</v>
      </c>
      <c r="G408" t="s">
        <v>907</v>
      </c>
      <c r="H408" s="9" t="s">
        <v>1071</v>
      </c>
      <c r="I408">
        <f t="shared" si="23"/>
        <v>13.5</v>
      </c>
      <c r="J408">
        <f t="shared" si="24"/>
        <v>6.1234969950000009</v>
      </c>
      <c r="K408">
        <v>0.87</v>
      </c>
      <c r="L408">
        <f t="shared" si="25"/>
        <v>5.3274423856500004</v>
      </c>
    </row>
    <row r="409" spans="1:12" x14ac:dyDescent="0.2">
      <c r="A409" s="4">
        <v>43434</v>
      </c>
      <c r="B409" t="s">
        <v>538</v>
      </c>
      <c r="C409">
        <v>1</v>
      </c>
      <c r="D409">
        <v>6</v>
      </c>
      <c r="E409">
        <v>1</v>
      </c>
      <c r="F409" t="s">
        <v>553</v>
      </c>
      <c r="G409" t="s">
        <v>907</v>
      </c>
      <c r="H409" s="9" t="s">
        <v>1071</v>
      </c>
      <c r="I409">
        <f t="shared" si="23"/>
        <v>6</v>
      </c>
      <c r="J409">
        <f t="shared" si="24"/>
        <v>2.7215542200000002</v>
      </c>
      <c r="K409">
        <v>0.87</v>
      </c>
      <c r="L409">
        <f t="shared" si="25"/>
        <v>2.3677521714000003</v>
      </c>
    </row>
    <row r="410" spans="1:12" x14ac:dyDescent="0.2">
      <c r="A410" s="4">
        <v>43434</v>
      </c>
      <c r="B410" t="s">
        <v>538</v>
      </c>
      <c r="C410">
        <v>1</v>
      </c>
      <c r="D410">
        <v>3</v>
      </c>
      <c r="E410">
        <v>7.25</v>
      </c>
      <c r="F410" t="s">
        <v>554</v>
      </c>
      <c r="G410" t="s">
        <v>907</v>
      </c>
      <c r="H410" s="9" t="s">
        <v>1071</v>
      </c>
      <c r="I410">
        <f t="shared" si="23"/>
        <v>21.75</v>
      </c>
      <c r="J410">
        <f t="shared" si="24"/>
        <v>9.8656340475000004</v>
      </c>
      <c r="K410">
        <v>0.87</v>
      </c>
      <c r="L410">
        <f t="shared" si="25"/>
        <v>8.5831016213249995</v>
      </c>
    </row>
    <row r="411" spans="1:12" x14ac:dyDescent="0.2">
      <c r="A411" s="4">
        <v>43434</v>
      </c>
      <c r="B411" t="s">
        <v>538</v>
      </c>
      <c r="C411">
        <v>1</v>
      </c>
      <c r="D411">
        <v>12</v>
      </c>
      <c r="E411">
        <v>3</v>
      </c>
      <c r="F411" t="s">
        <v>451</v>
      </c>
      <c r="G411" t="s">
        <v>907</v>
      </c>
      <c r="H411" s="9" t="s">
        <v>1071</v>
      </c>
      <c r="I411">
        <f t="shared" si="23"/>
        <v>36</v>
      </c>
      <c r="J411">
        <f t="shared" si="24"/>
        <v>16.329325319999999</v>
      </c>
      <c r="K411">
        <v>0.87</v>
      </c>
      <c r="L411">
        <f t="shared" si="25"/>
        <v>14.206513028399998</v>
      </c>
    </row>
    <row r="412" spans="1:12" x14ac:dyDescent="0.2">
      <c r="A412" s="4">
        <v>43434</v>
      </c>
      <c r="B412" t="s">
        <v>538</v>
      </c>
      <c r="C412">
        <v>2</v>
      </c>
      <c r="D412">
        <v>6</v>
      </c>
      <c r="E412">
        <f>24/16</f>
        <v>1.5</v>
      </c>
      <c r="F412" t="s">
        <v>562</v>
      </c>
      <c r="G412" t="s">
        <v>907</v>
      </c>
      <c r="H412" s="9" t="s">
        <v>1071</v>
      </c>
      <c r="I412">
        <f t="shared" si="23"/>
        <v>18</v>
      </c>
      <c r="J412">
        <f t="shared" si="24"/>
        <v>8.1646626599999994</v>
      </c>
      <c r="K412">
        <v>0.87</v>
      </c>
      <c r="L412">
        <f t="shared" si="25"/>
        <v>7.103256514199999</v>
      </c>
    </row>
    <row r="413" spans="1:12" x14ac:dyDescent="0.2">
      <c r="A413" s="4">
        <v>43434</v>
      </c>
      <c r="B413" t="s">
        <v>538</v>
      </c>
      <c r="C413">
        <v>1</v>
      </c>
      <c r="D413">
        <v>6</v>
      </c>
      <c r="E413">
        <f>6.25/16</f>
        <v>0.390625</v>
      </c>
      <c r="F413" t="s">
        <v>567</v>
      </c>
      <c r="G413" t="s">
        <v>907</v>
      </c>
      <c r="H413" s="9" t="s">
        <v>1071</v>
      </c>
      <c r="I413">
        <f t="shared" si="23"/>
        <v>2.34375</v>
      </c>
      <c r="J413">
        <f t="shared" si="24"/>
        <v>1.0631071171875002</v>
      </c>
      <c r="K413">
        <v>0.87</v>
      </c>
      <c r="L413">
        <f t="shared" si="25"/>
        <v>0.92490319195312509</v>
      </c>
    </row>
    <row r="414" spans="1:12" x14ac:dyDescent="0.2">
      <c r="A414" s="4">
        <v>43437</v>
      </c>
      <c r="B414" t="s">
        <v>538</v>
      </c>
      <c r="C414">
        <v>2</v>
      </c>
      <c r="D414">
        <v>6</v>
      </c>
      <c r="E414">
        <f>18/16</f>
        <v>1.125</v>
      </c>
      <c r="F414" t="s">
        <v>583</v>
      </c>
      <c r="G414" t="s">
        <v>907</v>
      </c>
      <c r="H414" s="9" t="s">
        <v>1071</v>
      </c>
      <c r="I414">
        <f t="shared" si="23"/>
        <v>13.5</v>
      </c>
      <c r="J414">
        <f t="shared" si="24"/>
        <v>6.1234969950000009</v>
      </c>
      <c r="K414">
        <v>0.87</v>
      </c>
      <c r="L414">
        <f t="shared" si="25"/>
        <v>5.3274423856500004</v>
      </c>
    </row>
    <row r="415" spans="1:12" x14ac:dyDescent="0.2">
      <c r="A415" s="4">
        <v>43437</v>
      </c>
      <c r="B415" t="s">
        <v>538</v>
      </c>
      <c r="C415">
        <v>1</v>
      </c>
      <c r="D415">
        <v>12</v>
      </c>
      <c r="E415">
        <v>3</v>
      </c>
      <c r="F415" t="s">
        <v>451</v>
      </c>
      <c r="G415" t="s">
        <v>907</v>
      </c>
      <c r="H415" s="9" t="s">
        <v>1071</v>
      </c>
      <c r="I415">
        <f t="shared" si="23"/>
        <v>36</v>
      </c>
      <c r="J415">
        <f t="shared" si="24"/>
        <v>16.329325319999999</v>
      </c>
      <c r="K415">
        <v>0.87</v>
      </c>
      <c r="L415">
        <f t="shared" si="25"/>
        <v>14.206513028399998</v>
      </c>
    </row>
    <row r="416" spans="1:12" x14ac:dyDescent="0.2">
      <c r="A416" s="4">
        <v>43439</v>
      </c>
      <c r="B416" t="s">
        <v>538</v>
      </c>
      <c r="C416">
        <v>2</v>
      </c>
      <c r="D416">
        <v>12</v>
      </c>
      <c r="E416">
        <v>3</v>
      </c>
      <c r="F416" t="s">
        <v>451</v>
      </c>
      <c r="G416" t="s">
        <v>907</v>
      </c>
      <c r="H416" s="9" t="s">
        <v>1071</v>
      </c>
      <c r="I416">
        <f t="shared" si="23"/>
        <v>72</v>
      </c>
      <c r="J416">
        <f t="shared" si="24"/>
        <v>32.658650639999998</v>
      </c>
      <c r="K416">
        <v>0.87</v>
      </c>
      <c r="L416">
        <f t="shared" si="25"/>
        <v>28.413026056799996</v>
      </c>
    </row>
    <row r="417" spans="1:12" x14ac:dyDescent="0.2">
      <c r="A417" s="4">
        <v>43372</v>
      </c>
      <c r="B417" t="s">
        <v>48</v>
      </c>
      <c r="C417">
        <v>4</v>
      </c>
      <c r="D417">
        <v>1</v>
      </c>
      <c r="E417">
        <f>4*2.5</f>
        <v>10</v>
      </c>
      <c r="F417" t="s">
        <v>73</v>
      </c>
      <c r="G417" t="s">
        <v>763</v>
      </c>
      <c r="H417" s="8" t="s">
        <v>1067</v>
      </c>
      <c r="I417">
        <f t="shared" si="23"/>
        <v>40</v>
      </c>
      <c r="J417">
        <f t="shared" si="24"/>
        <v>18.143694800000002</v>
      </c>
      <c r="K417">
        <v>0.307</v>
      </c>
      <c r="L417" s="8">
        <f t="shared" si="25"/>
        <v>5.5701143036000005</v>
      </c>
    </row>
    <row r="418" spans="1:12" x14ac:dyDescent="0.2">
      <c r="A418" s="4">
        <v>43371</v>
      </c>
      <c r="B418" t="s">
        <v>48</v>
      </c>
      <c r="C418">
        <v>6</v>
      </c>
      <c r="D418">
        <v>1</v>
      </c>
      <c r="E418">
        <f>4*2.5</f>
        <v>10</v>
      </c>
      <c r="F418" t="s">
        <v>73</v>
      </c>
      <c r="G418" t="s">
        <v>763</v>
      </c>
      <c r="H418" s="8" t="s">
        <v>1067</v>
      </c>
      <c r="I418">
        <f t="shared" si="23"/>
        <v>60</v>
      </c>
      <c r="J418">
        <f t="shared" si="24"/>
        <v>27.215542200000002</v>
      </c>
      <c r="K418">
        <v>0.307</v>
      </c>
      <c r="L418" s="8">
        <f t="shared" si="25"/>
        <v>8.3551714554000007</v>
      </c>
    </row>
    <row r="419" spans="1:12" x14ac:dyDescent="0.2">
      <c r="A419" s="4">
        <v>43374</v>
      </c>
      <c r="B419" t="s">
        <v>48</v>
      </c>
      <c r="C419">
        <v>3</v>
      </c>
      <c r="D419">
        <v>1</v>
      </c>
      <c r="E419">
        <f>4*2.5</f>
        <v>10</v>
      </c>
      <c r="F419" t="s">
        <v>73</v>
      </c>
      <c r="G419" t="s">
        <v>763</v>
      </c>
      <c r="H419" s="8" t="s">
        <v>1067</v>
      </c>
      <c r="I419">
        <f t="shared" si="23"/>
        <v>30</v>
      </c>
      <c r="J419">
        <f t="shared" si="24"/>
        <v>13.607771100000001</v>
      </c>
      <c r="K419">
        <v>0.307</v>
      </c>
      <c r="L419" s="8">
        <f t="shared" si="25"/>
        <v>4.1775857277000004</v>
      </c>
    </row>
    <row r="420" spans="1:12" x14ac:dyDescent="0.2">
      <c r="A420" s="4">
        <v>43376</v>
      </c>
      <c r="B420" t="s">
        <v>48</v>
      </c>
      <c r="C420">
        <v>3</v>
      </c>
      <c r="D420">
        <v>1</v>
      </c>
      <c r="E420">
        <f>4*2.5</f>
        <v>10</v>
      </c>
      <c r="F420" t="s">
        <v>73</v>
      </c>
      <c r="G420" t="s">
        <v>763</v>
      </c>
      <c r="H420" s="8" t="s">
        <v>1067</v>
      </c>
      <c r="I420">
        <f t="shared" si="23"/>
        <v>30</v>
      </c>
      <c r="J420">
        <f t="shared" si="24"/>
        <v>13.607771100000001</v>
      </c>
      <c r="K420">
        <v>0.307</v>
      </c>
      <c r="L420" s="8">
        <f t="shared" si="25"/>
        <v>4.1775857277000004</v>
      </c>
    </row>
    <row r="421" spans="1:12" x14ac:dyDescent="0.2">
      <c r="A421" s="4">
        <v>43371</v>
      </c>
      <c r="B421" t="s">
        <v>48</v>
      </c>
      <c r="C421">
        <v>3</v>
      </c>
      <c r="D421">
        <v>1</v>
      </c>
      <c r="E421">
        <f>3/4*44</f>
        <v>33</v>
      </c>
      <c r="F421" t="s">
        <v>99</v>
      </c>
      <c r="G421" t="s">
        <v>765</v>
      </c>
      <c r="H421" s="8" t="s">
        <v>1067</v>
      </c>
      <c r="I421">
        <f t="shared" si="23"/>
        <v>99</v>
      </c>
      <c r="J421">
        <f t="shared" si="24"/>
        <v>44.905644630000005</v>
      </c>
      <c r="K421">
        <v>1.2290000000000001</v>
      </c>
      <c r="L421" s="8">
        <f t="shared" si="25"/>
        <v>55.189037250270012</v>
      </c>
    </row>
    <row r="422" spans="1:12" x14ac:dyDescent="0.2">
      <c r="A422" s="4">
        <v>43371</v>
      </c>
      <c r="B422" t="s">
        <v>48</v>
      </c>
      <c r="C422">
        <v>3</v>
      </c>
      <c r="D422">
        <v>1</v>
      </c>
      <c r="E422">
        <f>1/2*44</f>
        <v>22</v>
      </c>
      <c r="F422" t="s">
        <v>100</v>
      </c>
      <c r="G422" t="s">
        <v>765</v>
      </c>
      <c r="H422" s="8" t="s">
        <v>1067</v>
      </c>
      <c r="I422">
        <f t="shared" si="23"/>
        <v>66</v>
      </c>
      <c r="J422">
        <f t="shared" si="24"/>
        <v>29.937096420000003</v>
      </c>
      <c r="K422">
        <v>1.2290000000000001</v>
      </c>
      <c r="L422" s="8">
        <f t="shared" si="25"/>
        <v>36.792691500180005</v>
      </c>
    </row>
    <row r="423" spans="1:12" x14ac:dyDescent="0.2">
      <c r="A423" s="4">
        <v>43371</v>
      </c>
      <c r="B423" t="s">
        <v>48</v>
      </c>
      <c r="C423">
        <v>2</v>
      </c>
      <c r="D423">
        <v>1</v>
      </c>
      <c r="E423">
        <f>10/9*44</f>
        <v>48.888888888888893</v>
      </c>
      <c r="F423" t="s">
        <v>99</v>
      </c>
      <c r="G423" t="s">
        <v>765</v>
      </c>
      <c r="H423" s="8" t="s">
        <v>1067</v>
      </c>
      <c r="I423">
        <f t="shared" si="23"/>
        <v>97.777777777777786</v>
      </c>
      <c r="J423">
        <f t="shared" si="24"/>
        <v>44.351253955555563</v>
      </c>
      <c r="K423">
        <v>1.2290000000000001</v>
      </c>
      <c r="L423" s="8">
        <f t="shared" si="25"/>
        <v>54.507691111377788</v>
      </c>
    </row>
    <row r="424" spans="1:12" x14ac:dyDescent="0.2">
      <c r="A424" s="4">
        <v>43371</v>
      </c>
      <c r="B424" t="s">
        <v>48</v>
      </c>
      <c r="C424">
        <v>2</v>
      </c>
      <c r="D424">
        <v>1</v>
      </c>
      <c r="E424">
        <f>1/2*44</f>
        <v>22</v>
      </c>
      <c r="F424" t="s">
        <v>100</v>
      </c>
      <c r="G424" t="s">
        <v>765</v>
      </c>
      <c r="H424" s="8" t="s">
        <v>1067</v>
      </c>
      <c r="I424">
        <f t="shared" si="23"/>
        <v>44</v>
      </c>
      <c r="J424">
        <f t="shared" si="24"/>
        <v>19.958064280000002</v>
      </c>
      <c r="K424">
        <v>1.2290000000000001</v>
      </c>
      <c r="L424" s="8">
        <f t="shared" si="25"/>
        <v>24.528461000120004</v>
      </c>
    </row>
    <row r="425" spans="1:12" x14ac:dyDescent="0.2">
      <c r="A425" s="4">
        <v>43374</v>
      </c>
      <c r="B425" t="s">
        <v>48</v>
      </c>
      <c r="C425">
        <v>2</v>
      </c>
      <c r="D425">
        <v>1</v>
      </c>
      <c r="E425">
        <v>20</v>
      </c>
      <c r="F425" t="s">
        <v>235</v>
      </c>
      <c r="G425" t="s">
        <v>765</v>
      </c>
      <c r="H425" s="8" t="s">
        <v>1067</v>
      </c>
      <c r="I425">
        <f t="shared" si="23"/>
        <v>40</v>
      </c>
      <c r="J425">
        <f t="shared" si="24"/>
        <v>18.143694800000002</v>
      </c>
      <c r="K425">
        <v>1.2290000000000001</v>
      </c>
      <c r="L425" s="8">
        <f t="shared" si="25"/>
        <v>22.298600909200005</v>
      </c>
    </row>
    <row r="426" spans="1:12" x14ac:dyDescent="0.2">
      <c r="A426" s="4">
        <v>43376</v>
      </c>
      <c r="B426" t="s">
        <v>48</v>
      </c>
      <c r="C426">
        <v>2</v>
      </c>
      <c r="D426">
        <v>1</v>
      </c>
      <c r="E426">
        <v>20</v>
      </c>
      <c r="F426" t="s">
        <v>242</v>
      </c>
      <c r="G426" t="s">
        <v>765</v>
      </c>
      <c r="H426" s="8" t="s">
        <v>1067</v>
      </c>
      <c r="I426">
        <f t="shared" si="23"/>
        <v>40</v>
      </c>
      <c r="J426">
        <f t="shared" si="24"/>
        <v>18.143694800000002</v>
      </c>
      <c r="K426">
        <v>1.2290000000000001</v>
      </c>
      <c r="L426" s="8">
        <f t="shared" si="25"/>
        <v>22.298600909200005</v>
      </c>
    </row>
    <row r="427" spans="1:12" x14ac:dyDescent="0.2">
      <c r="A427" s="4">
        <v>43376</v>
      </c>
      <c r="B427" t="s">
        <v>48</v>
      </c>
      <c r="C427">
        <v>4</v>
      </c>
      <c r="D427">
        <v>1</v>
      </c>
      <c r="E427">
        <v>20</v>
      </c>
      <c r="F427" t="s">
        <v>243</v>
      </c>
      <c r="G427" t="s">
        <v>765</v>
      </c>
      <c r="H427" s="8" t="s">
        <v>1067</v>
      </c>
      <c r="I427">
        <f t="shared" si="23"/>
        <v>80</v>
      </c>
      <c r="J427">
        <f t="shared" si="24"/>
        <v>36.287389600000004</v>
      </c>
      <c r="K427">
        <v>1.2290000000000001</v>
      </c>
      <c r="L427" s="8">
        <f t="shared" si="25"/>
        <v>44.597201818400009</v>
      </c>
    </row>
    <row r="428" spans="1:12" x14ac:dyDescent="0.2">
      <c r="A428" s="4">
        <v>43377</v>
      </c>
      <c r="B428" t="s">
        <v>48</v>
      </c>
      <c r="C428" s="28">
        <v>3</v>
      </c>
      <c r="D428">
        <v>1</v>
      </c>
      <c r="E428">
        <f>3/4*44</f>
        <v>33</v>
      </c>
      <c r="F428" t="s">
        <v>275</v>
      </c>
      <c r="G428" t="s">
        <v>796</v>
      </c>
      <c r="H428" s="8" t="s">
        <v>1067</v>
      </c>
      <c r="I428">
        <f t="shared" si="23"/>
        <v>99</v>
      </c>
      <c r="J428">
        <f t="shared" si="24"/>
        <v>44.905644630000005</v>
      </c>
      <c r="K428">
        <v>1.2290000000000001</v>
      </c>
      <c r="L428" s="8">
        <f t="shared" si="25"/>
        <v>55.189037250270012</v>
      </c>
    </row>
    <row r="429" spans="1:12" x14ac:dyDescent="0.2">
      <c r="A429" s="4">
        <v>43377</v>
      </c>
      <c r="B429" t="s">
        <v>48</v>
      </c>
      <c r="C429" s="28">
        <v>2</v>
      </c>
      <c r="D429">
        <v>1</v>
      </c>
      <c r="E429">
        <f>1/2*44</f>
        <v>22</v>
      </c>
      <c r="F429" t="s">
        <v>276</v>
      </c>
      <c r="G429" t="s">
        <v>796</v>
      </c>
      <c r="H429" s="8" t="s">
        <v>1067</v>
      </c>
      <c r="I429">
        <f t="shared" si="23"/>
        <v>44</v>
      </c>
      <c r="J429">
        <f t="shared" si="24"/>
        <v>19.958064280000002</v>
      </c>
      <c r="K429">
        <v>1.2290000000000001</v>
      </c>
      <c r="L429" s="8">
        <f t="shared" si="25"/>
        <v>24.528461000120004</v>
      </c>
    </row>
    <row r="430" spans="1:12" x14ac:dyDescent="0.2">
      <c r="A430" s="4">
        <v>43371</v>
      </c>
      <c r="B430" t="s">
        <v>48</v>
      </c>
      <c r="C430">
        <v>10</v>
      </c>
      <c r="D430">
        <v>1</v>
      </c>
      <c r="E430">
        <v>8</v>
      </c>
      <c r="F430" t="s">
        <v>214</v>
      </c>
      <c r="G430" t="s">
        <v>248</v>
      </c>
      <c r="H430" s="8" t="s">
        <v>1067</v>
      </c>
      <c r="I430">
        <f t="shared" si="23"/>
        <v>80</v>
      </c>
      <c r="J430">
        <f t="shared" si="24"/>
        <v>36.287389600000004</v>
      </c>
      <c r="K430">
        <v>0.61399999999999999</v>
      </c>
      <c r="L430" s="8">
        <f t="shared" si="25"/>
        <v>22.280457214400002</v>
      </c>
    </row>
    <row r="431" spans="1:12" x14ac:dyDescent="0.2">
      <c r="A431" s="4">
        <v>43374</v>
      </c>
      <c r="B431" t="s">
        <v>48</v>
      </c>
      <c r="C431">
        <v>6</v>
      </c>
      <c r="D431">
        <v>1</v>
      </c>
      <c r="E431">
        <v>8</v>
      </c>
      <c r="F431" t="s">
        <v>214</v>
      </c>
      <c r="G431" t="s">
        <v>248</v>
      </c>
      <c r="H431" s="8" t="s">
        <v>1067</v>
      </c>
      <c r="I431">
        <f t="shared" si="23"/>
        <v>48</v>
      </c>
      <c r="J431">
        <f t="shared" si="24"/>
        <v>21.772433760000002</v>
      </c>
      <c r="K431">
        <v>0.61399999999999999</v>
      </c>
      <c r="L431" s="8">
        <f t="shared" si="25"/>
        <v>13.368274328640002</v>
      </c>
    </row>
    <row r="432" spans="1:12" x14ac:dyDescent="0.2">
      <c r="A432" s="4">
        <v>43376</v>
      </c>
      <c r="B432" t="s">
        <v>48</v>
      </c>
      <c r="C432">
        <v>4</v>
      </c>
      <c r="D432">
        <v>1</v>
      </c>
      <c r="E432">
        <v>8</v>
      </c>
      <c r="F432" t="s">
        <v>248</v>
      </c>
      <c r="G432" t="s">
        <v>248</v>
      </c>
      <c r="H432" s="8" t="s">
        <v>1067</v>
      </c>
      <c r="I432">
        <f t="shared" si="23"/>
        <v>32</v>
      </c>
      <c r="J432">
        <f t="shared" si="24"/>
        <v>14.514955840000001</v>
      </c>
      <c r="K432">
        <v>0.61399999999999999</v>
      </c>
      <c r="L432" s="8">
        <f t="shared" si="25"/>
        <v>8.9121828857600001</v>
      </c>
    </row>
    <row r="433" spans="1:12" x14ac:dyDescent="0.2">
      <c r="A433" s="4">
        <v>43377</v>
      </c>
      <c r="B433" t="s">
        <v>48</v>
      </c>
      <c r="C433" s="28">
        <v>6</v>
      </c>
      <c r="D433">
        <v>1</v>
      </c>
      <c r="E433">
        <v>8</v>
      </c>
      <c r="F433" t="s">
        <v>277</v>
      </c>
      <c r="G433" t="s">
        <v>797</v>
      </c>
      <c r="H433" s="8" t="s">
        <v>1067</v>
      </c>
      <c r="I433">
        <f t="shared" si="23"/>
        <v>48</v>
      </c>
      <c r="J433">
        <f t="shared" si="24"/>
        <v>21.772433760000002</v>
      </c>
      <c r="K433">
        <v>0.61399999999999999</v>
      </c>
      <c r="L433" s="8">
        <f t="shared" si="25"/>
        <v>13.368274328640002</v>
      </c>
    </row>
    <row r="434" spans="1:12" x14ac:dyDescent="0.2">
      <c r="A434" s="4">
        <v>43372</v>
      </c>
      <c r="B434" t="s">
        <v>48</v>
      </c>
      <c r="C434">
        <v>1</v>
      </c>
      <c r="D434">
        <v>1</v>
      </c>
      <c r="E434">
        <f>180/16</f>
        <v>11.25</v>
      </c>
      <c r="F434" t="s">
        <v>190</v>
      </c>
      <c r="G434" t="s">
        <v>190</v>
      </c>
      <c r="H434" s="8" t="s">
        <v>1067</v>
      </c>
      <c r="I434">
        <f t="shared" si="23"/>
        <v>11.25</v>
      </c>
      <c r="J434">
        <f t="shared" si="24"/>
        <v>5.1029141625000003</v>
      </c>
      <c r="K434">
        <v>1.147</v>
      </c>
      <c r="L434" s="8">
        <f t="shared" si="25"/>
        <v>5.8530425443875007</v>
      </c>
    </row>
    <row r="435" spans="1:12" x14ac:dyDescent="0.2">
      <c r="A435" s="4">
        <v>43372</v>
      </c>
      <c r="B435" t="s">
        <v>48</v>
      </c>
      <c r="C435">
        <v>10</v>
      </c>
      <c r="D435">
        <v>1</v>
      </c>
      <c r="E435">
        <v>8</v>
      </c>
      <c r="F435" t="s">
        <v>192</v>
      </c>
      <c r="G435" t="s">
        <v>781</v>
      </c>
      <c r="H435" s="8" t="s">
        <v>1067</v>
      </c>
      <c r="I435">
        <f t="shared" si="23"/>
        <v>80</v>
      </c>
      <c r="J435">
        <f t="shared" si="24"/>
        <v>36.287389600000004</v>
      </c>
      <c r="K435">
        <v>0.61399999999999999</v>
      </c>
      <c r="L435" s="8">
        <f t="shared" si="25"/>
        <v>22.280457214400002</v>
      </c>
    </row>
    <row r="436" spans="1:12" x14ac:dyDescent="0.2">
      <c r="A436" s="4">
        <v>43434</v>
      </c>
      <c r="B436" t="s">
        <v>538</v>
      </c>
      <c r="C436">
        <v>1</v>
      </c>
      <c r="D436">
        <v>1</v>
      </c>
      <c r="E436">
        <v>50</v>
      </c>
      <c r="F436" t="s">
        <v>425</v>
      </c>
      <c r="G436" t="s">
        <v>860</v>
      </c>
      <c r="H436" s="9" t="s">
        <v>1071</v>
      </c>
      <c r="I436">
        <f t="shared" si="23"/>
        <v>50</v>
      </c>
      <c r="J436">
        <f t="shared" si="24"/>
        <v>22.6796185</v>
      </c>
      <c r="K436">
        <v>0.7</v>
      </c>
      <c r="L436">
        <f t="shared" si="25"/>
        <v>15.87573295</v>
      </c>
    </row>
    <row r="437" spans="1:12" x14ac:dyDescent="0.2">
      <c r="A437" s="4">
        <v>43434</v>
      </c>
      <c r="B437" t="s">
        <v>538</v>
      </c>
      <c r="C437">
        <v>2</v>
      </c>
      <c r="D437">
        <v>1</v>
      </c>
      <c r="E437">
        <v>25</v>
      </c>
      <c r="F437" t="s">
        <v>443</v>
      </c>
      <c r="G437" t="s">
        <v>860</v>
      </c>
      <c r="H437" s="9" t="s">
        <v>1071</v>
      </c>
      <c r="I437">
        <f t="shared" si="23"/>
        <v>50</v>
      </c>
      <c r="J437">
        <f t="shared" si="24"/>
        <v>22.6796185</v>
      </c>
      <c r="K437">
        <v>0.7</v>
      </c>
      <c r="L437">
        <f t="shared" si="25"/>
        <v>15.87573295</v>
      </c>
    </row>
    <row r="438" spans="1:12" x14ac:dyDescent="0.2">
      <c r="A438" s="4">
        <v>43437</v>
      </c>
      <c r="B438" t="s">
        <v>538</v>
      </c>
      <c r="C438">
        <v>1</v>
      </c>
      <c r="D438">
        <v>1</v>
      </c>
      <c r="E438">
        <v>50</v>
      </c>
      <c r="F438" t="s">
        <v>434</v>
      </c>
      <c r="G438" t="s">
        <v>860</v>
      </c>
      <c r="H438" s="9" t="s">
        <v>1071</v>
      </c>
      <c r="I438">
        <f t="shared" si="23"/>
        <v>50</v>
      </c>
      <c r="J438">
        <f t="shared" si="24"/>
        <v>22.6796185</v>
      </c>
      <c r="K438">
        <v>0.7</v>
      </c>
      <c r="L438">
        <f t="shared" si="25"/>
        <v>15.87573295</v>
      </c>
    </row>
    <row r="439" spans="1:12" x14ac:dyDescent="0.2">
      <c r="A439" s="4">
        <v>43439</v>
      </c>
      <c r="B439" t="s">
        <v>538</v>
      </c>
      <c r="C439">
        <v>1</v>
      </c>
      <c r="D439">
        <v>1</v>
      </c>
      <c r="E439">
        <v>50</v>
      </c>
      <c r="F439" t="s">
        <v>434</v>
      </c>
      <c r="G439" t="s">
        <v>860</v>
      </c>
      <c r="H439" s="9" t="s">
        <v>1071</v>
      </c>
      <c r="I439">
        <f t="shared" si="23"/>
        <v>50</v>
      </c>
      <c r="J439">
        <f t="shared" si="24"/>
        <v>22.6796185</v>
      </c>
      <c r="K439">
        <v>0.7</v>
      </c>
      <c r="L439">
        <f t="shared" si="25"/>
        <v>15.87573295</v>
      </c>
    </row>
    <row r="440" spans="1:12" x14ac:dyDescent="0.2">
      <c r="A440" s="10">
        <v>43371</v>
      </c>
      <c r="B440" s="8" t="s">
        <v>22</v>
      </c>
      <c r="C440">
        <v>1</v>
      </c>
      <c r="D440">
        <v>1</v>
      </c>
      <c r="E440" s="9">
        <v>120</v>
      </c>
      <c r="F440" s="9" t="s">
        <v>24</v>
      </c>
      <c r="G440" s="9" t="s">
        <v>512</v>
      </c>
      <c r="H440" s="8" t="s">
        <v>1067</v>
      </c>
      <c r="I440">
        <f t="shared" ref="I440:I500" si="26">C440*D440*E440</f>
        <v>120</v>
      </c>
      <c r="J440">
        <f t="shared" si="24"/>
        <v>54.431084400000003</v>
      </c>
      <c r="K440">
        <v>0.30199999999999999</v>
      </c>
      <c r="L440" s="8">
        <f t="shared" si="25"/>
        <v>16.438187488800001</v>
      </c>
    </row>
    <row r="441" spans="1:12" x14ac:dyDescent="0.2">
      <c r="A441" s="4">
        <v>43437</v>
      </c>
      <c r="B441" t="s">
        <v>531</v>
      </c>
      <c r="C441">
        <v>4</v>
      </c>
      <c r="D441">
        <v>5</v>
      </c>
      <c r="E441">
        <v>3</v>
      </c>
      <c r="F441" t="s">
        <v>416</v>
      </c>
      <c r="G441" t="s">
        <v>915</v>
      </c>
      <c r="H441" s="9" t="s">
        <v>1071</v>
      </c>
      <c r="I441">
        <f t="shared" si="26"/>
        <v>60</v>
      </c>
      <c r="J441">
        <f t="shared" si="24"/>
        <v>27.215542200000002</v>
      </c>
      <c r="K441">
        <v>0.30199999999999999</v>
      </c>
      <c r="L441">
        <f t="shared" si="25"/>
        <v>8.2190937444000003</v>
      </c>
    </row>
    <row r="442" spans="1:12" x14ac:dyDescent="0.2">
      <c r="A442" s="4">
        <v>43374</v>
      </c>
      <c r="B442" t="s">
        <v>48</v>
      </c>
      <c r="C442">
        <v>2</v>
      </c>
      <c r="D442">
        <v>1</v>
      </c>
      <c r="E442">
        <v>12</v>
      </c>
      <c r="F442" t="s">
        <v>231</v>
      </c>
      <c r="G442" t="s">
        <v>777</v>
      </c>
      <c r="H442" s="8" t="s">
        <v>1067</v>
      </c>
      <c r="I442">
        <f t="shared" si="26"/>
        <v>24</v>
      </c>
      <c r="J442">
        <f t="shared" si="24"/>
        <v>10.886216880000001</v>
      </c>
      <c r="K442">
        <v>0.19600000000000001</v>
      </c>
      <c r="L442" s="8">
        <f t="shared" si="25"/>
        <v>2.1336985084800002</v>
      </c>
    </row>
    <row r="443" spans="1:12" x14ac:dyDescent="0.2">
      <c r="A443" s="4">
        <v>43374</v>
      </c>
      <c r="B443" t="s">
        <v>48</v>
      </c>
      <c r="C443">
        <v>1</v>
      </c>
      <c r="D443">
        <v>1</v>
      </c>
      <c r="E443">
        <v>12</v>
      </c>
      <c r="F443" t="s">
        <v>232</v>
      </c>
      <c r="G443" t="s">
        <v>777</v>
      </c>
      <c r="H443" s="8" t="s">
        <v>1067</v>
      </c>
      <c r="I443">
        <f t="shared" si="26"/>
        <v>12</v>
      </c>
      <c r="J443">
        <f t="shared" si="24"/>
        <v>5.4431084400000005</v>
      </c>
      <c r="K443">
        <v>0.19600000000000001</v>
      </c>
      <c r="L443" s="8">
        <f t="shared" si="25"/>
        <v>1.0668492542400001</v>
      </c>
    </row>
    <row r="444" spans="1:12" x14ac:dyDescent="0.2">
      <c r="A444" s="4">
        <v>43437</v>
      </c>
      <c r="B444" t="s">
        <v>538</v>
      </c>
      <c r="C444">
        <v>2</v>
      </c>
      <c r="D444">
        <v>4</v>
      </c>
      <c r="E444">
        <v>11.01</v>
      </c>
      <c r="F444" t="s">
        <v>435</v>
      </c>
      <c r="G444" s="6" t="s">
        <v>864</v>
      </c>
      <c r="H444" s="9" t="s">
        <v>1071</v>
      </c>
      <c r="I444">
        <f t="shared" si="26"/>
        <v>88.08</v>
      </c>
      <c r="J444">
        <f t="shared" si="24"/>
        <v>39.952415949600002</v>
      </c>
      <c r="K444">
        <v>6.7539999999999996</v>
      </c>
      <c r="L444">
        <f t="shared" si="25"/>
        <v>269.83861732359838</v>
      </c>
    </row>
    <row r="445" spans="1:12" x14ac:dyDescent="0.2">
      <c r="A445" s="4">
        <v>43434</v>
      </c>
      <c r="B445" t="s">
        <v>538</v>
      </c>
      <c r="C445">
        <v>1</v>
      </c>
      <c r="D445">
        <v>4</v>
      </c>
      <c r="E445">
        <v>11.01</v>
      </c>
      <c r="F445" t="s">
        <v>435</v>
      </c>
      <c r="G445" t="s">
        <v>902</v>
      </c>
      <c r="H445" s="9" t="s">
        <v>1071</v>
      </c>
      <c r="I445">
        <f t="shared" si="26"/>
        <v>44.04</v>
      </c>
      <c r="J445">
        <f t="shared" si="24"/>
        <v>19.976207974800001</v>
      </c>
      <c r="K445">
        <v>6.7539999999999996</v>
      </c>
      <c r="L445">
        <f t="shared" si="25"/>
        <v>134.91930866179919</v>
      </c>
    </row>
    <row r="446" spans="1:12" x14ac:dyDescent="0.2">
      <c r="A446" s="4">
        <v>43372</v>
      </c>
      <c r="B446" t="s">
        <v>48</v>
      </c>
      <c r="C446">
        <v>4</v>
      </c>
      <c r="D446">
        <v>1</v>
      </c>
      <c r="E446">
        <v>4.172698091</v>
      </c>
      <c r="F446" t="s">
        <v>193</v>
      </c>
      <c r="G446" t="s">
        <v>193</v>
      </c>
      <c r="H446" s="8" t="s">
        <v>1067</v>
      </c>
      <c r="I446">
        <f t="shared" si="26"/>
        <v>16.690792364</v>
      </c>
      <c r="J446">
        <f t="shared" si="24"/>
        <v>7.5708160655646637</v>
      </c>
      <c r="K446">
        <v>1.6639999999999999</v>
      </c>
      <c r="L446" s="8">
        <f t="shared" si="25"/>
        <v>12.5978379330996</v>
      </c>
    </row>
    <row r="447" spans="1:12" x14ac:dyDescent="0.2">
      <c r="A447" s="4">
        <v>43371</v>
      </c>
      <c r="B447" t="s">
        <v>48</v>
      </c>
      <c r="C447">
        <v>5</v>
      </c>
      <c r="D447">
        <v>1</v>
      </c>
      <c r="E447">
        <v>4.172698091</v>
      </c>
      <c r="F447" t="s">
        <v>193</v>
      </c>
      <c r="G447" t="s">
        <v>193</v>
      </c>
      <c r="H447" s="8" t="s">
        <v>1067</v>
      </c>
      <c r="I447">
        <f t="shared" si="26"/>
        <v>20.863490455000001</v>
      </c>
      <c r="J447">
        <f t="shared" si="24"/>
        <v>9.4635200819558296</v>
      </c>
      <c r="K447">
        <v>1.6639999999999999</v>
      </c>
      <c r="L447" s="8">
        <f t="shared" si="25"/>
        <v>15.747297416374499</v>
      </c>
    </row>
    <row r="448" spans="1:12" x14ac:dyDescent="0.2">
      <c r="A448" s="4">
        <v>43371</v>
      </c>
      <c r="B448" t="s">
        <v>48</v>
      </c>
      <c r="C448">
        <v>2</v>
      </c>
      <c r="D448">
        <v>1</v>
      </c>
      <c r="E448">
        <v>4.17</v>
      </c>
      <c r="F448" t="s">
        <v>193</v>
      </c>
      <c r="G448" t="s">
        <v>193</v>
      </c>
      <c r="H448" s="8" t="s">
        <v>1067</v>
      </c>
      <c r="I448">
        <f t="shared" si="26"/>
        <v>8.34</v>
      </c>
      <c r="J448">
        <f t="shared" si="24"/>
        <v>3.7829603658000002</v>
      </c>
      <c r="K448">
        <v>1.6639999999999999</v>
      </c>
      <c r="L448" s="8">
        <f t="shared" si="25"/>
        <v>6.2948460486912001</v>
      </c>
    </row>
    <row r="449" spans="1:12" x14ac:dyDescent="0.2">
      <c r="A449" s="4">
        <v>43374</v>
      </c>
      <c r="B449" t="s">
        <v>48</v>
      </c>
      <c r="C449">
        <v>4</v>
      </c>
      <c r="D449">
        <v>1</v>
      </c>
      <c r="E449">
        <v>4.172698091</v>
      </c>
      <c r="F449" t="s">
        <v>193</v>
      </c>
      <c r="G449" t="s">
        <v>193</v>
      </c>
      <c r="H449" s="8" t="s">
        <v>1067</v>
      </c>
      <c r="I449">
        <f t="shared" si="26"/>
        <v>16.690792364</v>
      </c>
      <c r="J449">
        <f t="shared" si="24"/>
        <v>7.5708160655646637</v>
      </c>
      <c r="K449">
        <v>1.6639999999999999</v>
      </c>
      <c r="L449" s="8">
        <f t="shared" si="25"/>
        <v>12.5978379330996</v>
      </c>
    </row>
    <row r="450" spans="1:12" x14ac:dyDescent="0.2">
      <c r="A450" s="4">
        <v>43375</v>
      </c>
      <c r="B450" t="s">
        <v>48</v>
      </c>
      <c r="C450">
        <v>2</v>
      </c>
      <c r="D450">
        <v>1</v>
      </c>
      <c r="E450">
        <v>4.172698091</v>
      </c>
      <c r="F450" t="s">
        <v>193</v>
      </c>
      <c r="G450" t="s">
        <v>193</v>
      </c>
      <c r="H450" s="8" t="s">
        <v>1067</v>
      </c>
      <c r="I450">
        <f t="shared" si="26"/>
        <v>8.345396182</v>
      </c>
      <c r="J450">
        <f t="shared" si="24"/>
        <v>3.7854080327823318</v>
      </c>
      <c r="K450">
        <v>1.6639999999999999</v>
      </c>
      <c r="L450" s="8">
        <f t="shared" si="25"/>
        <v>6.2989189665497998</v>
      </c>
    </row>
    <row r="451" spans="1:12" x14ac:dyDescent="0.2">
      <c r="A451" s="4">
        <v>43376</v>
      </c>
      <c r="B451" t="s">
        <v>48</v>
      </c>
      <c r="C451">
        <v>2</v>
      </c>
      <c r="D451">
        <v>1</v>
      </c>
      <c r="E451">
        <v>4.172698091</v>
      </c>
      <c r="F451" t="s">
        <v>193</v>
      </c>
      <c r="G451" t="s">
        <v>193</v>
      </c>
      <c r="H451" s="8" t="s">
        <v>1067</v>
      </c>
      <c r="I451">
        <f t="shared" si="26"/>
        <v>8.345396182</v>
      </c>
      <c r="J451">
        <f t="shared" ref="J451:J500" si="27">CONVERT(I451,"lbm","kg")</f>
        <v>3.7854080327823318</v>
      </c>
      <c r="K451">
        <v>1.6639999999999999</v>
      </c>
      <c r="L451" s="8">
        <f t="shared" ref="L451:L500" si="28">J451*K451</f>
        <v>6.2989189665497998</v>
      </c>
    </row>
    <row r="452" spans="1:12" x14ac:dyDescent="0.2">
      <c r="A452" s="4">
        <v>43377</v>
      </c>
      <c r="B452" t="s">
        <v>48</v>
      </c>
      <c r="C452" s="28">
        <v>4</v>
      </c>
      <c r="D452">
        <v>1</v>
      </c>
      <c r="E452">
        <v>4.172698091</v>
      </c>
      <c r="F452" t="s">
        <v>278</v>
      </c>
      <c r="G452" t="s">
        <v>798</v>
      </c>
      <c r="H452" s="8" t="s">
        <v>1067</v>
      </c>
      <c r="I452">
        <f t="shared" si="26"/>
        <v>16.690792364</v>
      </c>
      <c r="J452">
        <f t="shared" si="27"/>
        <v>7.5708160655646637</v>
      </c>
      <c r="K452">
        <v>1.6639999999999999</v>
      </c>
      <c r="L452" s="8">
        <f t="shared" si="28"/>
        <v>12.5978379330996</v>
      </c>
    </row>
    <row r="453" spans="1:12" x14ac:dyDescent="0.2">
      <c r="A453" s="4">
        <v>43372</v>
      </c>
      <c r="B453" t="s">
        <v>48</v>
      </c>
      <c r="C453">
        <v>3</v>
      </c>
      <c r="D453">
        <v>1</v>
      </c>
      <c r="E453">
        <v>10</v>
      </c>
      <c r="F453" t="s">
        <v>70</v>
      </c>
      <c r="G453" t="s">
        <v>194</v>
      </c>
      <c r="H453" s="8" t="s">
        <v>1067</v>
      </c>
      <c r="I453">
        <f t="shared" si="26"/>
        <v>30</v>
      </c>
      <c r="J453">
        <f t="shared" si="27"/>
        <v>13.607771100000001</v>
      </c>
      <c r="K453">
        <v>0.47</v>
      </c>
      <c r="L453" s="8">
        <f t="shared" si="28"/>
        <v>6.395652417</v>
      </c>
    </row>
    <row r="454" spans="1:12" x14ac:dyDescent="0.2">
      <c r="A454" s="4">
        <v>43372</v>
      </c>
      <c r="B454" t="s">
        <v>48</v>
      </c>
      <c r="C454">
        <v>1</v>
      </c>
      <c r="D454">
        <v>1</v>
      </c>
      <c r="E454">
        <v>25</v>
      </c>
      <c r="F454" t="s">
        <v>194</v>
      </c>
      <c r="G454" t="s">
        <v>194</v>
      </c>
      <c r="H454" s="8" t="s">
        <v>1067</v>
      </c>
      <c r="I454">
        <f t="shared" si="26"/>
        <v>25</v>
      </c>
      <c r="J454">
        <f t="shared" si="27"/>
        <v>11.33980925</v>
      </c>
      <c r="K454">
        <v>0.47</v>
      </c>
      <c r="L454" s="8">
        <f t="shared" si="28"/>
        <v>5.3297103474999998</v>
      </c>
    </row>
    <row r="455" spans="1:12" x14ac:dyDescent="0.2">
      <c r="A455" s="4">
        <v>43372</v>
      </c>
      <c r="B455" t="s">
        <v>48</v>
      </c>
      <c r="C455">
        <v>8</v>
      </c>
      <c r="D455">
        <v>1</v>
      </c>
      <c r="E455">
        <v>10</v>
      </c>
      <c r="F455" t="s">
        <v>195</v>
      </c>
      <c r="G455" t="s">
        <v>194</v>
      </c>
      <c r="H455" s="8" t="s">
        <v>1067</v>
      </c>
      <c r="I455">
        <f t="shared" si="26"/>
        <v>80</v>
      </c>
      <c r="J455">
        <f t="shared" si="27"/>
        <v>36.287389600000004</v>
      </c>
      <c r="K455">
        <v>0.47</v>
      </c>
      <c r="L455" s="8">
        <f t="shared" si="28"/>
        <v>17.055073112000002</v>
      </c>
    </row>
    <row r="456" spans="1:12" x14ac:dyDescent="0.2">
      <c r="A456" s="4">
        <v>43371</v>
      </c>
      <c r="B456" t="s">
        <v>48</v>
      </c>
      <c r="C456">
        <v>2</v>
      </c>
      <c r="D456">
        <v>1</v>
      </c>
      <c r="E456">
        <v>10</v>
      </c>
      <c r="F456" t="s">
        <v>70</v>
      </c>
      <c r="G456" t="s">
        <v>194</v>
      </c>
      <c r="H456" s="8" t="s">
        <v>1067</v>
      </c>
      <c r="I456">
        <f t="shared" si="26"/>
        <v>20</v>
      </c>
      <c r="J456">
        <f t="shared" si="27"/>
        <v>9.0718474000000011</v>
      </c>
      <c r="K456">
        <v>0.47</v>
      </c>
      <c r="L456" s="8">
        <f t="shared" si="28"/>
        <v>4.2637682780000006</v>
      </c>
    </row>
    <row r="457" spans="1:12" x14ac:dyDescent="0.2">
      <c r="A457" s="4">
        <v>43371</v>
      </c>
      <c r="B457" t="s">
        <v>48</v>
      </c>
      <c r="C457">
        <v>2</v>
      </c>
      <c r="D457">
        <v>1</v>
      </c>
      <c r="E457">
        <v>20</v>
      </c>
      <c r="F457" t="s">
        <v>76</v>
      </c>
      <c r="G457" t="s">
        <v>194</v>
      </c>
      <c r="H457" s="8" t="s">
        <v>1067</v>
      </c>
      <c r="I457">
        <f t="shared" si="26"/>
        <v>40</v>
      </c>
      <c r="J457">
        <f t="shared" si="27"/>
        <v>18.143694800000002</v>
      </c>
      <c r="K457">
        <v>0.47</v>
      </c>
      <c r="L457" s="8">
        <f t="shared" si="28"/>
        <v>8.5275365560000012</v>
      </c>
    </row>
    <row r="458" spans="1:12" x14ac:dyDescent="0.2">
      <c r="A458" s="4">
        <v>43371</v>
      </c>
      <c r="B458" t="s">
        <v>48</v>
      </c>
      <c r="C458">
        <v>10</v>
      </c>
      <c r="D458">
        <v>1</v>
      </c>
      <c r="E458">
        <v>10</v>
      </c>
      <c r="F458" t="s">
        <v>195</v>
      </c>
      <c r="G458" t="s">
        <v>194</v>
      </c>
      <c r="H458" s="8" t="s">
        <v>1067</v>
      </c>
      <c r="I458">
        <f t="shared" si="26"/>
        <v>100</v>
      </c>
      <c r="J458">
        <f t="shared" si="27"/>
        <v>45.359237</v>
      </c>
      <c r="K458">
        <v>0.47</v>
      </c>
      <c r="L458" s="8">
        <f t="shared" si="28"/>
        <v>21.318841389999999</v>
      </c>
    </row>
    <row r="459" spans="1:12" x14ac:dyDescent="0.2">
      <c r="A459" s="4">
        <v>43371</v>
      </c>
      <c r="B459" t="s">
        <v>48</v>
      </c>
      <c r="C459">
        <v>1</v>
      </c>
      <c r="D459">
        <v>1</v>
      </c>
      <c r="E459">
        <v>23</v>
      </c>
      <c r="F459" t="s">
        <v>194</v>
      </c>
      <c r="G459" t="s">
        <v>194</v>
      </c>
      <c r="H459" s="8" t="s">
        <v>1067</v>
      </c>
      <c r="I459">
        <f t="shared" si="26"/>
        <v>23</v>
      </c>
      <c r="J459">
        <f t="shared" si="27"/>
        <v>10.43262451</v>
      </c>
      <c r="K459">
        <v>0.47</v>
      </c>
      <c r="L459" s="8">
        <f t="shared" si="28"/>
        <v>4.9033335196999994</v>
      </c>
    </row>
    <row r="460" spans="1:12" x14ac:dyDescent="0.2">
      <c r="A460" s="4">
        <v>43372</v>
      </c>
      <c r="B460" t="s">
        <v>48</v>
      </c>
      <c r="C460">
        <v>3</v>
      </c>
      <c r="D460">
        <v>1</v>
      </c>
      <c r="E460">
        <v>10</v>
      </c>
      <c r="F460" t="s">
        <v>70</v>
      </c>
      <c r="G460" t="s">
        <v>194</v>
      </c>
      <c r="H460" s="8" t="s">
        <v>1067</v>
      </c>
      <c r="I460">
        <f t="shared" si="26"/>
        <v>30</v>
      </c>
      <c r="J460">
        <f t="shared" si="27"/>
        <v>13.607771100000001</v>
      </c>
      <c r="K460">
        <v>0.47</v>
      </c>
      <c r="L460" s="8">
        <f t="shared" si="28"/>
        <v>6.395652417</v>
      </c>
    </row>
    <row r="461" spans="1:12" x14ac:dyDescent="0.2">
      <c r="A461" s="4">
        <v>43372</v>
      </c>
      <c r="B461" t="s">
        <v>48</v>
      </c>
      <c r="C461">
        <v>3</v>
      </c>
      <c r="D461">
        <v>1</v>
      </c>
      <c r="E461">
        <v>10</v>
      </c>
      <c r="F461" t="s">
        <v>225</v>
      </c>
      <c r="G461" t="s">
        <v>194</v>
      </c>
      <c r="H461" s="8" t="s">
        <v>1067</v>
      </c>
      <c r="I461">
        <f t="shared" si="26"/>
        <v>30</v>
      </c>
      <c r="J461">
        <f t="shared" si="27"/>
        <v>13.607771100000001</v>
      </c>
      <c r="K461">
        <v>0.47</v>
      </c>
      <c r="L461" s="8">
        <f t="shared" si="28"/>
        <v>6.395652417</v>
      </c>
    </row>
    <row r="462" spans="1:12" x14ac:dyDescent="0.2">
      <c r="A462" s="4">
        <v>43374</v>
      </c>
      <c r="B462" t="s">
        <v>48</v>
      </c>
      <c r="C462">
        <v>7</v>
      </c>
      <c r="D462">
        <v>1</v>
      </c>
      <c r="E462">
        <v>10</v>
      </c>
      <c r="F462" t="s">
        <v>195</v>
      </c>
      <c r="G462" t="s">
        <v>194</v>
      </c>
      <c r="H462" s="8" t="s">
        <v>1067</v>
      </c>
      <c r="I462">
        <f t="shared" si="26"/>
        <v>70</v>
      </c>
      <c r="J462">
        <f t="shared" si="27"/>
        <v>31.751465900000003</v>
      </c>
      <c r="K462">
        <v>0.47</v>
      </c>
      <c r="L462" s="8">
        <f t="shared" si="28"/>
        <v>14.923188973</v>
      </c>
    </row>
    <row r="463" spans="1:12" x14ac:dyDescent="0.2">
      <c r="A463" s="4">
        <v>43375</v>
      </c>
      <c r="B463" t="s">
        <v>48</v>
      </c>
      <c r="C463">
        <v>1</v>
      </c>
      <c r="D463">
        <v>1</v>
      </c>
      <c r="E463">
        <v>25</v>
      </c>
      <c r="F463" t="s">
        <v>194</v>
      </c>
      <c r="G463" t="s">
        <v>194</v>
      </c>
      <c r="H463" s="8" t="s">
        <v>1067</v>
      </c>
      <c r="I463">
        <f t="shared" si="26"/>
        <v>25</v>
      </c>
      <c r="J463">
        <f t="shared" si="27"/>
        <v>11.33980925</v>
      </c>
      <c r="K463">
        <v>0.47</v>
      </c>
      <c r="L463" s="8">
        <f t="shared" si="28"/>
        <v>5.3297103474999998</v>
      </c>
    </row>
    <row r="464" spans="1:12" x14ac:dyDescent="0.2">
      <c r="A464" s="4">
        <v>43375</v>
      </c>
      <c r="B464" t="s">
        <v>48</v>
      </c>
      <c r="C464">
        <v>8</v>
      </c>
      <c r="D464">
        <v>1</v>
      </c>
      <c r="E464">
        <v>10</v>
      </c>
      <c r="F464" t="s">
        <v>77</v>
      </c>
      <c r="G464" t="s">
        <v>194</v>
      </c>
      <c r="H464" s="8" t="s">
        <v>1067</v>
      </c>
      <c r="I464">
        <f t="shared" si="26"/>
        <v>80</v>
      </c>
      <c r="J464">
        <f t="shared" si="27"/>
        <v>36.287389600000004</v>
      </c>
      <c r="K464">
        <v>0.47</v>
      </c>
      <c r="L464" s="8">
        <f t="shared" si="28"/>
        <v>17.055073112000002</v>
      </c>
    </row>
    <row r="465" spans="1:12" x14ac:dyDescent="0.2">
      <c r="A465" s="4">
        <v>43376</v>
      </c>
      <c r="B465" t="s">
        <v>48</v>
      </c>
      <c r="C465">
        <v>1</v>
      </c>
      <c r="D465">
        <v>1</v>
      </c>
      <c r="E465">
        <v>23</v>
      </c>
      <c r="F465" t="s">
        <v>194</v>
      </c>
      <c r="G465" t="s">
        <v>194</v>
      </c>
      <c r="H465" s="8" t="s">
        <v>1067</v>
      </c>
      <c r="I465">
        <f t="shared" si="26"/>
        <v>23</v>
      </c>
      <c r="J465">
        <f t="shared" si="27"/>
        <v>10.43262451</v>
      </c>
      <c r="K465">
        <v>0.47</v>
      </c>
      <c r="L465" s="8">
        <f t="shared" si="28"/>
        <v>4.9033335196999994</v>
      </c>
    </row>
    <row r="466" spans="1:12" x14ac:dyDescent="0.2">
      <c r="A466" s="4">
        <v>43376</v>
      </c>
      <c r="B466" t="s">
        <v>48</v>
      </c>
      <c r="C466">
        <v>5</v>
      </c>
      <c r="D466">
        <v>1</v>
      </c>
      <c r="E466">
        <v>10</v>
      </c>
      <c r="F466" t="s">
        <v>77</v>
      </c>
      <c r="G466" t="s">
        <v>194</v>
      </c>
      <c r="H466" s="8" t="s">
        <v>1067</v>
      </c>
      <c r="I466">
        <f t="shared" si="26"/>
        <v>50</v>
      </c>
      <c r="J466">
        <f t="shared" si="27"/>
        <v>22.6796185</v>
      </c>
      <c r="K466">
        <v>0.47</v>
      </c>
      <c r="L466" s="8">
        <f t="shared" si="28"/>
        <v>10.659420695</v>
      </c>
    </row>
    <row r="467" spans="1:12" x14ac:dyDescent="0.2">
      <c r="A467" s="4">
        <v>43377</v>
      </c>
      <c r="B467" t="s">
        <v>48</v>
      </c>
      <c r="C467" s="28">
        <v>1</v>
      </c>
      <c r="D467">
        <v>1</v>
      </c>
      <c r="E467">
        <v>10</v>
      </c>
      <c r="F467" t="s">
        <v>273</v>
      </c>
      <c r="G467" t="s">
        <v>334</v>
      </c>
      <c r="H467" s="8" t="s">
        <v>1067</v>
      </c>
      <c r="I467">
        <f t="shared" si="26"/>
        <v>10</v>
      </c>
      <c r="J467">
        <f t="shared" si="27"/>
        <v>4.5359237000000006</v>
      </c>
      <c r="K467">
        <v>0.47</v>
      </c>
      <c r="L467" s="8">
        <f t="shared" si="28"/>
        <v>2.1318841390000003</v>
      </c>
    </row>
    <row r="468" spans="1:12" x14ac:dyDescent="0.2">
      <c r="A468" s="4">
        <v>43377</v>
      </c>
      <c r="B468" t="s">
        <v>48</v>
      </c>
      <c r="C468" s="35">
        <v>7</v>
      </c>
      <c r="D468">
        <v>1</v>
      </c>
      <c r="E468" s="8">
        <v>10</v>
      </c>
      <c r="F468" s="8" t="s">
        <v>77</v>
      </c>
      <c r="G468" s="8" t="s">
        <v>194</v>
      </c>
      <c r="H468" s="8" t="s">
        <v>1067</v>
      </c>
      <c r="I468">
        <f t="shared" si="26"/>
        <v>70</v>
      </c>
      <c r="J468">
        <f t="shared" si="27"/>
        <v>31.751465900000003</v>
      </c>
      <c r="K468">
        <v>0.47</v>
      </c>
      <c r="L468" s="8">
        <f t="shared" si="28"/>
        <v>14.923188973</v>
      </c>
    </row>
    <row r="469" spans="1:12" x14ac:dyDescent="0.2">
      <c r="A469" s="4">
        <v>43434</v>
      </c>
      <c r="B469" t="s">
        <v>538</v>
      </c>
      <c r="C469">
        <v>4</v>
      </c>
      <c r="D469">
        <v>6</v>
      </c>
      <c r="E469">
        <v>10</v>
      </c>
      <c r="F469" t="s">
        <v>544</v>
      </c>
      <c r="G469" t="s">
        <v>857</v>
      </c>
      <c r="H469" s="9" t="s">
        <v>1071</v>
      </c>
      <c r="I469">
        <f t="shared" si="26"/>
        <v>240</v>
      </c>
      <c r="J469">
        <f t="shared" si="27"/>
        <v>108.86216880000001</v>
      </c>
      <c r="K469">
        <v>0.47</v>
      </c>
      <c r="L469">
        <f t="shared" si="28"/>
        <v>51.165219336</v>
      </c>
    </row>
    <row r="470" spans="1:12" x14ac:dyDescent="0.2">
      <c r="A470" s="4">
        <v>43434</v>
      </c>
      <c r="B470" t="s">
        <v>538</v>
      </c>
      <c r="C470">
        <v>4</v>
      </c>
      <c r="D470">
        <v>6</v>
      </c>
      <c r="E470">
        <v>10</v>
      </c>
      <c r="F470" t="s">
        <v>432</v>
      </c>
      <c r="G470" t="s">
        <v>857</v>
      </c>
      <c r="H470" s="9" t="s">
        <v>1071</v>
      </c>
      <c r="I470">
        <f t="shared" si="26"/>
        <v>240</v>
      </c>
      <c r="J470">
        <f t="shared" si="27"/>
        <v>108.86216880000001</v>
      </c>
      <c r="K470">
        <v>0.47</v>
      </c>
      <c r="L470">
        <f t="shared" si="28"/>
        <v>51.165219336</v>
      </c>
    </row>
    <row r="471" spans="1:12" x14ac:dyDescent="0.2">
      <c r="A471" s="4">
        <v>43434</v>
      </c>
      <c r="B471" t="s">
        <v>538</v>
      </c>
      <c r="C471">
        <v>8</v>
      </c>
      <c r="D471">
        <v>6</v>
      </c>
      <c r="E471">
        <v>10</v>
      </c>
      <c r="F471" t="s">
        <v>546</v>
      </c>
      <c r="G471" t="s">
        <v>857</v>
      </c>
      <c r="H471" s="9" t="s">
        <v>1071</v>
      </c>
      <c r="I471">
        <f t="shared" si="26"/>
        <v>480</v>
      </c>
      <c r="J471">
        <f t="shared" si="27"/>
        <v>217.72433760000001</v>
      </c>
      <c r="K471">
        <v>0.47</v>
      </c>
      <c r="L471">
        <f t="shared" si="28"/>
        <v>102.330438672</v>
      </c>
    </row>
    <row r="472" spans="1:12" x14ac:dyDescent="0.2">
      <c r="A472" s="4">
        <v>43437</v>
      </c>
      <c r="B472" t="s">
        <v>538</v>
      </c>
      <c r="C472">
        <v>2</v>
      </c>
      <c r="D472">
        <v>6</v>
      </c>
      <c r="E472">
        <v>10</v>
      </c>
      <c r="F472" t="s">
        <v>432</v>
      </c>
      <c r="G472" t="s">
        <v>857</v>
      </c>
      <c r="H472" s="9" t="s">
        <v>1071</v>
      </c>
      <c r="I472">
        <f t="shared" si="26"/>
        <v>120</v>
      </c>
      <c r="J472">
        <f t="shared" si="27"/>
        <v>54.431084400000003</v>
      </c>
      <c r="K472">
        <v>0.47</v>
      </c>
      <c r="L472">
        <f t="shared" si="28"/>
        <v>25.582609668</v>
      </c>
    </row>
    <row r="473" spans="1:12" x14ac:dyDescent="0.2">
      <c r="A473" s="4">
        <v>43439</v>
      </c>
      <c r="B473" t="s">
        <v>538</v>
      </c>
      <c r="C473">
        <v>6</v>
      </c>
      <c r="D473">
        <v>6</v>
      </c>
      <c r="E473">
        <v>10</v>
      </c>
      <c r="F473" t="s">
        <v>432</v>
      </c>
      <c r="G473" t="s">
        <v>857</v>
      </c>
      <c r="H473" s="9" t="s">
        <v>1071</v>
      </c>
      <c r="I473">
        <f t="shared" si="26"/>
        <v>360</v>
      </c>
      <c r="J473">
        <f t="shared" si="27"/>
        <v>163.29325320000001</v>
      </c>
      <c r="K473">
        <v>0.47</v>
      </c>
      <c r="L473">
        <f t="shared" si="28"/>
        <v>76.747829003999996</v>
      </c>
    </row>
    <row r="474" spans="1:12" x14ac:dyDescent="0.2">
      <c r="A474" s="4">
        <v>43439</v>
      </c>
      <c r="B474" t="s">
        <v>538</v>
      </c>
      <c r="C474">
        <v>1</v>
      </c>
      <c r="D474">
        <v>6</v>
      </c>
      <c r="E474">
        <v>10</v>
      </c>
      <c r="F474" t="s">
        <v>546</v>
      </c>
      <c r="G474" t="s">
        <v>857</v>
      </c>
      <c r="H474" s="9" t="s">
        <v>1071</v>
      </c>
      <c r="I474">
        <f t="shared" si="26"/>
        <v>60</v>
      </c>
      <c r="J474">
        <f t="shared" si="27"/>
        <v>27.215542200000002</v>
      </c>
      <c r="K474">
        <v>0.47</v>
      </c>
      <c r="L474">
        <f t="shared" si="28"/>
        <v>12.791304834</v>
      </c>
    </row>
    <row r="475" spans="1:12" x14ac:dyDescent="0.2">
      <c r="A475" s="4">
        <v>43437</v>
      </c>
      <c r="B475" t="s">
        <v>538</v>
      </c>
      <c r="C475">
        <v>1</v>
      </c>
      <c r="D475">
        <v>6</v>
      </c>
      <c r="E475">
        <v>10</v>
      </c>
      <c r="F475" t="s">
        <v>574</v>
      </c>
      <c r="G475" s="6" t="s">
        <v>917</v>
      </c>
      <c r="H475" s="9" t="s">
        <v>1071</v>
      </c>
      <c r="I475">
        <f t="shared" si="26"/>
        <v>60</v>
      </c>
      <c r="J475">
        <f t="shared" si="27"/>
        <v>27.215542200000002</v>
      </c>
      <c r="K475">
        <v>0.11799999999999999</v>
      </c>
      <c r="L475">
        <f t="shared" si="28"/>
        <v>3.2114339796000002</v>
      </c>
    </row>
    <row r="476" spans="1:12" x14ac:dyDescent="0.2">
      <c r="A476" s="4">
        <v>43434</v>
      </c>
      <c r="B476" t="s">
        <v>531</v>
      </c>
      <c r="C476">
        <v>2</v>
      </c>
      <c r="D476">
        <v>12</v>
      </c>
      <c r="E476">
        <f>60*0.0661387</f>
        <v>3.9683219999999997</v>
      </c>
      <c r="F476" t="s">
        <v>534</v>
      </c>
      <c r="G476" s="6" t="s">
        <v>892</v>
      </c>
      <c r="H476" s="9" t="s">
        <v>1071</v>
      </c>
      <c r="I476">
        <f t="shared" si="26"/>
        <v>95.239727999999985</v>
      </c>
      <c r="J476">
        <f t="shared" si="27"/>
        <v>43.200013941675351</v>
      </c>
      <c r="K476">
        <v>1.28</v>
      </c>
      <c r="L476">
        <f t="shared" si="28"/>
        <v>55.296017845344451</v>
      </c>
    </row>
    <row r="477" spans="1:12" x14ac:dyDescent="0.2">
      <c r="A477" s="4">
        <v>43434</v>
      </c>
      <c r="B477" t="s">
        <v>531</v>
      </c>
      <c r="C477">
        <v>2</v>
      </c>
      <c r="D477">
        <v>6</v>
      </c>
      <c r="E477">
        <f>12*0.0661387</f>
        <v>0.79366439999999994</v>
      </c>
      <c r="F477" t="s">
        <v>414</v>
      </c>
      <c r="G477" s="6" t="s">
        <v>894</v>
      </c>
      <c r="H477" s="9" t="s">
        <v>1071</v>
      </c>
      <c r="I477">
        <f t="shared" si="26"/>
        <v>9.5239727999999992</v>
      </c>
      <c r="J477">
        <f t="shared" si="27"/>
        <v>4.3200013941675364</v>
      </c>
      <c r="K477">
        <v>1.28</v>
      </c>
      <c r="L477">
        <f t="shared" si="28"/>
        <v>5.5296017845344467</v>
      </c>
    </row>
    <row r="478" spans="1:12" x14ac:dyDescent="0.2">
      <c r="A478" s="4">
        <v>43434</v>
      </c>
      <c r="B478" t="s">
        <v>531</v>
      </c>
      <c r="C478">
        <v>2</v>
      </c>
      <c r="D478">
        <v>6</v>
      </c>
      <c r="E478">
        <f>12*0.0661387</f>
        <v>0.79366439999999994</v>
      </c>
      <c r="F478" t="s">
        <v>415</v>
      </c>
      <c r="G478" s="6" t="s">
        <v>894</v>
      </c>
      <c r="H478" s="9" t="s">
        <v>1071</v>
      </c>
      <c r="I478">
        <f t="shared" si="26"/>
        <v>9.5239727999999992</v>
      </c>
      <c r="J478">
        <f t="shared" si="27"/>
        <v>4.3200013941675364</v>
      </c>
      <c r="K478">
        <v>1.28</v>
      </c>
      <c r="L478">
        <f t="shared" si="28"/>
        <v>5.5296017845344467</v>
      </c>
    </row>
    <row r="479" spans="1:12" x14ac:dyDescent="0.2">
      <c r="A479" s="4">
        <v>43437</v>
      </c>
      <c r="B479" t="s">
        <v>531</v>
      </c>
      <c r="C479">
        <v>1</v>
      </c>
      <c r="D479">
        <v>24</v>
      </c>
      <c r="E479">
        <f>12*0.0661387</f>
        <v>0.79366439999999994</v>
      </c>
      <c r="F479" t="s">
        <v>408</v>
      </c>
      <c r="G479" s="6" t="s">
        <v>913</v>
      </c>
      <c r="H479" s="9" t="s">
        <v>1071</v>
      </c>
      <c r="I479">
        <f t="shared" si="26"/>
        <v>19.047945599999998</v>
      </c>
      <c r="J479">
        <f t="shared" si="27"/>
        <v>8.6400027883350727</v>
      </c>
      <c r="K479">
        <v>1.28</v>
      </c>
      <c r="L479">
        <f t="shared" si="28"/>
        <v>11.059203569068893</v>
      </c>
    </row>
    <row r="480" spans="1:12" x14ac:dyDescent="0.2">
      <c r="A480" s="4">
        <v>43437</v>
      </c>
      <c r="B480" t="s">
        <v>531</v>
      </c>
      <c r="C480">
        <v>1</v>
      </c>
      <c r="D480">
        <v>6</v>
      </c>
      <c r="E480">
        <f>12*0.0661387</f>
        <v>0.79366439999999994</v>
      </c>
      <c r="F480" t="s">
        <v>415</v>
      </c>
      <c r="G480" s="6" t="s">
        <v>913</v>
      </c>
      <c r="H480" s="9" t="s">
        <v>1071</v>
      </c>
      <c r="I480">
        <f t="shared" si="26"/>
        <v>4.7619863999999996</v>
      </c>
      <c r="J480">
        <f t="shared" si="27"/>
        <v>2.1600006970837682</v>
      </c>
      <c r="K480">
        <v>1.28</v>
      </c>
      <c r="L480">
        <f t="shared" si="28"/>
        <v>2.7648008922672234</v>
      </c>
    </row>
    <row r="481" spans="1:12" x14ac:dyDescent="0.2">
      <c r="A481" s="4">
        <v>43434</v>
      </c>
      <c r="B481" t="s">
        <v>538</v>
      </c>
      <c r="C481">
        <v>1</v>
      </c>
      <c r="D481">
        <v>6</v>
      </c>
      <c r="E481">
        <f>66.5/16</f>
        <v>4.15625</v>
      </c>
      <c r="F481" t="s">
        <v>427</v>
      </c>
      <c r="G481" t="s">
        <v>862</v>
      </c>
      <c r="H481" s="9" t="s">
        <v>1072</v>
      </c>
      <c r="I481">
        <f t="shared" si="26"/>
        <v>24.9375</v>
      </c>
      <c r="J481">
        <f t="shared" si="27"/>
        <v>11.311459726875</v>
      </c>
      <c r="K481">
        <v>2.1480000000000001</v>
      </c>
      <c r="L481">
        <f t="shared" si="28"/>
        <v>24.297015493327503</v>
      </c>
    </row>
    <row r="482" spans="1:12" x14ac:dyDescent="0.2">
      <c r="A482" s="4">
        <v>43437</v>
      </c>
      <c r="B482" t="s">
        <v>538</v>
      </c>
      <c r="C482">
        <v>1</v>
      </c>
      <c r="D482">
        <v>6</v>
      </c>
      <c r="E482">
        <f>66.5/16</f>
        <v>4.15625</v>
      </c>
      <c r="F482" t="s">
        <v>427</v>
      </c>
      <c r="G482" t="s">
        <v>862</v>
      </c>
      <c r="H482" s="9" t="s">
        <v>1072</v>
      </c>
      <c r="I482">
        <f t="shared" si="26"/>
        <v>24.9375</v>
      </c>
      <c r="J482">
        <f t="shared" si="27"/>
        <v>11.311459726875</v>
      </c>
      <c r="K482">
        <v>2.1480000000000001</v>
      </c>
      <c r="L482">
        <f t="shared" si="28"/>
        <v>24.297015493327503</v>
      </c>
    </row>
    <row r="483" spans="1:12" x14ac:dyDescent="0.2">
      <c r="A483" s="4">
        <v>43434</v>
      </c>
      <c r="B483" t="s">
        <v>530</v>
      </c>
      <c r="C483">
        <v>1</v>
      </c>
      <c r="D483">
        <v>1</v>
      </c>
      <c r="E483">
        <v>72.5</v>
      </c>
      <c r="F483" t="s">
        <v>400</v>
      </c>
      <c r="G483" t="s">
        <v>852</v>
      </c>
      <c r="H483" s="9" t="s">
        <v>1072</v>
      </c>
      <c r="I483">
        <f t="shared" si="26"/>
        <v>72.5</v>
      </c>
      <c r="J483">
        <f t="shared" si="27"/>
        <v>32.885446825000002</v>
      </c>
      <c r="K483">
        <v>2.5710000000000002</v>
      </c>
      <c r="L483">
        <f t="shared" si="28"/>
        <v>84.548483787075014</v>
      </c>
    </row>
    <row r="484" spans="1:12" x14ac:dyDescent="0.2">
      <c r="A484" s="4">
        <v>43437</v>
      </c>
      <c r="B484" t="s">
        <v>530</v>
      </c>
      <c r="C484">
        <v>1</v>
      </c>
      <c r="D484">
        <v>1</v>
      </c>
      <c r="E484">
        <v>124.53</v>
      </c>
      <c r="F484" t="s">
        <v>568</v>
      </c>
      <c r="G484" t="s">
        <v>852</v>
      </c>
      <c r="H484" s="9" t="s">
        <v>1072</v>
      </c>
      <c r="I484">
        <f t="shared" si="26"/>
        <v>124.53</v>
      </c>
      <c r="J484">
        <f t="shared" si="27"/>
        <v>56.485857836100003</v>
      </c>
      <c r="K484">
        <v>2.5710000000000002</v>
      </c>
      <c r="L484">
        <f t="shared" si="28"/>
        <v>145.22514049661311</v>
      </c>
    </row>
    <row r="485" spans="1:12" x14ac:dyDescent="0.2">
      <c r="A485" s="4">
        <v>43437</v>
      </c>
      <c r="B485" t="s">
        <v>530</v>
      </c>
      <c r="C485">
        <v>4</v>
      </c>
      <c r="D485">
        <v>160</v>
      </c>
      <c r="E485">
        <f>1/16</f>
        <v>6.25E-2</v>
      </c>
      <c r="F485" t="s">
        <v>569</v>
      </c>
      <c r="G485" t="s">
        <v>852</v>
      </c>
      <c r="H485" s="9" t="s">
        <v>1072</v>
      </c>
      <c r="I485">
        <f t="shared" si="26"/>
        <v>40</v>
      </c>
      <c r="J485">
        <f t="shared" si="27"/>
        <v>18.143694800000002</v>
      </c>
      <c r="K485">
        <v>2.5710000000000002</v>
      </c>
      <c r="L485">
        <f t="shared" si="28"/>
        <v>46.647439330800012</v>
      </c>
    </row>
    <row r="486" spans="1:12" x14ac:dyDescent="0.2">
      <c r="A486" s="4">
        <v>43437</v>
      </c>
      <c r="B486" t="s">
        <v>530</v>
      </c>
      <c r="C486">
        <v>4</v>
      </c>
      <c r="D486">
        <v>2</v>
      </c>
      <c r="E486">
        <v>6</v>
      </c>
      <c r="F486" t="s">
        <v>402</v>
      </c>
      <c r="G486" t="s">
        <v>912</v>
      </c>
      <c r="H486" s="9" t="s">
        <v>1072</v>
      </c>
      <c r="I486">
        <f t="shared" si="26"/>
        <v>48</v>
      </c>
      <c r="J486">
        <f t="shared" si="27"/>
        <v>21.772433760000002</v>
      </c>
      <c r="K486">
        <v>2.5710000000000002</v>
      </c>
      <c r="L486">
        <f t="shared" si="28"/>
        <v>55.976927196960006</v>
      </c>
    </row>
    <row r="487" spans="1:12" x14ac:dyDescent="0.2">
      <c r="A487" s="4">
        <v>43439</v>
      </c>
      <c r="B487" t="s">
        <v>530</v>
      </c>
      <c r="C487">
        <v>3</v>
      </c>
      <c r="D487">
        <v>160</v>
      </c>
      <c r="E487">
        <f>1/16</f>
        <v>6.25E-2</v>
      </c>
      <c r="F487" t="s">
        <v>569</v>
      </c>
      <c r="G487" t="s">
        <v>852</v>
      </c>
      <c r="H487" s="9" t="s">
        <v>1072</v>
      </c>
      <c r="I487">
        <f t="shared" si="26"/>
        <v>30</v>
      </c>
      <c r="J487">
        <f t="shared" si="27"/>
        <v>13.607771100000001</v>
      </c>
      <c r="K487">
        <v>2.5710000000000002</v>
      </c>
      <c r="L487">
        <f t="shared" si="28"/>
        <v>34.985579498100002</v>
      </c>
    </row>
    <row r="488" spans="1:12" x14ac:dyDescent="0.2">
      <c r="A488" s="4">
        <v>43434</v>
      </c>
      <c r="B488" t="s">
        <v>538</v>
      </c>
      <c r="C488">
        <v>1</v>
      </c>
      <c r="D488">
        <v>4</v>
      </c>
      <c r="E488">
        <v>8.41</v>
      </c>
      <c r="F488" t="s">
        <v>558</v>
      </c>
      <c r="G488" t="s">
        <v>872</v>
      </c>
      <c r="H488" s="9" t="s">
        <v>1071</v>
      </c>
      <c r="I488">
        <f t="shared" si="26"/>
        <v>33.64</v>
      </c>
      <c r="J488">
        <f t="shared" si="27"/>
        <v>15.258847326800002</v>
      </c>
      <c r="K488">
        <v>0.34</v>
      </c>
      <c r="L488">
        <f t="shared" si="28"/>
        <v>5.1880080911120006</v>
      </c>
    </row>
    <row r="489" spans="1:12" x14ac:dyDescent="0.2">
      <c r="A489" s="4">
        <v>43437</v>
      </c>
      <c r="B489" t="s">
        <v>538</v>
      </c>
      <c r="C489">
        <v>1</v>
      </c>
      <c r="D489">
        <v>2</v>
      </c>
      <c r="E489" s="6">
        <f>5*2.39</f>
        <v>11.950000000000001</v>
      </c>
      <c r="F489" t="s">
        <v>450</v>
      </c>
      <c r="G489" t="s">
        <v>872</v>
      </c>
      <c r="H489" s="9" t="s">
        <v>1071</v>
      </c>
      <c r="I489">
        <f t="shared" si="26"/>
        <v>23.900000000000002</v>
      </c>
      <c r="J489">
        <f t="shared" si="27"/>
        <v>10.840857643000001</v>
      </c>
      <c r="K489">
        <v>0.34</v>
      </c>
      <c r="L489">
        <f t="shared" si="28"/>
        <v>3.6858915986200009</v>
      </c>
    </row>
    <row r="490" spans="1:12" x14ac:dyDescent="0.2">
      <c r="A490" s="4">
        <v>43439</v>
      </c>
      <c r="B490" t="s">
        <v>538</v>
      </c>
      <c r="C490">
        <v>1</v>
      </c>
      <c r="D490">
        <v>4</v>
      </c>
      <c r="E490">
        <v>8.41</v>
      </c>
      <c r="F490" t="s">
        <v>596</v>
      </c>
      <c r="G490" t="s">
        <v>872</v>
      </c>
      <c r="H490" s="9" t="s">
        <v>1071</v>
      </c>
      <c r="I490">
        <f t="shared" si="26"/>
        <v>33.64</v>
      </c>
      <c r="J490">
        <f t="shared" si="27"/>
        <v>15.258847326800002</v>
      </c>
      <c r="K490">
        <v>0.34</v>
      </c>
      <c r="L490">
        <f t="shared" si="28"/>
        <v>5.1880080911120006</v>
      </c>
    </row>
    <row r="491" spans="1:12" x14ac:dyDescent="0.2">
      <c r="A491" s="4">
        <v>43437</v>
      </c>
      <c r="B491" t="s">
        <v>538</v>
      </c>
      <c r="C491">
        <v>1</v>
      </c>
      <c r="D491">
        <v>6</v>
      </c>
      <c r="E491">
        <v>2</v>
      </c>
      <c r="F491" t="s">
        <v>570</v>
      </c>
      <c r="G491" s="6" t="s">
        <v>985</v>
      </c>
      <c r="H491" s="9" t="s">
        <v>1071</v>
      </c>
      <c r="I491">
        <f t="shared" si="26"/>
        <v>12</v>
      </c>
      <c r="J491">
        <f t="shared" si="27"/>
        <v>5.4431084400000005</v>
      </c>
      <c r="K491">
        <v>0.34699999999999998</v>
      </c>
      <c r="L491">
        <f t="shared" si="28"/>
        <v>1.88875862868</v>
      </c>
    </row>
    <row r="492" spans="1:12" x14ac:dyDescent="0.2">
      <c r="A492" s="4">
        <v>43437</v>
      </c>
      <c r="B492" t="s">
        <v>538</v>
      </c>
      <c r="C492">
        <v>1</v>
      </c>
      <c r="D492">
        <v>4</v>
      </c>
      <c r="E492">
        <v>8.41</v>
      </c>
      <c r="F492" t="s">
        <v>576</v>
      </c>
      <c r="G492" t="s">
        <v>873</v>
      </c>
      <c r="H492" s="9" t="s">
        <v>1071</v>
      </c>
      <c r="I492">
        <f t="shared" si="26"/>
        <v>33.64</v>
      </c>
      <c r="J492">
        <f t="shared" si="27"/>
        <v>15.258847326800002</v>
      </c>
      <c r="K492">
        <v>0.78</v>
      </c>
      <c r="L492">
        <f t="shared" si="28"/>
        <v>11.901900914904001</v>
      </c>
    </row>
    <row r="493" spans="1:12" x14ac:dyDescent="0.2">
      <c r="A493" s="4">
        <v>43437</v>
      </c>
      <c r="B493" t="s">
        <v>538</v>
      </c>
      <c r="C493">
        <v>1</v>
      </c>
      <c r="D493">
        <v>4</v>
      </c>
      <c r="E493">
        <v>8.41</v>
      </c>
      <c r="F493" t="s">
        <v>578</v>
      </c>
      <c r="G493" t="s">
        <v>873</v>
      </c>
      <c r="H493" s="9" t="s">
        <v>1071</v>
      </c>
      <c r="I493">
        <f t="shared" si="26"/>
        <v>33.64</v>
      </c>
      <c r="J493">
        <f t="shared" si="27"/>
        <v>15.258847326800002</v>
      </c>
      <c r="K493">
        <v>0.78</v>
      </c>
      <c r="L493">
        <f t="shared" si="28"/>
        <v>11.901900914904001</v>
      </c>
    </row>
    <row r="494" spans="1:12" x14ac:dyDescent="0.2">
      <c r="A494" s="4">
        <v>43439</v>
      </c>
      <c r="B494" t="s">
        <v>538</v>
      </c>
      <c r="C494">
        <v>1</v>
      </c>
      <c r="D494">
        <v>8</v>
      </c>
      <c r="E494">
        <f>12*0.0661387</f>
        <v>0.79366439999999994</v>
      </c>
      <c r="F494" t="s">
        <v>599</v>
      </c>
      <c r="G494" s="6" t="s">
        <v>856</v>
      </c>
      <c r="H494" s="9" t="s">
        <v>1071</v>
      </c>
      <c r="I494">
        <f t="shared" si="26"/>
        <v>6.3493151999999995</v>
      </c>
      <c r="J494">
        <f t="shared" si="27"/>
        <v>2.8800009294450239</v>
      </c>
      <c r="K494">
        <v>1.28</v>
      </c>
      <c r="L494">
        <f t="shared" si="28"/>
        <v>3.6864011896896307</v>
      </c>
    </row>
    <row r="495" spans="1:12" x14ac:dyDescent="0.2">
      <c r="A495" s="4">
        <v>43439</v>
      </c>
      <c r="B495" t="s">
        <v>531</v>
      </c>
      <c r="C495">
        <v>1</v>
      </c>
      <c r="D495">
        <v>6</v>
      </c>
      <c r="E495">
        <f>12*0.0661387</f>
        <v>0.79366439999999994</v>
      </c>
      <c r="F495" t="s">
        <v>415</v>
      </c>
      <c r="G495" s="6" t="s">
        <v>856</v>
      </c>
      <c r="H495" s="9" t="s">
        <v>1071</v>
      </c>
      <c r="I495">
        <f t="shared" si="26"/>
        <v>4.7619863999999996</v>
      </c>
      <c r="J495">
        <f t="shared" si="27"/>
        <v>2.1600006970837682</v>
      </c>
      <c r="K495">
        <v>1.28</v>
      </c>
      <c r="L495">
        <f t="shared" si="28"/>
        <v>2.7648008922672234</v>
      </c>
    </row>
    <row r="496" spans="1:12" x14ac:dyDescent="0.2">
      <c r="A496" s="4">
        <v>43434</v>
      </c>
      <c r="B496" t="s">
        <v>538</v>
      </c>
      <c r="C496">
        <v>2</v>
      </c>
      <c r="D496">
        <v>12</v>
      </c>
      <c r="E496">
        <v>2</v>
      </c>
      <c r="F496" t="s">
        <v>557</v>
      </c>
      <c r="G496" s="14" t="s">
        <v>871</v>
      </c>
      <c r="H496" s="9" t="s">
        <v>1071</v>
      </c>
      <c r="I496">
        <f t="shared" si="26"/>
        <v>48</v>
      </c>
      <c r="J496">
        <f t="shared" si="27"/>
        <v>21.772433760000002</v>
      </c>
      <c r="L496">
        <f t="shared" si="28"/>
        <v>0</v>
      </c>
    </row>
    <row r="497" spans="1:12" x14ac:dyDescent="0.2">
      <c r="A497" s="4">
        <v>43376</v>
      </c>
      <c r="B497" t="s">
        <v>48</v>
      </c>
      <c r="C497">
        <v>3</v>
      </c>
      <c r="D497">
        <v>1</v>
      </c>
      <c r="E497">
        <f>(6*32)/16</f>
        <v>12</v>
      </c>
      <c r="F497" t="s">
        <v>239</v>
      </c>
      <c r="G497" t="s">
        <v>1092</v>
      </c>
      <c r="H497" s="8" t="s">
        <v>1091</v>
      </c>
      <c r="I497">
        <f t="shared" si="26"/>
        <v>36</v>
      </c>
      <c r="J497">
        <f t="shared" si="27"/>
        <v>16.329325319999999</v>
      </c>
      <c r="K497">
        <v>1.33</v>
      </c>
      <c r="L497" s="8">
        <f t="shared" si="28"/>
        <v>21.718002675600001</v>
      </c>
    </row>
    <row r="498" spans="1:12" x14ac:dyDescent="0.2">
      <c r="A498" s="4">
        <v>43434</v>
      </c>
      <c r="B498" t="s">
        <v>517</v>
      </c>
      <c r="C498">
        <v>10</v>
      </c>
      <c r="D498">
        <v>2</v>
      </c>
      <c r="E498">
        <v>6</v>
      </c>
      <c r="F498" t="s">
        <v>383</v>
      </c>
      <c r="G498" t="s">
        <v>846</v>
      </c>
      <c r="H498" s="9" t="s">
        <v>1073</v>
      </c>
      <c r="I498">
        <f t="shared" si="26"/>
        <v>120</v>
      </c>
      <c r="J498">
        <f t="shared" si="27"/>
        <v>54.431084400000003</v>
      </c>
      <c r="K498">
        <v>1.33</v>
      </c>
      <c r="L498">
        <f t="shared" si="28"/>
        <v>72.393342252000011</v>
      </c>
    </row>
    <row r="499" spans="1:12" x14ac:dyDescent="0.2">
      <c r="A499" s="4">
        <v>43434</v>
      </c>
      <c r="B499" t="s">
        <v>517</v>
      </c>
      <c r="C499">
        <v>10</v>
      </c>
      <c r="D499">
        <v>2</v>
      </c>
      <c r="E499">
        <v>6</v>
      </c>
      <c r="F499" t="s">
        <v>384</v>
      </c>
      <c r="G499" t="s">
        <v>846</v>
      </c>
      <c r="H499" s="9" t="s">
        <v>1073</v>
      </c>
      <c r="I499">
        <f t="shared" si="26"/>
        <v>120</v>
      </c>
      <c r="J499">
        <f t="shared" si="27"/>
        <v>54.431084400000003</v>
      </c>
      <c r="K499">
        <v>1.33</v>
      </c>
      <c r="L499">
        <f t="shared" si="28"/>
        <v>72.393342252000011</v>
      </c>
    </row>
    <row r="500" spans="1:12" x14ac:dyDescent="0.2">
      <c r="A500" s="4">
        <v>43439</v>
      </c>
      <c r="B500" t="s">
        <v>517</v>
      </c>
      <c r="C500">
        <v>2</v>
      </c>
      <c r="D500">
        <v>2</v>
      </c>
      <c r="E500">
        <v>6</v>
      </c>
      <c r="F500" t="s">
        <v>384</v>
      </c>
      <c r="G500" t="s">
        <v>846</v>
      </c>
      <c r="H500" s="9" t="s">
        <v>1073</v>
      </c>
      <c r="I500">
        <f t="shared" si="26"/>
        <v>24</v>
      </c>
      <c r="J500">
        <f t="shared" si="27"/>
        <v>10.886216880000001</v>
      </c>
      <c r="K500">
        <v>1.33</v>
      </c>
      <c r="L500">
        <f t="shared" si="28"/>
        <v>14.478668450400002</v>
      </c>
    </row>
    <row r="501" spans="1:12" x14ac:dyDescent="0.2">
      <c r="L501" s="33">
        <f>SUM(L3:L500)</f>
        <v>51844.127880296954</v>
      </c>
    </row>
  </sheetData>
  <sortState ref="A3:L501">
    <sortCondition ref="G500"/>
  </sortState>
  <mergeCells count="1">
    <mergeCell ref="A1:L1"/>
  </mergeCells>
  <phoneticPr fontId="12" type="noConversion"/>
  <pageMargins left="0.7" right="0.7" top="0.75" bottom="0.75" header="0.3" footer="0.3"/>
  <pageSetup orientation="portrait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8"/>
  <sheetViews>
    <sheetView workbookViewId="0">
      <selection activeCell="A31" sqref="A31"/>
    </sheetView>
  </sheetViews>
  <sheetFormatPr baseColWidth="10" defaultRowHeight="16" x14ac:dyDescent="0.2"/>
  <cols>
    <col min="1" max="1" width="31" bestFit="1" customWidth="1"/>
    <col min="2" max="2" width="16.6640625" bestFit="1" customWidth="1"/>
    <col min="3" max="4" width="22" bestFit="1" customWidth="1"/>
  </cols>
  <sheetData>
    <row r="3" spans="1:3" x14ac:dyDescent="0.2">
      <c r="A3" s="42" t="s">
        <v>1069</v>
      </c>
      <c r="B3" t="s">
        <v>1076</v>
      </c>
      <c r="C3" t="s">
        <v>1068</v>
      </c>
    </row>
    <row r="4" spans="1:3" x14ac:dyDescent="0.2">
      <c r="A4" s="44" t="s">
        <v>1073</v>
      </c>
      <c r="B4" s="50">
        <v>0.18113408743638584</v>
      </c>
      <c r="C4" s="50">
        <v>0.28257793859479818</v>
      </c>
    </row>
    <row r="5" spans="1:3" x14ac:dyDescent="0.2">
      <c r="A5" s="47" t="s">
        <v>845</v>
      </c>
      <c r="B5" s="50">
        <v>2.1153453861507509E-3</v>
      </c>
      <c r="C5" s="50">
        <v>7.1478902419972396E-3</v>
      </c>
    </row>
    <row r="6" spans="1:3" x14ac:dyDescent="0.2">
      <c r="A6" s="47" t="s">
        <v>847</v>
      </c>
      <c r="B6" s="50">
        <v>5.1626179340890289E-2</v>
      </c>
      <c r="C6" s="50">
        <v>0.15103703732796989</v>
      </c>
    </row>
    <row r="7" spans="1:3" x14ac:dyDescent="0.2">
      <c r="A7" s="47" t="s">
        <v>841</v>
      </c>
      <c r="B7" s="50">
        <v>2.9379797029871545E-4</v>
      </c>
      <c r="C7" s="50">
        <v>4.5846325336884315E-4</v>
      </c>
    </row>
    <row r="8" spans="1:3" x14ac:dyDescent="0.2">
      <c r="A8" s="47" t="s">
        <v>843</v>
      </c>
      <c r="B8" s="50">
        <v>8.8873886015361406E-2</v>
      </c>
      <c r="C8" s="50">
        <v>9.7861652927980741E-2</v>
      </c>
    </row>
    <row r="9" spans="1:3" x14ac:dyDescent="0.2">
      <c r="A9" s="47" t="s">
        <v>888</v>
      </c>
      <c r="B9" s="50">
        <v>9.6301098704512939E-3</v>
      </c>
      <c r="C9" s="50">
        <v>1.0846923442230812E-2</v>
      </c>
    </row>
    <row r="10" spans="1:3" x14ac:dyDescent="0.2">
      <c r="A10" s="47" t="s">
        <v>842</v>
      </c>
      <c r="B10" s="50">
        <v>2.9379797029871549E-3</v>
      </c>
      <c r="C10" s="50">
        <v>1.0599808301572876E-3</v>
      </c>
    </row>
    <row r="11" spans="1:3" x14ac:dyDescent="0.2">
      <c r="A11" s="47" t="s">
        <v>846</v>
      </c>
      <c r="B11" s="50">
        <v>1.8332993346639848E-2</v>
      </c>
      <c r="C11" s="50">
        <v>7.1520267525539529E-3</v>
      </c>
    </row>
    <row r="12" spans="1:3" x14ac:dyDescent="0.2">
      <c r="A12" s="47" t="s">
        <v>1089</v>
      </c>
      <c r="B12" s="50">
        <v>7.3237958036063778E-3</v>
      </c>
      <c r="C12" s="50">
        <v>7.0139638185394487E-3</v>
      </c>
    </row>
    <row r="13" spans="1:3" x14ac:dyDescent="0.2">
      <c r="A13" s="44" t="s">
        <v>1072</v>
      </c>
      <c r="B13" s="50">
        <v>0.13649589281905053</v>
      </c>
      <c r="C13" s="50">
        <v>0.40977937124209557</v>
      </c>
    </row>
    <row r="14" spans="1:3" x14ac:dyDescent="0.2">
      <c r="A14" s="47" t="s">
        <v>10</v>
      </c>
      <c r="B14" s="50">
        <v>3.3178017189893341E-2</v>
      </c>
      <c r="C14" s="50">
        <v>0.31965170470448129</v>
      </c>
    </row>
    <row r="15" spans="1:3" x14ac:dyDescent="0.2">
      <c r="A15" s="47" t="s">
        <v>755</v>
      </c>
      <c r="B15" s="50">
        <v>6.4635553465717402E-3</v>
      </c>
      <c r="C15" s="50">
        <v>7.9400320136074672E-3</v>
      </c>
    </row>
    <row r="16" spans="1:3" x14ac:dyDescent="0.2">
      <c r="A16" s="47" t="s">
        <v>1057</v>
      </c>
      <c r="B16" s="50">
        <v>4.1337374421029274E-3</v>
      </c>
      <c r="C16" s="50">
        <v>3.1173751829825062E-3</v>
      </c>
    </row>
    <row r="17" spans="1:3" x14ac:dyDescent="0.2">
      <c r="A17" s="47" t="s">
        <v>851</v>
      </c>
      <c r="B17" s="50">
        <v>1.1751918811948618E-3</v>
      </c>
      <c r="C17" s="50">
        <v>6.619451018377364E-3</v>
      </c>
    </row>
    <row r="18" spans="1:3" x14ac:dyDescent="0.2">
      <c r="A18" s="47" t="s">
        <v>15</v>
      </c>
      <c r="B18" s="50">
        <v>5.9288430406280771E-4</v>
      </c>
      <c r="C18" s="50">
        <v>9.6691623681554283E-4</v>
      </c>
    </row>
    <row r="19" spans="1:3" x14ac:dyDescent="0.2">
      <c r="A19" s="47" t="s">
        <v>928</v>
      </c>
      <c r="B19" s="50">
        <v>1.3514706633740914E-2</v>
      </c>
      <c r="C19" s="50">
        <v>1.1975715125498996E-2</v>
      </c>
    </row>
    <row r="20" spans="1:3" x14ac:dyDescent="0.2">
      <c r="A20" s="47" t="s">
        <v>927</v>
      </c>
      <c r="B20" s="50">
        <v>1.1164322871351186E-2</v>
      </c>
      <c r="C20" s="50">
        <v>9.8929820601948194E-3</v>
      </c>
    </row>
    <row r="21" spans="1:3" x14ac:dyDescent="0.2">
      <c r="A21" s="47" t="s">
        <v>862</v>
      </c>
      <c r="B21" s="50">
        <v>2.9306347537296864E-3</v>
      </c>
      <c r="C21" s="50">
        <v>1.8464607529430157E-3</v>
      </c>
    </row>
    <row r="22" spans="1:3" x14ac:dyDescent="0.2">
      <c r="A22" s="47" t="s">
        <v>966</v>
      </c>
      <c r="B22" s="50">
        <v>6.334284239640306E-2</v>
      </c>
      <c r="C22" s="50">
        <v>4.7768734147194611E-2</v>
      </c>
    </row>
    <row r="23" spans="1:3" x14ac:dyDescent="0.2">
      <c r="A23" s="44" t="s">
        <v>1071</v>
      </c>
      <c r="B23" s="50">
        <v>0.68237001974456402</v>
      </c>
      <c r="C23" s="50">
        <v>0.30764269016310547</v>
      </c>
    </row>
    <row r="24" spans="1:3" x14ac:dyDescent="0.2">
      <c r="A24" s="47" t="s">
        <v>929</v>
      </c>
      <c r="B24" s="50">
        <v>1.4102302574338342E-3</v>
      </c>
      <c r="C24" s="50">
        <v>1.6256486487875672E-4</v>
      </c>
    </row>
    <row r="25" spans="1:3" x14ac:dyDescent="0.2">
      <c r="A25" s="47" t="s">
        <v>844</v>
      </c>
      <c r="B25" s="50">
        <v>3.5255756435845853E-3</v>
      </c>
      <c r="C25" s="50">
        <v>3.1851131286677524E-4</v>
      </c>
    </row>
    <row r="26" spans="1:3" x14ac:dyDescent="0.2">
      <c r="A26" s="47" t="s">
        <v>898</v>
      </c>
      <c r="B26" s="50">
        <v>1.1751918811948618E-2</v>
      </c>
      <c r="C26" s="50">
        <v>1.061704376222584E-3</v>
      </c>
    </row>
    <row r="27" spans="1:3" x14ac:dyDescent="0.2">
      <c r="A27" s="47" t="s">
        <v>974</v>
      </c>
      <c r="B27" s="50">
        <v>2.3503837623897236E-3</v>
      </c>
      <c r="C27" s="50">
        <v>2.123408752445168E-4</v>
      </c>
    </row>
    <row r="28" spans="1:3" x14ac:dyDescent="0.2">
      <c r="A28" s="47" t="s">
        <v>922</v>
      </c>
      <c r="B28" s="50">
        <v>2.3503837623897236E-3</v>
      </c>
      <c r="C28" s="50">
        <v>2.123408752445168E-4</v>
      </c>
    </row>
    <row r="29" spans="1:3" x14ac:dyDescent="0.2">
      <c r="A29" s="47" t="s">
        <v>972</v>
      </c>
      <c r="B29" s="50">
        <v>1.1751918811948618E-3</v>
      </c>
      <c r="C29" s="50">
        <v>1.061704376222584E-4</v>
      </c>
    </row>
    <row r="30" spans="1:3" x14ac:dyDescent="0.2">
      <c r="A30" s="47" t="s">
        <v>984</v>
      </c>
      <c r="B30" s="50">
        <v>3.5255756435845853E-3</v>
      </c>
      <c r="C30" s="50">
        <v>3.1851131286677524E-4</v>
      </c>
    </row>
    <row r="31" spans="1:3" x14ac:dyDescent="0.2">
      <c r="A31" s="47" t="s">
        <v>983</v>
      </c>
      <c r="B31" s="50">
        <v>2.3503837623897236E-3</v>
      </c>
      <c r="C31" s="50">
        <v>2.4315787889201651E-3</v>
      </c>
    </row>
    <row r="32" spans="1:3" x14ac:dyDescent="0.2">
      <c r="A32" s="47" t="s">
        <v>982</v>
      </c>
      <c r="B32" s="50">
        <v>1.7627878217922927E-3</v>
      </c>
      <c r="C32" s="50">
        <v>0</v>
      </c>
    </row>
    <row r="33" spans="1:3" x14ac:dyDescent="0.2">
      <c r="A33" s="47" t="s">
        <v>895</v>
      </c>
      <c r="B33" s="50">
        <v>3.5784592782383538E-3</v>
      </c>
      <c r="C33" s="50">
        <v>7.2110237343690469E-3</v>
      </c>
    </row>
    <row r="34" spans="1:3" x14ac:dyDescent="0.2">
      <c r="A34" s="47" t="s">
        <v>868</v>
      </c>
      <c r="B34" s="50">
        <v>1.2480537778289435E-3</v>
      </c>
      <c r="C34" s="50">
        <v>4.6858391586426367E-4</v>
      </c>
    </row>
    <row r="35" spans="1:3" x14ac:dyDescent="0.2">
      <c r="A35" s="47" t="s">
        <v>967</v>
      </c>
      <c r="B35" s="50">
        <v>4.9922151113157738E-3</v>
      </c>
      <c r="C35" s="50">
        <v>1.8743356634570547E-3</v>
      </c>
    </row>
    <row r="36" spans="1:3" x14ac:dyDescent="0.2">
      <c r="A36" s="47" t="s">
        <v>880</v>
      </c>
      <c r="B36" s="50">
        <v>3.9486447208147347E-2</v>
      </c>
      <c r="C36" s="50">
        <v>1.4825253835253535E-2</v>
      </c>
    </row>
    <row r="37" spans="1:3" x14ac:dyDescent="0.2">
      <c r="A37" s="47" t="s">
        <v>930</v>
      </c>
      <c r="B37" s="50">
        <v>4.4069695544807318E-5</v>
      </c>
      <c r="C37" s="50">
        <v>6.2306190260464956E-6</v>
      </c>
    </row>
    <row r="38" spans="1:3" x14ac:dyDescent="0.2">
      <c r="A38" s="47" t="s">
        <v>861</v>
      </c>
      <c r="B38" s="50">
        <v>1.460175912384616E-2</v>
      </c>
      <c r="C38" s="50">
        <v>6.895649275341113E-3</v>
      </c>
    </row>
    <row r="39" spans="1:3" x14ac:dyDescent="0.2">
      <c r="A39" s="47" t="s">
        <v>896</v>
      </c>
      <c r="B39" s="50">
        <v>3.1730180792261267E-2</v>
      </c>
      <c r="C39" s="50">
        <v>4.5698100375268823E-3</v>
      </c>
    </row>
    <row r="40" spans="1:3" x14ac:dyDescent="0.2">
      <c r="A40" s="47" t="s">
        <v>971</v>
      </c>
      <c r="B40" s="50">
        <v>0</v>
      </c>
      <c r="C40" s="50">
        <v>0</v>
      </c>
    </row>
    <row r="41" spans="1:3" x14ac:dyDescent="0.2">
      <c r="A41" s="47" t="s">
        <v>980</v>
      </c>
      <c r="B41" s="50">
        <v>1.9921422649786781E-2</v>
      </c>
      <c r="C41" s="50">
        <v>1.9458470105975786E-2</v>
      </c>
    </row>
    <row r="42" spans="1:3" x14ac:dyDescent="0.2">
      <c r="A42" s="47" t="s">
        <v>988</v>
      </c>
      <c r="B42" s="50">
        <v>5.8759594059743089E-4</v>
      </c>
      <c r="C42" s="50">
        <v>3.80903680430505E-4</v>
      </c>
    </row>
    <row r="43" spans="1:3" x14ac:dyDescent="0.2">
      <c r="A43" s="47" t="s">
        <v>900</v>
      </c>
      <c r="B43" s="50">
        <v>1.4102302574338342E-3</v>
      </c>
      <c r="C43" s="50">
        <v>3.1437480231006384E-4</v>
      </c>
    </row>
    <row r="44" spans="1:3" x14ac:dyDescent="0.2">
      <c r="A44" s="47" t="s">
        <v>986</v>
      </c>
      <c r="B44" s="50">
        <v>6.8308028094451339E-4</v>
      </c>
      <c r="C44" s="50">
        <v>5.0691644212948813E-4</v>
      </c>
    </row>
    <row r="45" spans="1:3" x14ac:dyDescent="0.2">
      <c r="A45" s="47" t="s">
        <v>993</v>
      </c>
      <c r="B45" s="50">
        <v>2.7543559715504577E-4</v>
      </c>
      <c r="C45" s="50">
        <v>2.0440179118124527E-4</v>
      </c>
    </row>
    <row r="46" spans="1:3" x14ac:dyDescent="0.2">
      <c r="A46" s="47" t="s">
        <v>990</v>
      </c>
      <c r="B46" s="50">
        <v>0</v>
      </c>
      <c r="C46" s="50">
        <v>0</v>
      </c>
    </row>
    <row r="47" spans="1:3" x14ac:dyDescent="0.2">
      <c r="A47" s="47" t="s">
        <v>1053</v>
      </c>
      <c r="B47" s="50">
        <v>5.8759594059743089E-4</v>
      </c>
      <c r="C47" s="50">
        <v>6.5925636997587404E-4</v>
      </c>
    </row>
    <row r="48" spans="1:3" x14ac:dyDescent="0.2">
      <c r="A48" s="47" t="s">
        <v>932</v>
      </c>
      <c r="B48" s="50">
        <v>1.5865090396130634E-2</v>
      </c>
      <c r="C48" s="50">
        <v>5.9565752016643679E-3</v>
      </c>
    </row>
    <row r="49" spans="1:3" x14ac:dyDescent="0.2">
      <c r="A49" s="47" t="s">
        <v>970</v>
      </c>
      <c r="B49" s="50">
        <v>6.7929028712766003E-3</v>
      </c>
      <c r="C49" s="50">
        <v>4.5827624862075844E-3</v>
      </c>
    </row>
    <row r="50" spans="1:3" x14ac:dyDescent="0.2">
      <c r="A50" s="47" t="s">
        <v>969</v>
      </c>
      <c r="B50" s="50">
        <v>1.4102302574338342E-3</v>
      </c>
      <c r="C50" s="50">
        <v>5.2947335125905486E-4</v>
      </c>
    </row>
    <row r="51" spans="1:3" x14ac:dyDescent="0.2">
      <c r="A51" s="47" t="s">
        <v>968</v>
      </c>
      <c r="B51" s="50">
        <v>2.1153453861507509E-3</v>
      </c>
      <c r="C51" s="50">
        <v>7.9421002688858224E-4</v>
      </c>
    </row>
    <row r="52" spans="1:3" x14ac:dyDescent="0.2">
      <c r="A52" s="47" t="s">
        <v>978</v>
      </c>
      <c r="B52" s="50">
        <v>1.4102302574338342E-3</v>
      </c>
      <c r="C52" s="50">
        <v>0</v>
      </c>
    </row>
    <row r="53" spans="1:3" x14ac:dyDescent="0.2">
      <c r="A53" s="47" t="s">
        <v>863</v>
      </c>
      <c r="B53" s="50">
        <v>2.6441817326884394E-2</v>
      </c>
      <c r="C53" s="50">
        <v>2.7766327111925044E-3</v>
      </c>
    </row>
    <row r="54" spans="1:3" x14ac:dyDescent="0.2">
      <c r="A54" s="47" t="s">
        <v>878</v>
      </c>
      <c r="B54" s="50">
        <v>1.7627878217922927E-3</v>
      </c>
      <c r="C54" s="50">
        <v>1.2616357197969667E-3</v>
      </c>
    </row>
    <row r="55" spans="1:3" x14ac:dyDescent="0.2">
      <c r="A55" s="47" t="s">
        <v>992</v>
      </c>
      <c r="B55" s="50">
        <v>1.4102302574338342E-3</v>
      </c>
      <c r="C55" s="50">
        <v>1.2823182725805234E-3</v>
      </c>
    </row>
    <row r="56" spans="1:3" x14ac:dyDescent="0.2">
      <c r="A56" s="47" t="s">
        <v>866</v>
      </c>
      <c r="B56" s="50">
        <v>1.4102302574338342E-3</v>
      </c>
      <c r="C56" s="50">
        <v>1.2823182725805234E-3</v>
      </c>
    </row>
    <row r="57" spans="1:3" x14ac:dyDescent="0.2">
      <c r="A57" s="47" t="s">
        <v>874</v>
      </c>
      <c r="B57" s="50">
        <v>1.0047890584216068E-2</v>
      </c>
      <c r="C57" s="50">
        <v>9.431244069301915E-3</v>
      </c>
    </row>
    <row r="58" spans="1:3" x14ac:dyDescent="0.2">
      <c r="A58" s="47" t="s">
        <v>973</v>
      </c>
      <c r="B58" s="50">
        <v>1.1751918811948618E-3</v>
      </c>
      <c r="C58" s="50">
        <v>6.4805332055144747E-4</v>
      </c>
    </row>
    <row r="59" spans="1:3" x14ac:dyDescent="0.2">
      <c r="A59" s="47" t="s">
        <v>926</v>
      </c>
      <c r="B59" s="50">
        <v>1.7627878217922927E-3</v>
      </c>
      <c r="C59" s="50">
        <v>0</v>
      </c>
    </row>
    <row r="60" spans="1:3" x14ac:dyDescent="0.2">
      <c r="A60" s="47" t="s">
        <v>975</v>
      </c>
      <c r="B60" s="50">
        <v>5.5892125869627628E-3</v>
      </c>
      <c r="C60" s="50">
        <v>8.0004526444724978E-4</v>
      </c>
    </row>
    <row r="61" spans="1:3" x14ac:dyDescent="0.2">
      <c r="A61" s="47" t="s">
        <v>876</v>
      </c>
      <c r="B61" s="50">
        <v>2.4679029505092095E-2</v>
      </c>
      <c r="C61" s="50">
        <v>4.3360971910726895E-2</v>
      </c>
    </row>
    <row r="62" spans="1:3" x14ac:dyDescent="0.2">
      <c r="A62" s="47" t="s">
        <v>883</v>
      </c>
      <c r="B62" s="50">
        <v>7.0511512871691707E-3</v>
      </c>
      <c r="C62" s="50">
        <v>9.9689904416743911E-4</v>
      </c>
    </row>
    <row r="63" spans="1:3" x14ac:dyDescent="0.2">
      <c r="A63" s="47" t="s">
        <v>976</v>
      </c>
      <c r="B63" s="50">
        <v>7.0511512871691707E-3</v>
      </c>
      <c r="C63" s="50">
        <v>0</v>
      </c>
    </row>
    <row r="64" spans="1:3" x14ac:dyDescent="0.2">
      <c r="A64" s="47" t="s">
        <v>875</v>
      </c>
      <c r="B64" s="50">
        <v>3.5960871564562777E-2</v>
      </c>
      <c r="C64" s="50">
        <v>6.3183130498487769E-2</v>
      </c>
    </row>
    <row r="65" spans="1:3" x14ac:dyDescent="0.2">
      <c r="A65" s="47" t="s">
        <v>994</v>
      </c>
      <c r="B65" s="50">
        <v>5.8759594059743089E-4</v>
      </c>
      <c r="C65" s="50">
        <v>1.9510541459155279E-4</v>
      </c>
    </row>
    <row r="66" spans="1:3" x14ac:dyDescent="0.2">
      <c r="A66" s="47" t="s">
        <v>909</v>
      </c>
      <c r="B66" s="50">
        <v>8.8139391089614634E-4</v>
      </c>
      <c r="C66" s="50">
        <v>2.2492276152118055E-4</v>
      </c>
    </row>
    <row r="67" spans="1:3" x14ac:dyDescent="0.2">
      <c r="A67" s="47" t="s">
        <v>937</v>
      </c>
      <c r="B67" s="50">
        <v>3.0296446697203536E-3</v>
      </c>
      <c r="C67" s="50">
        <v>7.1003962066219339E-4</v>
      </c>
    </row>
    <row r="68" spans="1:3" x14ac:dyDescent="0.2">
      <c r="A68" s="47" t="s">
        <v>854</v>
      </c>
      <c r="B68" s="50">
        <v>0.10506215417882064</v>
      </c>
      <c r="C68" s="50">
        <v>6.6872897915074298E-3</v>
      </c>
    </row>
    <row r="69" spans="1:3" x14ac:dyDescent="0.2">
      <c r="A69" s="47" t="s">
        <v>877</v>
      </c>
      <c r="B69" s="50">
        <v>2.8204605148676684E-3</v>
      </c>
      <c r="C69" s="50">
        <v>2.8707383263576881E-4</v>
      </c>
    </row>
    <row r="70" spans="1:3" x14ac:dyDescent="0.2">
      <c r="A70" s="47" t="s">
        <v>859</v>
      </c>
      <c r="B70" s="50">
        <v>3.7018544257638154E-2</v>
      </c>
      <c r="C70" s="50">
        <v>1.6732702265717065E-2</v>
      </c>
    </row>
    <row r="71" spans="1:3" x14ac:dyDescent="0.2">
      <c r="A71" s="47" t="s">
        <v>933</v>
      </c>
      <c r="B71" s="50">
        <v>7.5799876337068577E-3</v>
      </c>
      <c r="C71" s="50">
        <v>5.7363060145194868E-4</v>
      </c>
    </row>
    <row r="72" spans="1:3" x14ac:dyDescent="0.2">
      <c r="A72" s="47" t="s">
        <v>965</v>
      </c>
      <c r="B72" s="50">
        <v>6.316656361422382E-3</v>
      </c>
      <c r="C72" s="50">
        <v>4.7802550120995725E-4</v>
      </c>
    </row>
    <row r="73" spans="1:3" x14ac:dyDescent="0.2">
      <c r="A73" s="47" t="s">
        <v>869</v>
      </c>
      <c r="B73" s="50">
        <v>7.6681270247964742E-3</v>
      </c>
      <c r="C73" s="50">
        <v>1.9568280252342707E-3</v>
      </c>
    </row>
    <row r="74" spans="1:3" x14ac:dyDescent="0.2">
      <c r="A74" s="47" t="s">
        <v>907</v>
      </c>
      <c r="B74" s="50">
        <v>6.3460361584522533E-3</v>
      </c>
      <c r="C74" s="50">
        <v>1.6194438829524997E-3</v>
      </c>
    </row>
    <row r="75" spans="1:3" x14ac:dyDescent="0.2">
      <c r="A75" s="47" t="s">
        <v>860</v>
      </c>
      <c r="B75" s="50">
        <v>1.0224169366395298E-2</v>
      </c>
      <c r="C75" s="50">
        <v>2.0992791075310183E-3</v>
      </c>
    </row>
    <row r="76" spans="1:3" x14ac:dyDescent="0.2">
      <c r="A76" s="47" t="s">
        <v>981</v>
      </c>
      <c r="B76" s="50">
        <v>1.1751918811948618E-3</v>
      </c>
      <c r="C76" s="50">
        <v>3.9021082918310558E-4</v>
      </c>
    </row>
    <row r="77" spans="1:3" x14ac:dyDescent="0.2">
      <c r="A77" s="47" t="s">
        <v>989</v>
      </c>
      <c r="B77" s="50">
        <v>4.8523672774535849E-2</v>
      </c>
      <c r="C77" s="50">
        <v>3.7660632855498012E-2</v>
      </c>
    </row>
    <row r="78" spans="1:3" x14ac:dyDescent="0.2">
      <c r="A78" s="47" t="s">
        <v>1058</v>
      </c>
      <c r="B78" s="50">
        <v>3.5255756435845853E-3</v>
      </c>
      <c r="C78" s="50">
        <v>7.8283462285762609E-4</v>
      </c>
    </row>
    <row r="79" spans="1:3" x14ac:dyDescent="0.2">
      <c r="A79" s="47" t="s">
        <v>512</v>
      </c>
      <c r="B79" s="50">
        <v>3.5255756435845853E-3</v>
      </c>
      <c r="C79" s="50">
        <v>3.1230654703170817E-4</v>
      </c>
    </row>
    <row r="80" spans="1:3" x14ac:dyDescent="0.2">
      <c r="A80" s="47" t="s">
        <v>991</v>
      </c>
      <c r="B80" s="50">
        <v>5.1755450447821712E-3</v>
      </c>
      <c r="C80" s="50">
        <v>1.0253243174110483E-2</v>
      </c>
    </row>
    <row r="81" spans="1:3" x14ac:dyDescent="0.2">
      <c r="A81" s="47" t="s">
        <v>857</v>
      </c>
      <c r="B81" s="50">
        <v>8.108823980244545E-2</v>
      </c>
      <c r="C81" s="50">
        <v>1.1178919779512467E-2</v>
      </c>
    </row>
    <row r="82" spans="1:3" x14ac:dyDescent="0.2">
      <c r="A82" s="47" t="s">
        <v>855</v>
      </c>
      <c r="B82" s="50">
        <v>1.1192495511280692E-2</v>
      </c>
      <c r="C82" s="50">
        <v>4.2022414964300696E-3</v>
      </c>
    </row>
    <row r="83" spans="1:3" x14ac:dyDescent="0.2">
      <c r="A83" s="47" t="s">
        <v>892</v>
      </c>
      <c r="B83" s="50">
        <v>2.7981238778201731E-2</v>
      </c>
      <c r="C83" s="50">
        <v>1.0505603741075174E-2</v>
      </c>
    </row>
    <row r="84" spans="1:3" x14ac:dyDescent="0.2">
      <c r="A84" s="47" t="s">
        <v>913</v>
      </c>
      <c r="B84" s="50">
        <v>1.1192495511280695E-3</v>
      </c>
      <c r="C84" s="50">
        <v>4.2022414964300705E-4</v>
      </c>
    </row>
    <row r="85" spans="1:3" x14ac:dyDescent="0.2">
      <c r="A85" s="47" t="s">
        <v>872</v>
      </c>
      <c r="B85" s="50">
        <v>3.2720985067296658E-3</v>
      </c>
      <c r="C85" s="50">
        <v>3.2632428506444906E-4</v>
      </c>
    </row>
    <row r="86" spans="1:3" x14ac:dyDescent="0.2">
      <c r="A86" s="47" t="s">
        <v>985</v>
      </c>
      <c r="B86" s="50">
        <v>4.9945654950781628E-3</v>
      </c>
      <c r="C86" s="50">
        <v>5.0835991195917387E-4</v>
      </c>
    </row>
    <row r="87" spans="1:3" x14ac:dyDescent="0.2">
      <c r="A87" s="47" t="s">
        <v>873</v>
      </c>
      <c r="B87" s="50">
        <v>1.9766727441697576E-3</v>
      </c>
      <c r="C87" s="50">
        <v>4.5224469916525366E-4</v>
      </c>
    </row>
    <row r="88" spans="1:3" x14ac:dyDescent="0.2">
      <c r="A88" s="44" t="s">
        <v>1070</v>
      </c>
      <c r="B88" s="50">
        <v>1</v>
      </c>
      <c r="C88" s="50">
        <v>1</v>
      </c>
    </row>
  </sheetData>
  <phoneticPr fontId="12" type="noConversion"/>
  <pageMargins left="0.7" right="0.7" top="0.75" bottom="0.75" header="0.3" footer="0.3"/>
  <pageSetup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N245"/>
  <sheetViews>
    <sheetView workbookViewId="0">
      <pane ySplit="2" topLeftCell="A216" activePane="bottomLeft" state="frozen"/>
      <selection activeCell="A31" sqref="A31"/>
      <selection pane="bottomLeft" activeCell="A31" sqref="A31"/>
    </sheetView>
  </sheetViews>
  <sheetFormatPr baseColWidth="10" defaultRowHeight="16" x14ac:dyDescent="0.2"/>
  <cols>
    <col min="2" max="2" width="17.83203125" bestFit="1" customWidth="1"/>
    <col min="5" max="5" width="13.5" bestFit="1" customWidth="1"/>
    <col min="6" max="8" width="20" customWidth="1"/>
    <col min="10" max="10" width="11.83203125" customWidth="1"/>
    <col min="11" max="11" width="18.1640625" bestFit="1" customWidth="1"/>
    <col min="12" max="12" width="16" bestFit="1" customWidth="1"/>
  </cols>
  <sheetData>
    <row r="1" spans="1:14" x14ac:dyDescent="0.2">
      <c r="A1" s="94" t="s">
        <v>601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4" x14ac:dyDescent="0.2">
      <c r="A2" s="1" t="s">
        <v>0</v>
      </c>
      <c r="B2" s="1" t="s">
        <v>1</v>
      </c>
      <c r="C2" s="2" t="s">
        <v>172</v>
      </c>
      <c r="D2" s="2" t="s">
        <v>472</v>
      </c>
      <c r="E2" s="2" t="s">
        <v>173</v>
      </c>
      <c r="F2" s="3" t="s">
        <v>4</v>
      </c>
      <c r="G2" s="3" t="s">
        <v>780</v>
      </c>
      <c r="H2" s="3" t="s">
        <v>934</v>
      </c>
      <c r="I2" s="3" t="s">
        <v>5</v>
      </c>
      <c r="J2" s="3" t="s">
        <v>6</v>
      </c>
      <c r="K2" s="1" t="s">
        <v>7</v>
      </c>
      <c r="L2" s="1" t="s">
        <v>8</v>
      </c>
    </row>
    <row r="3" spans="1:14" x14ac:dyDescent="0.2">
      <c r="A3" s="4">
        <v>43483</v>
      </c>
      <c r="B3" t="s">
        <v>538</v>
      </c>
      <c r="C3">
        <v>1</v>
      </c>
      <c r="D3">
        <v>12</v>
      </c>
      <c r="E3">
        <v>1</v>
      </c>
      <c r="F3" t="s">
        <v>426</v>
      </c>
      <c r="G3" t="s">
        <v>929</v>
      </c>
      <c r="H3" s="6" t="s">
        <v>1071</v>
      </c>
      <c r="I3">
        <f t="shared" ref="I3:I66" si="0">C3*D3*E3</f>
        <v>12</v>
      </c>
      <c r="J3">
        <f t="shared" ref="J3:J66" si="1">CONVERT(I3,"lbm","kg")</f>
        <v>5.4431084400000005</v>
      </c>
      <c r="K3">
        <v>0.39300000000000002</v>
      </c>
      <c r="L3">
        <f t="shared" ref="L3:L66" si="2">K3*J3</f>
        <v>2.1391416169200004</v>
      </c>
    </row>
    <row r="4" spans="1:14" x14ac:dyDescent="0.2">
      <c r="A4" s="4">
        <v>43486</v>
      </c>
      <c r="B4" t="s">
        <v>538</v>
      </c>
      <c r="C4">
        <v>1</v>
      </c>
      <c r="D4">
        <v>12</v>
      </c>
      <c r="E4">
        <v>1</v>
      </c>
      <c r="F4" t="s">
        <v>426</v>
      </c>
      <c r="G4" t="s">
        <v>929</v>
      </c>
      <c r="H4" s="6" t="s">
        <v>1071</v>
      </c>
      <c r="I4">
        <f t="shared" si="0"/>
        <v>12</v>
      </c>
      <c r="J4">
        <f t="shared" si="1"/>
        <v>5.4431084400000005</v>
      </c>
      <c r="K4">
        <v>0.39300000000000002</v>
      </c>
      <c r="L4">
        <f t="shared" si="2"/>
        <v>2.1391416169200004</v>
      </c>
    </row>
    <row r="5" spans="1:14" x14ac:dyDescent="0.2">
      <c r="A5" s="4">
        <v>43483</v>
      </c>
      <c r="B5" t="s">
        <v>538</v>
      </c>
      <c r="C5">
        <v>1</v>
      </c>
      <c r="D5">
        <v>6</v>
      </c>
      <c r="E5">
        <v>10</v>
      </c>
      <c r="F5" t="s">
        <v>655</v>
      </c>
      <c r="G5" t="s">
        <v>844</v>
      </c>
      <c r="H5" s="6" t="s">
        <v>1071</v>
      </c>
      <c r="I5">
        <f t="shared" si="0"/>
        <v>60</v>
      </c>
      <c r="J5">
        <f t="shared" si="1"/>
        <v>27.215542200000002</v>
      </c>
      <c r="K5">
        <v>0.308</v>
      </c>
      <c r="L5">
        <f t="shared" si="2"/>
        <v>8.3823869976000012</v>
      </c>
      <c r="M5" s="8"/>
      <c r="N5" s="8"/>
    </row>
    <row r="6" spans="1:14" x14ac:dyDescent="0.2">
      <c r="A6" s="4">
        <v>43483</v>
      </c>
      <c r="B6" t="s">
        <v>538</v>
      </c>
      <c r="C6">
        <v>3</v>
      </c>
      <c r="D6">
        <v>6</v>
      </c>
      <c r="E6">
        <v>10</v>
      </c>
      <c r="F6" t="s">
        <v>420</v>
      </c>
      <c r="G6" t="s">
        <v>898</v>
      </c>
      <c r="H6" s="6" t="s">
        <v>1071</v>
      </c>
      <c r="I6">
        <f t="shared" si="0"/>
        <v>180</v>
      </c>
      <c r="J6">
        <f t="shared" si="1"/>
        <v>81.646626600000005</v>
      </c>
      <c r="K6">
        <v>0.308</v>
      </c>
      <c r="L6">
        <f t="shared" si="2"/>
        <v>25.1471609928</v>
      </c>
      <c r="M6" s="8"/>
      <c r="N6" s="8"/>
    </row>
    <row r="7" spans="1:14" x14ac:dyDescent="0.2">
      <c r="A7" s="4">
        <v>43483</v>
      </c>
      <c r="B7" t="s">
        <v>538</v>
      </c>
      <c r="C7">
        <v>1</v>
      </c>
      <c r="D7">
        <v>1</v>
      </c>
      <c r="E7">
        <v>20</v>
      </c>
      <c r="F7" t="s">
        <v>665</v>
      </c>
      <c r="G7" t="s">
        <v>979</v>
      </c>
      <c r="H7" s="6" t="s">
        <v>1071</v>
      </c>
      <c r="I7">
        <f t="shared" si="0"/>
        <v>20</v>
      </c>
      <c r="J7">
        <f t="shared" si="1"/>
        <v>9.0718474000000011</v>
      </c>
      <c r="K7">
        <v>0.308</v>
      </c>
      <c r="L7">
        <f t="shared" si="2"/>
        <v>2.7941289992000002</v>
      </c>
      <c r="M7" s="8"/>
      <c r="N7" s="8"/>
    </row>
    <row r="8" spans="1:14" x14ac:dyDescent="0.2">
      <c r="A8" s="4">
        <v>43483</v>
      </c>
      <c r="B8" t="s">
        <v>538</v>
      </c>
      <c r="C8">
        <v>1</v>
      </c>
      <c r="D8">
        <v>1</v>
      </c>
      <c r="E8">
        <v>20</v>
      </c>
      <c r="F8" t="s">
        <v>437</v>
      </c>
      <c r="G8" t="s">
        <v>974</v>
      </c>
      <c r="H8" s="6" t="s">
        <v>1071</v>
      </c>
      <c r="I8">
        <f t="shared" si="0"/>
        <v>20</v>
      </c>
      <c r="J8">
        <f t="shared" si="1"/>
        <v>9.0718474000000011</v>
      </c>
      <c r="K8">
        <v>0.308</v>
      </c>
      <c r="L8">
        <f t="shared" si="2"/>
        <v>2.7941289992000002</v>
      </c>
      <c r="M8" s="8"/>
      <c r="N8" s="8"/>
    </row>
    <row r="9" spans="1:14" x14ac:dyDescent="0.2">
      <c r="A9" s="4">
        <v>43486</v>
      </c>
      <c r="B9" t="s">
        <v>538</v>
      </c>
      <c r="C9">
        <v>1</v>
      </c>
      <c r="D9">
        <v>1</v>
      </c>
      <c r="E9">
        <v>20</v>
      </c>
      <c r="F9" t="s">
        <v>437</v>
      </c>
      <c r="G9" t="s">
        <v>974</v>
      </c>
      <c r="H9" s="6" t="s">
        <v>1071</v>
      </c>
      <c r="I9">
        <f t="shared" si="0"/>
        <v>20</v>
      </c>
      <c r="J9">
        <f t="shared" si="1"/>
        <v>9.0718474000000011</v>
      </c>
      <c r="K9">
        <v>0.308</v>
      </c>
      <c r="L9">
        <f t="shared" si="2"/>
        <v>2.7941289992000002</v>
      </c>
    </row>
    <row r="10" spans="1:14" x14ac:dyDescent="0.2">
      <c r="A10" s="4">
        <v>43483</v>
      </c>
      <c r="B10" t="s">
        <v>538</v>
      </c>
      <c r="C10">
        <v>1</v>
      </c>
      <c r="D10">
        <v>1</v>
      </c>
      <c r="E10">
        <v>20</v>
      </c>
      <c r="F10" t="s">
        <v>658</v>
      </c>
      <c r="G10" t="s">
        <v>922</v>
      </c>
      <c r="H10" s="6" t="s">
        <v>1071</v>
      </c>
      <c r="I10">
        <f t="shared" si="0"/>
        <v>20</v>
      </c>
      <c r="J10">
        <f t="shared" si="1"/>
        <v>9.0718474000000011</v>
      </c>
      <c r="K10">
        <v>0.308</v>
      </c>
      <c r="L10">
        <f t="shared" si="2"/>
        <v>2.7941289992000002</v>
      </c>
    </row>
    <row r="11" spans="1:14" x14ac:dyDescent="0.2">
      <c r="A11" s="4">
        <v>43488</v>
      </c>
      <c r="B11" t="s">
        <v>538</v>
      </c>
      <c r="C11">
        <v>1</v>
      </c>
      <c r="D11">
        <v>1</v>
      </c>
      <c r="E11">
        <v>20</v>
      </c>
      <c r="F11" t="s">
        <v>658</v>
      </c>
      <c r="G11" t="s">
        <v>922</v>
      </c>
      <c r="H11" s="6" t="s">
        <v>1071</v>
      </c>
      <c r="I11">
        <f t="shared" si="0"/>
        <v>20</v>
      </c>
      <c r="J11">
        <f t="shared" si="1"/>
        <v>9.0718474000000011</v>
      </c>
      <c r="K11">
        <v>0.308</v>
      </c>
      <c r="L11">
        <f t="shared" si="2"/>
        <v>2.7941289992000002</v>
      </c>
    </row>
    <row r="12" spans="1:14" x14ac:dyDescent="0.2">
      <c r="A12" s="4">
        <v>43483</v>
      </c>
      <c r="B12" t="s">
        <v>538</v>
      </c>
      <c r="C12">
        <v>1</v>
      </c>
      <c r="D12">
        <v>1</v>
      </c>
      <c r="E12">
        <v>20</v>
      </c>
      <c r="F12" t="s">
        <v>591</v>
      </c>
      <c r="G12" t="s">
        <v>972</v>
      </c>
      <c r="H12" s="6" t="s">
        <v>1071</v>
      </c>
      <c r="I12">
        <f t="shared" si="0"/>
        <v>20</v>
      </c>
      <c r="J12">
        <f t="shared" si="1"/>
        <v>9.0718474000000011</v>
      </c>
      <c r="K12">
        <v>0.308</v>
      </c>
      <c r="L12">
        <f t="shared" si="2"/>
        <v>2.7941289992000002</v>
      </c>
    </row>
    <row r="13" spans="1:14" x14ac:dyDescent="0.2">
      <c r="A13" s="4">
        <v>43486</v>
      </c>
      <c r="B13" t="s">
        <v>538</v>
      </c>
      <c r="C13">
        <v>1</v>
      </c>
      <c r="D13">
        <v>6</v>
      </c>
      <c r="E13">
        <v>10</v>
      </c>
      <c r="F13" t="s">
        <v>420</v>
      </c>
      <c r="G13" t="s">
        <v>984</v>
      </c>
      <c r="H13" s="6" t="s">
        <v>1071</v>
      </c>
      <c r="I13">
        <f t="shared" si="0"/>
        <v>60</v>
      </c>
      <c r="J13">
        <f t="shared" si="1"/>
        <v>27.215542200000002</v>
      </c>
      <c r="K13">
        <v>0.308</v>
      </c>
      <c r="L13">
        <f t="shared" si="2"/>
        <v>8.3823869976000012</v>
      </c>
    </row>
    <row r="14" spans="1:14" x14ac:dyDescent="0.2">
      <c r="A14" s="4">
        <v>43483</v>
      </c>
      <c r="B14" t="s">
        <v>538</v>
      </c>
      <c r="C14">
        <v>1</v>
      </c>
      <c r="D14">
        <v>6</v>
      </c>
      <c r="E14">
        <f>2/16</f>
        <v>0.125</v>
      </c>
      <c r="F14" t="s">
        <v>657</v>
      </c>
      <c r="G14" s="6" t="s">
        <v>930</v>
      </c>
      <c r="H14" s="6" t="s">
        <v>1071</v>
      </c>
      <c r="I14">
        <f t="shared" si="0"/>
        <v>0.75</v>
      </c>
      <c r="J14">
        <f t="shared" si="1"/>
        <v>0.34019427750000003</v>
      </c>
      <c r="K14">
        <v>0.48199999999999998</v>
      </c>
      <c r="L14">
        <f t="shared" si="2"/>
        <v>0.16397364175500001</v>
      </c>
    </row>
    <row r="15" spans="1:14" x14ac:dyDescent="0.2">
      <c r="A15" s="4">
        <v>43483</v>
      </c>
      <c r="B15" t="s">
        <v>538</v>
      </c>
      <c r="C15">
        <v>2</v>
      </c>
      <c r="D15">
        <v>4</v>
      </c>
      <c r="E15">
        <f>40/16</f>
        <v>2.5</v>
      </c>
      <c r="F15" t="s">
        <v>436</v>
      </c>
      <c r="G15" s="9" t="s">
        <v>861</v>
      </c>
      <c r="H15" s="6" t="s">
        <v>1071</v>
      </c>
      <c r="I15">
        <f t="shared" si="0"/>
        <v>20</v>
      </c>
      <c r="J15">
        <f t="shared" si="1"/>
        <v>9.0718474000000011</v>
      </c>
      <c r="K15">
        <v>1.61</v>
      </c>
      <c r="L15">
        <f t="shared" si="2"/>
        <v>14.605674314000003</v>
      </c>
    </row>
    <row r="16" spans="1:14" x14ac:dyDescent="0.2">
      <c r="A16" s="4">
        <v>43483</v>
      </c>
      <c r="B16" t="s">
        <v>538</v>
      </c>
      <c r="C16">
        <v>1</v>
      </c>
      <c r="D16">
        <v>4</v>
      </c>
      <c r="E16">
        <f>35/16</f>
        <v>2.1875</v>
      </c>
      <c r="F16" t="s">
        <v>470</v>
      </c>
      <c r="G16" s="9" t="s">
        <v>861</v>
      </c>
      <c r="H16" s="6" t="s">
        <v>1071</v>
      </c>
      <c r="I16">
        <f t="shared" si="0"/>
        <v>8.75</v>
      </c>
      <c r="J16">
        <f t="shared" si="1"/>
        <v>3.9689332375000004</v>
      </c>
      <c r="K16">
        <v>1.61</v>
      </c>
      <c r="L16">
        <f t="shared" si="2"/>
        <v>6.3899825123750009</v>
      </c>
    </row>
    <row r="17" spans="1:14" x14ac:dyDescent="0.2">
      <c r="A17" s="4">
        <v>43483</v>
      </c>
      <c r="B17" t="s">
        <v>538</v>
      </c>
      <c r="C17">
        <v>2</v>
      </c>
      <c r="D17">
        <v>4</v>
      </c>
      <c r="E17">
        <f>45/16</f>
        <v>2.8125</v>
      </c>
      <c r="F17" t="s">
        <v>548</v>
      </c>
      <c r="G17" s="9" t="s">
        <v>861</v>
      </c>
      <c r="H17" s="6" t="s">
        <v>1071</v>
      </c>
      <c r="I17">
        <f t="shared" si="0"/>
        <v>22.5</v>
      </c>
      <c r="J17">
        <f t="shared" si="1"/>
        <v>10.205828325000001</v>
      </c>
      <c r="K17">
        <v>1.61</v>
      </c>
      <c r="L17">
        <f t="shared" si="2"/>
        <v>16.431383603250001</v>
      </c>
    </row>
    <row r="18" spans="1:14" x14ac:dyDescent="0.2">
      <c r="A18" s="4">
        <v>43483</v>
      </c>
      <c r="B18" t="s">
        <v>538</v>
      </c>
      <c r="C18">
        <v>1</v>
      </c>
      <c r="D18">
        <v>12</v>
      </c>
      <c r="E18">
        <f>47/16</f>
        <v>2.9375</v>
      </c>
      <c r="F18" t="s">
        <v>444</v>
      </c>
      <c r="G18" t="s">
        <v>861</v>
      </c>
      <c r="H18" s="6" t="s">
        <v>1071</v>
      </c>
      <c r="I18">
        <f t="shared" si="0"/>
        <v>35.25</v>
      </c>
      <c r="J18">
        <f t="shared" si="1"/>
        <v>15.989131042500002</v>
      </c>
      <c r="K18">
        <v>1.61</v>
      </c>
      <c r="L18">
        <f t="shared" si="2"/>
        <v>25.742500978425007</v>
      </c>
    </row>
    <row r="19" spans="1:14" x14ac:dyDescent="0.2">
      <c r="A19" s="4">
        <v>43483</v>
      </c>
      <c r="B19" t="s">
        <v>538</v>
      </c>
      <c r="C19">
        <v>2</v>
      </c>
      <c r="D19">
        <v>4</v>
      </c>
      <c r="E19">
        <f>50/16</f>
        <v>3.125</v>
      </c>
      <c r="F19" t="s">
        <v>453</v>
      </c>
      <c r="G19" t="s">
        <v>861</v>
      </c>
      <c r="H19" s="6" t="s">
        <v>1071</v>
      </c>
      <c r="I19">
        <f t="shared" si="0"/>
        <v>25</v>
      </c>
      <c r="J19">
        <f t="shared" si="1"/>
        <v>11.33980925</v>
      </c>
      <c r="K19">
        <v>1.61</v>
      </c>
      <c r="L19">
        <f t="shared" si="2"/>
        <v>18.257092892500001</v>
      </c>
    </row>
    <row r="20" spans="1:14" x14ac:dyDescent="0.2">
      <c r="A20" s="4">
        <v>43486</v>
      </c>
      <c r="B20" t="s">
        <v>538</v>
      </c>
      <c r="C20">
        <v>2</v>
      </c>
      <c r="D20">
        <v>4</v>
      </c>
      <c r="E20">
        <f>29/16</f>
        <v>1.8125</v>
      </c>
      <c r="F20" t="s">
        <v>575</v>
      </c>
      <c r="G20" t="s">
        <v>861</v>
      </c>
      <c r="H20" s="6" t="s">
        <v>1071</v>
      </c>
      <c r="I20">
        <f t="shared" si="0"/>
        <v>14.5</v>
      </c>
      <c r="J20">
        <f t="shared" si="1"/>
        <v>6.577089365</v>
      </c>
      <c r="K20">
        <v>1.61</v>
      </c>
      <c r="L20">
        <f t="shared" si="2"/>
        <v>10.58911387765</v>
      </c>
    </row>
    <row r="21" spans="1:14" s="8" customFormat="1" x14ac:dyDescent="0.2">
      <c r="A21" s="4">
        <v>43486</v>
      </c>
      <c r="B21" t="s">
        <v>538</v>
      </c>
      <c r="C21">
        <v>3</v>
      </c>
      <c r="D21">
        <v>4</v>
      </c>
      <c r="E21">
        <f>40/16</f>
        <v>2.5</v>
      </c>
      <c r="F21" t="s">
        <v>436</v>
      </c>
      <c r="G21" t="s">
        <v>861</v>
      </c>
      <c r="H21" s="6" t="s">
        <v>1071</v>
      </c>
      <c r="I21">
        <f t="shared" si="0"/>
        <v>30</v>
      </c>
      <c r="J21">
        <f t="shared" si="1"/>
        <v>13.607771100000001</v>
      </c>
      <c r="K21">
        <v>1.61</v>
      </c>
      <c r="L21">
        <f t="shared" si="2"/>
        <v>21.908511471000004</v>
      </c>
      <c r="M21"/>
      <c r="N21"/>
    </row>
    <row r="22" spans="1:14" s="8" customFormat="1" x14ac:dyDescent="0.2">
      <c r="A22" s="4">
        <v>43486</v>
      </c>
      <c r="B22" t="s">
        <v>538</v>
      </c>
      <c r="C22">
        <v>2</v>
      </c>
      <c r="D22">
        <v>4</v>
      </c>
      <c r="E22">
        <f>35/16</f>
        <v>2.1875</v>
      </c>
      <c r="F22" t="s">
        <v>470</v>
      </c>
      <c r="G22" t="s">
        <v>861</v>
      </c>
      <c r="H22" s="6" t="s">
        <v>1071</v>
      </c>
      <c r="I22">
        <f t="shared" si="0"/>
        <v>17.5</v>
      </c>
      <c r="J22">
        <f t="shared" si="1"/>
        <v>7.9378664750000008</v>
      </c>
      <c r="K22">
        <v>1.61</v>
      </c>
      <c r="L22">
        <f t="shared" si="2"/>
        <v>12.779965024750002</v>
      </c>
      <c r="M22"/>
      <c r="N22"/>
    </row>
    <row r="23" spans="1:14" s="8" customFormat="1" x14ac:dyDescent="0.2">
      <c r="A23" s="4">
        <v>43486</v>
      </c>
      <c r="B23" t="s">
        <v>538</v>
      </c>
      <c r="C23">
        <v>2</v>
      </c>
      <c r="D23">
        <v>4</v>
      </c>
      <c r="E23">
        <f>35/16</f>
        <v>2.1875</v>
      </c>
      <c r="F23" t="s">
        <v>580</v>
      </c>
      <c r="G23" t="s">
        <v>861</v>
      </c>
      <c r="H23" s="6" t="s">
        <v>1071</v>
      </c>
      <c r="I23">
        <f t="shared" si="0"/>
        <v>17.5</v>
      </c>
      <c r="J23">
        <f t="shared" si="1"/>
        <v>7.9378664750000008</v>
      </c>
      <c r="K23">
        <v>1.61</v>
      </c>
      <c r="L23">
        <f t="shared" si="2"/>
        <v>12.779965024750002</v>
      </c>
      <c r="M23"/>
      <c r="N23"/>
    </row>
    <row r="24" spans="1:14" s="8" customFormat="1" x14ac:dyDescent="0.2">
      <c r="A24" s="4">
        <v>43486</v>
      </c>
      <c r="B24" t="s">
        <v>538</v>
      </c>
      <c r="C24">
        <v>1</v>
      </c>
      <c r="D24">
        <v>4</v>
      </c>
      <c r="E24">
        <f>50/16</f>
        <v>3.125</v>
      </c>
      <c r="F24" t="s">
        <v>453</v>
      </c>
      <c r="G24" t="s">
        <v>861</v>
      </c>
      <c r="H24" s="6" t="s">
        <v>1071</v>
      </c>
      <c r="I24">
        <f t="shared" si="0"/>
        <v>12.5</v>
      </c>
      <c r="J24">
        <f t="shared" si="1"/>
        <v>5.669904625</v>
      </c>
      <c r="K24">
        <v>1.61</v>
      </c>
      <c r="L24">
        <f t="shared" si="2"/>
        <v>9.1285464462500006</v>
      </c>
      <c r="M24"/>
      <c r="N24"/>
    </row>
    <row r="25" spans="1:14" s="8" customFormat="1" x14ac:dyDescent="0.2">
      <c r="A25" s="4">
        <v>43488</v>
      </c>
      <c r="B25" t="s">
        <v>538</v>
      </c>
      <c r="C25">
        <v>1</v>
      </c>
      <c r="D25">
        <v>4</v>
      </c>
      <c r="E25">
        <f>40/16</f>
        <v>2.5</v>
      </c>
      <c r="F25" t="s">
        <v>436</v>
      </c>
      <c r="G25" t="s">
        <v>861</v>
      </c>
      <c r="H25" s="6" t="s">
        <v>1071</v>
      </c>
      <c r="I25">
        <f t="shared" si="0"/>
        <v>10</v>
      </c>
      <c r="J25">
        <f t="shared" si="1"/>
        <v>4.5359237000000006</v>
      </c>
      <c r="K25">
        <v>1.61</v>
      </c>
      <c r="L25">
        <f t="shared" si="2"/>
        <v>7.3028371570000017</v>
      </c>
      <c r="M25"/>
      <c r="N25"/>
    </row>
    <row r="26" spans="1:14" x14ac:dyDescent="0.2">
      <c r="A26" s="4">
        <v>43488</v>
      </c>
      <c r="B26" t="s">
        <v>538</v>
      </c>
      <c r="C26">
        <v>2</v>
      </c>
      <c r="D26">
        <v>4</v>
      </c>
      <c r="E26">
        <f>45/16</f>
        <v>2.8125</v>
      </c>
      <c r="F26" t="s">
        <v>548</v>
      </c>
      <c r="G26" t="s">
        <v>861</v>
      </c>
      <c r="H26" s="6" t="s">
        <v>1071</v>
      </c>
      <c r="I26">
        <f t="shared" si="0"/>
        <v>22.5</v>
      </c>
      <c r="J26">
        <f t="shared" si="1"/>
        <v>10.205828325000001</v>
      </c>
      <c r="K26">
        <v>1.61</v>
      </c>
      <c r="L26">
        <f t="shared" si="2"/>
        <v>16.431383603250001</v>
      </c>
    </row>
    <row r="27" spans="1:14" x14ac:dyDescent="0.2">
      <c r="A27" s="4">
        <v>43488</v>
      </c>
      <c r="B27" t="s">
        <v>538</v>
      </c>
      <c r="C27">
        <v>1</v>
      </c>
      <c r="D27">
        <v>4</v>
      </c>
      <c r="E27">
        <f>50/16</f>
        <v>3.125</v>
      </c>
      <c r="F27" t="s">
        <v>453</v>
      </c>
      <c r="G27" t="s">
        <v>861</v>
      </c>
      <c r="H27" s="6" t="s">
        <v>1071</v>
      </c>
      <c r="I27">
        <f t="shared" si="0"/>
        <v>12.5</v>
      </c>
      <c r="J27">
        <f t="shared" si="1"/>
        <v>5.669904625</v>
      </c>
      <c r="K27">
        <v>1.61</v>
      </c>
      <c r="L27">
        <f t="shared" si="2"/>
        <v>9.1285464462500006</v>
      </c>
    </row>
    <row r="28" spans="1:14" x14ac:dyDescent="0.2">
      <c r="A28" s="4">
        <v>43483</v>
      </c>
      <c r="B28" t="s">
        <v>538</v>
      </c>
      <c r="C28">
        <v>3</v>
      </c>
      <c r="D28">
        <v>6</v>
      </c>
      <c r="E28">
        <v>10</v>
      </c>
      <c r="F28" t="s">
        <v>539</v>
      </c>
      <c r="G28" t="s">
        <v>896</v>
      </c>
      <c r="H28" s="6" t="s">
        <v>1071</v>
      </c>
      <c r="I28">
        <f t="shared" si="0"/>
        <v>180</v>
      </c>
      <c r="J28">
        <f t="shared" si="1"/>
        <v>81.646626600000005</v>
      </c>
      <c r="K28">
        <v>0.49099999999999999</v>
      </c>
      <c r="L28">
        <f t="shared" si="2"/>
        <v>40.088493660600001</v>
      </c>
    </row>
    <row r="29" spans="1:14" x14ac:dyDescent="0.2">
      <c r="A29" s="4">
        <v>43486</v>
      </c>
      <c r="B29" t="s">
        <v>538</v>
      </c>
      <c r="C29">
        <v>3</v>
      </c>
      <c r="D29">
        <v>6</v>
      </c>
      <c r="E29">
        <v>10</v>
      </c>
      <c r="F29" t="s">
        <v>539</v>
      </c>
      <c r="G29" t="s">
        <v>896</v>
      </c>
      <c r="H29" s="6" t="s">
        <v>1071</v>
      </c>
      <c r="I29">
        <f t="shared" si="0"/>
        <v>180</v>
      </c>
      <c r="J29">
        <f t="shared" si="1"/>
        <v>81.646626600000005</v>
      </c>
      <c r="K29">
        <v>0.49099999999999999</v>
      </c>
      <c r="L29">
        <f t="shared" si="2"/>
        <v>40.088493660600001</v>
      </c>
    </row>
    <row r="30" spans="1:14" x14ac:dyDescent="0.2">
      <c r="A30" s="4">
        <v>43488</v>
      </c>
      <c r="B30" t="s">
        <v>538</v>
      </c>
      <c r="C30">
        <v>3</v>
      </c>
      <c r="D30">
        <v>6</v>
      </c>
      <c r="E30">
        <v>10</v>
      </c>
      <c r="F30" t="s">
        <v>539</v>
      </c>
      <c r="G30" t="s">
        <v>896</v>
      </c>
      <c r="H30" s="6" t="s">
        <v>1071</v>
      </c>
      <c r="I30">
        <f t="shared" si="0"/>
        <v>180</v>
      </c>
      <c r="J30">
        <f t="shared" si="1"/>
        <v>81.646626600000005</v>
      </c>
      <c r="K30">
        <v>0.49099999999999999</v>
      </c>
      <c r="L30">
        <f t="shared" si="2"/>
        <v>40.088493660600001</v>
      </c>
    </row>
    <row r="31" spans="1:14" x14ac:dyDescent="0.2">
      <c r="A31" s="4">
        <v>43483</v>
      </c>
      <c r="B31" t="s">
        <v>538</v>
      </c>
      <c r="C31">
        <v>1</v>
      </c>
      <c r="D31">
        <v>6</v>
      </c>
      <c r="E31" t="s">
        <v>422</v>
      </c>
      <c r="F31" t="s">
        <v>423</v>
      </c>
      <c r="G31" s="14" t="s">
        <v>971</v>
      </c>
      <c r="H31" s="6" t="s">
        <v>1071</v>
      </c>
      <c r="I31">
        <v>0</v>
      </c>
      <c r="J31">
        <f t="shared" si="1"/>
        <v>0</v>
      </c>
      <c r="K31">
        <v>33.646999999999998</v>
      </c>
      <c r="L31">
        <f t="shared" si="2"/>
        <v>0</v>
      </c>
    </row>
    <row r="32" spans="1:14" x14ac:dyDescent="0.2">
      <c r="A32" s="4">
        <v>43483</v>
      </c>
      <c r="B32" t="s">
        <v>538</v>
      </c>
      <c r="C32">
        <v>1</v>
      </c>
      <c r="D32">
        <v>12</v>
      </c>
      <c r="E32">
        <f>25/16</f>
        <v>1.5625</v>
      </c>
      <c r="F32" t="s">
        <v>449</v>
      </c>
      <c r="G32" t="s">
        <v>980</v>
      </c>
      <c r="H32" s="6" t="s">
        <v>1071</v>
      </c>
      <c r="I32">
        <f t="shared" si="0"/>
        <v>18.75</v>
      </c>
      <c r="J32">
        <f t="shared" si="1"/>
        <v>8.5048569375000014</v>
      </c>
      <c r="K32" s="9">
        <v>3.33</v>
      </c>
      <c r="L32">
        <f t="shared" si="2"/>
        <v>28.321173601875007</v>
      </c>
    </row>
    <row r="33" spans="1:12" x14ac:dyDescent="0.2">
      <c r="A33" s="4">
        <v>43483</v>
      </c>
      <c r="B33" t="s">
        <v>538</v>
      </c>
      <c r="C33">
        <v>1</v>
      </c>
      <c r="D33">
        <v>4</v>
      </c>
      <c r="E33">
        <v>8.35</v>
      </c>
      <c r="F33" t="s">
        <v>584</v>
      </c>
      <c r="G33" t="s">
        <v>980</v>
      </c>
      <c r="H33" s="6" t="s">
        <v>1071</v>
      </c>
      <c r="I33">
        <f t="shared" si="0"/>
        <v>33.4</v>
      </c>
      <c r="J33">
        <f t="shared" si="1"/>
        <v>15.149985158</v>
      </c>
      <c r="K33" s="9">
        <v>3.33</v>
      </c>
      <c r="L33">
        <f t="shared" si="2"/>
        <v>50.449450576140002</v>
      </c>
    </row>
    <row r="34" spans="1:12" x14ac:dyDescent="0.2">
      <c r="A34" s="4">
        <v>43483</v>
      </c>
      <c r="B34" t="s">
        <v>538</v>
      </c>
      <c r="C34">
        <v>1</v>
      </c>
      <c r="D34">
        <v>12</v>
      </c>
      <c r="E34">
        <f>17/16</f>
        <v>1.0625</v>
      </c>
      <c r="F34" t="s">
        <v>460</v>
      </c>
      <c r="G34" t="s">
        <v>980</v>
      </c>
      <c r="H34" s="6" t="s">
        <v>1071</v>
      </c>
      <c r="I34">
        <f t="shared" si="0"/>
        <v>12.75</v>
      </c>
      <c r="J34">
        <f t="shared" si="1"/>
        <v>5.7833027175000007</v>
      </c>
      <c r="K34" s="9">
        <v>3.33</v>
      </c>
      <c r="L34">
        <f t="shared" si="2"/>
        <v>19.258398049275002</v>
      </c>
    </row>
    <row r="35" spans="1:12" x14ac:dyDescent="0.2">
      <c r="A35" s="4">
        <v>43483</v>
      </c>
      <c r="B35" t="s">
        <v>538</v>
      </c>
      <c r="C35">
        <v>1</v>
      </c>
      <c r="D35">
        <v>6</v>
      </c>
      <c r="E35">
        <f>7+(2/16)</f>
        <v>7.125</v>
      </c>
      <c r="F35" t="s">
        <v>1007</v>
      </c>
      <c r="G35" t="s">
        <v>980</v>
      </c>
      <c r="H35" s="6" t="s">
        <v>1071</v>
      </c>
      <c r="I35">
        <f t="shared" si="0"/>
        <v>42.75</v>
      </c>
      <c r="J35">
        <f t="shared" si="1"/>
        <v>19.391073817500001</v>
      </c>
      <c r="K35" s="9">
        <v>3.33</v>
      </c>
      <c r="L35">
        <f t="shared" si="2"/>
        <v>64.572275812275009</v>
      </c>
    </row>
    <row r="36" spans="1:12" x14ac:dyDescent="0.2">
      <c r="A36" s="4">
        <v>43484</v>
      </c>
      <c r="B36" t="s">
        <v>538</v>
      </c>
      <c r="C36">
        <v>1</v>
      </c>
      <c r="D36">
        <v>24</v>
      </c>
      <c r="E36">
        <f>5/16</f>
        <v>0.3125</v>
      </c>
      <c r="F36" t="s">
        <v>585</v>
      </c>
      <c r="G36" t="s">
        <v>980</v>
      </c>
      <c r="H36" s="6" t="s">
        <v>1071</v>
      </c>
      <c r="I36">
        <f t="shared" si="0"/>
        <v>7.5</v>
      </c>
      <c r="J36">
        <f t="shared" si="1"/>
        <v>3.4019427750000002</v>
      </c>
      <c r="K36" s="9">
        <v>3.33</v>
      </c>
      <c r="L36">
        <f t="shared" si="2"/>
        <v>11.32846944075</v>
      </c>
    </row>
    <row r="37" spans="1:12" x14ac:dyDescent="0.2">
      <c r="A37" s="4">
        <v>43484</v>
      </c>
      <c r="B37" t="s">
        <v>538</v>
      </c>
      <c r="C37">
        <v>1</v>
      </c>
      <c r="D37">
        <v>12</v>
      </c>
      <c r="E37">
        <f>25/16</f>
        <v>1.5625</v>
      </c>
      <c r="F37" t="s">
        <v>449</v>
      </c>
      <c r="G37" t="s">
        <v>980</v>
      </c>
      <c r="H37" s="6" t="s">
        <v>1071</v>
      </c>
      <c r="I37">
        <f t="shared" si="0"/>
        <v>18.75</v>
      </c>
      <c r="J37">
        <f t="shared" si="1"/>
        <v>8.5048569375000014</v>
      </c>
      <c r="K37" s="9">
        <v>3.33</v>
      </c>
      <c r="L37">
        <f t="shared" si="2"/>
        <v>28.321173601875007</v>
      </c>
    </row>
    <row r="38" spans="1:12" x14ac:dyDescent="0.2">
      <c r="A38" s="4">
        <v>43486</v>
      </c>
      <c r="B38" t="s">
        <v>538</v>
      </c>
      <c r="C38">
        <v>1</v>
      </c>
      <c r="D38">
        <v>6</v>
      </c>
      <c r="E38">
        <v>4.1887800000000004</v>
      </c>
      <c r="F38" t="s">
        <v>681</v>
      </c>
      <c r="G38" t="s">
        <v>980</v>
      </c>
      <c r="H38" s="6" t="s">
        <v>1071</v>
      </c>
      <c r="I38">
        <f t="shared" si="0"/>
        <v>25.132680000000001</v>
      </c>
      <c r="J38">
        <f t="shared" si="1"/>
        <v>11.399991885651602</v>
      </c>
      <c r="K38" s="9">
        <v>3.33</v>
      </c>
      <c r="L38">
        <f t="shared" si="2"/>
        <v>37.961972979219837</v>
      </c>
    </row>
    <row r="39" spans="1:12" x14ac:dyDescent="0.2">
      <c r="A39" s="4">
        <v>43486</v>
      </c>
      <c r="B39" t="s">
        <v>538</v>
      </c>
      <c r="C39">
        <v>2</v>
      </c>
      <c r="D39">
        <v>6</v>
      </c>
      <c r="E39">
        <f>7+(2/16)</f>
        <v>7.125</v>
      </c>
      <c r="F39" t="s">
        <v>1007</v>
      </c>
      <c r="G39" t="s">
        <v>980</v>
      </c>
      <c r="H39" s="6" t="s">
        <v>1071</v>
      </c>
      <c r="I39">
        <f t="shared" si="0"/>
        <v>85.5</v>
      </c>
      <c r="J39">
        <f t="shared" si="1"/>
        <v>38.782147635000001</v>
      </c>
      <c r="K39" s="9">
        <v>3.33</v>
      </c>
      <c r="L39">
        <f t="shared" si="2"/>
        <v>129.14455162455002</v>
      </c>
    </row>
    <row r="40" spans="1:12" x14ac:dyDescent="0.2">
      <c r="A40" s="4">
        <v>43486</v>
      </c>
      <c r="B40" t="s">
        <v>538</v>
      </c>
      <c r="C40">
        <v>1</v>
      </c>
      <c r="D40">
        <v>24</v>
      </c>
      <c r="E40">
        <f>6/16</f>
        <v>0.375</v>
      </c>
      <c r="F40" t="s">
        <v>594</v>
      </c>
      <c r="G40" t="s">
        <v>980</v>
      </c>
      <c r="H40" s="6" t="s">
        <v>1071</v>
      </c>
      <c r="I40">
        <f t="shared" si="0"/>
        <v>9</v>
      </c>
      <c r="J40">
        <f t="shared" si="1"/>
        <v>4.0823313299999997</v>
      </c>
      <c r="K40" s="9">
        <v>3.33</v>
      </c>
      <c r="L40">
        <f t="shared" si="2"/>
        <v>13.594163328899999</v>
      </c>
    </row>
    <row r="41" spans="1:12" x14ac:dyDescent="0.2">
      <c r="A41" s="4">
        <v>43488</v>
      </c>
      <c r="B41" t="s">
        <v>538</v>
      </c>
      <c r="C41">
        <v>2</v>
      </c>
      <c r="D41">
        <v>4</v>
      </c>
      <c r="E41">
        <v>7.79</v>
      </c>
      <c r="F41" t="s">
        <v>543</v>
      </c>
      <c r="G41" t="s">
        <v>1089</v>
      </c>
      <c r="H41" s="6" t="s">
        <v>1073</v>
      </c>
      <c r="I41">
        <f t="shared" si="0"/>
        <v>62.32</v>
      </c>
      <c r="J41">
        <f t="shared" si="1"/>
        <v>28.2678764984</v>
      </c>
      <c r="K41" s="9">
        <v>3.33</v>
      </c>
      <c r="L41">
        <f t="shared" si="2"/>
        <v>94.132028739671995</v>
      </c>
    </row>
    <row r="42" spans="1:12" x14ac:dyDescent="0.2">
      <c r="A42" s="4">
        <v>43488</v>
      </c>
      <c r="B42" t="s">
        <v>538</v>
      </c>
      <c r="C42">
        <v>2</v>
      </c>
      <c r="D42">
        <v>6</v>
      </c>
      <c r="E42">
        <f>7+(2/16)</f>
        <v>7.125</v>
      </c>
      <c r="F42" t="s">
        <v>1007</v>
      </c>
      <c r="G42" t="s">
        <v>980</v>
      </c>
      <c r="H42" s="6" t="s">
        <v>1071</v>
      </c>
      <c r="I42">
        <f t="shared" si="0"/>
        <v>85.5</v>
      </c>
      <c r="J42">
        <f t="shared" si="1"/>
        <v>38.782147635000001</v>
      </c>
      <c r="K42" s="9">
        <v>3.33</v>
      </c>
      <c r="L42">
        <f t="shared" si="2"/>
        <v>129.14455162455002</v>
      </c>
    </row>
    <row r="43" spans="1:12" x14ac:dyDescent="0.2">
      <c r="A43" s="4">
        <v>43486</v>
      </c>
      <c r="B43" t="s">
        <v>538</v>
      </c>
      <c r="C43">
        <v>1</v>
      </c>
      <c r="D43">
        <v>4</v>
      </c>
      <c r="E43">
        <v>2.5</v>
      </c>
      <c r="F43" t="s">
        <v>683</v>
      </c>
      <c r="G43" t="s">
        <v>988</v>
      </c>
      <c r="H43" s="6" t="s">
        <v>1071</v>
      </c>
      <c r="I43">
        <f t="shared" si="0"/>
        <v>10</v>
      </c>
      <c r="J43">
        <f t="shared" si="1"/>
        <v>4.5359237000000006</v>
      </c>
      <c r="K43" s="9">
        <v>2.21</v>
      </c>
      <c r="L43">
        <f t="shared" si="2"/>
        <v>10.024391377000001</v>
      </c>
    </row>
    <row r="44" spans="1:12" x14ac:dyDescent="0.2">
      <c r="A44" s="4">
        <v>43488</v>
      </c>
      <c r="B44" t="s">
        <v>538</v>
      </c>
      <c r="C44">
        <v>1</v>
      </c>
      <c r="D44">
        <v>24</v>
      </c>
      <c r="E44">
        <v>1</v>
      </c>
      <c r="F44" t="s">
        <v>433</v>
      </c>
      <c r="G44" t="s">
        <v>900</v>
      </c>
      <c r="H44" s="6" t="s">
        <v>1071</v>
      </c>
      <c r="I44">
        <f t="shared" si="0"/>
        <v>24</v>
      </c>
      <c r="J44">
        <f t="shared" si="1"/>
        <v>10.886216880000001</v>
      </c>
      <c r="K44">
        <v>0.76</v>
      </c>
      <c r="L44">
        <f t="shared" si="2"/>
        <v>8.2735248288000012</v>
      </c>
    </row>
    <row r="45" spans="1:12" x14ac:dyDescent="0.2">
      <c r="A45" s="4">
        <v>43483</v>
      </c>
      <c r="B45" t="s">
        <v>538</v>
      </c>
      <c r="C45">
        <v>2</v>
      </c>
      <c r="D45">
        <v>1</v>
      </c>
      <c r="E45">
        <v>10</v>
      </c>
      <c r="F45" t="s">
        <v>428</v>
      </c>
      <c r="G45" t="s">
        <v>985</v>
      </c>
      <c r="H45" s="6" t="s">
        <v>1071</v>
      </c>
      <c r="I45">
        <f t="shared" si="0"/>
        <v>20</v>
      </c>
      <c r="J45">
        <f t="shared" si="1"/>
        <v>9.0718474000000011</v>
      </c>
      <c r="K45">
        <v>0.34699999999999998</v>
      </c>
      <c r="L45">
        <f t="shared" si="2"/>
        <v>3.1479310478000002</v>
      </c>
    </row>
    <row r="46" spans="1:12" x14ac:dyDescent="0.2">
      <c r="A46" s="4">
        <v>43486</v>
      </c>
      <c r="B46" t="s">
        <v>538</v>
      </c>
      <c r="C46">
        <v>1</v>
      </c>
      <c r="D46">
        <v>6</v>
      </c>
      <c r="E46">
        <v>1.5</v>
      </c>
      <c r="F46" t="s">
        <v>678</v>
      </c>
      <c r="G46" t="s">
        <v>985</v>
      </c>
      <c r="H46" s="6" t="s">
        <v>1071</v>
      </c>
      <c r="I46">
        <f t="shared" si="0"/>
        <v>9</v>
      </c>
      <c r="J46">
        <f t="shared" si="1"/>
        <v>4.0823313299999997</v>
      </c>
      <c r="K46">
        <v>0.34699999999999998</v>
      </c>
      <c r="L46">
        <f t="shared" si="2"/>
        <v>1.4165689715099998</v>
      </c>
    </row>
    <row r="47" spans="1:12" x14ac:dyDescent="0.2">
      <c r="A47" s="4">
        <v>43486</v>
      </c>
      <c r="B47" t="s">
        <v>538</v>
      </c>
      <c r="C47">
        <v>2</v>
      </c>
      <c r="D47">
        <v>1</v>
      </c>
      <c r="E47">
        <v>10</v>
      </c>
      <c r="F47" t="s">
        <v>428</v>
      </c>
      <c r="G47" t="s">
        <v>985</v>
      </c>
      <c r="H47" s="6" t="s">
        <v>1071</v>
      </c>
      <c r="I47">
        <f t="shared" si="0"/>
        <v>20</v>
      </c>
      <c r="J47">
        <f t="shared" si="1"/>
        <v>9.0718474000000011</v>
      </c>
      <c r="K47">
        <v>0.34699999999999998</v>
      </c>
      <c r="L47">
        <f t="shared" si="2"/>
        <v>3.1479310478000002</v>
      </c>
    </row>
    <row r="48" spans="1:12" x14ac:dyDescent="0.2">
      <c r="A48" s="4">
        <v>43486</v>
      </c>
      <c r="B48" t="s">
        <v>538</v>
      </c>
      <c r="C48">
        <v>1</v>
      </c>
      <c r="D48">
        <v>6</v>
      </c>
      <c r="E48">
        <f>31/16</f>
        <v>1.9375</v>
      </c>
      <c r="F48" t="s">
        <v>680</v>
      </c>
      <c r="G48" s="9" t="s">
        <v>986</v>
      </c>
      <c r="H48" s="6" t="s">
        <v>1071</v>
      </c>
      <c r="I48">
        <f t="shared" si="0"/>
        <v>11.625</v>
      </c>
      <c r="J48">
        <f t="shared" si="1"/>
        <v>5.2730113012500004</v>
      </c>
      <c r="K48" s="6">
        <v>2.5299999999999998</v>
      </c>
      <c r="L48">
        <f t="shared" si="2"/>
        <v>13.340718592162499</v>
      </c>
    </row>
    <row r="49" spans="1:12" x14ac:dyDescent="0.2">
      <c r="A49" s="4">
        <v>43488</v>
      </c>
      <c r="B49" t="s">
        <v>538</v>
      </c>
      <c r="C49">
        <v>1</v>
      </c>
      <c r="D49">
        <v>150</v>
      </c>
      <c r="E49">
        <f>0.5/16</f>
        <v>3.125E-2</v>
      </c>
      <c r="F49" t="s">
        <v>442</v>
      </c>
      <c r="G49" t="s">
        <v>993</v>
      </c>
      <c r="H49" s="6" t="s">
        <v>1071</v>
      </c>
      <c r="I49">
        <f t="shared" si="0"/>
        <v>4.6875</v>
      </c>
      <c r="J49">
        <f t="shared" si="1"/>
        <v>2.1262142343750003</v>
      </c>
      <c r="K49" s="6">
        <v>2.5299999999999998</v>
      </c>
      <c r="L49">
        <f t="shared" si="2"/>
        <v>5.3793220129687507</v>
      </c>
    </row>
    <row r="50" spans="1:12" x14ac:dyDescent="0.2">
      <c r="A50" s="4">
        <v>43488</v>
      </c>
      <c r="B50" t="s">
        <v>538</v>
      </c>
      <c r="C50">
        <v>1</v>
      </c>
      <c r="D50" s="14">
        <v>500</v>
      </c>
      <c r="E50" s="14" t="s">
        <v>1088</v>
      </c>
      <c r="F50" s="14" t="s">
        <v>430</v>
      </c>
      <c r="G50" s="14" t="s">
        <v>990</v>
      </c>
      <c r="H50" s="6" t="s">
        <v>1071</v>
      </c>
      <c r="I50">
        <v>0</v>
      </c>
      <c r="J50">
        <f t="shared" si="1"/>
        <v>0</v>
      </c>
      <c r="K50" s="6">
        <v>2.5299999999999998</v>
      </c>
      <c r="L50">
        <f t="shared" si="2"/>
        <v>0</v>
      </c>
    </row>
    <row r="51" spans="1:12" x14ac:dyDescent="0.2">
      <c r="A51" s="4">
        <v>43483</v>
      </c>
      <c r="B51" t="s">
        <v>538</v>
      </c>
      <c r="C51">
        <v>1</v>
      </c>
      <c r="D51">
        <v>1</v>
      </c>
      <c r="E51">
        <v>10</v>
      </c>
      <c r="F51" t="s">
        <v>454</v>
      </c>
      <c r="G51" t="s">
        <v>1053</v>
      </c>
      <c r="H51" s="6" t="s">
        <v>1071</v>
      </c>
      <c r="I51">
        <f t="shared" si="0"/>
        <v>10</v>
      </c>
      <c r="J51">
        <f t="shared" si="1"/>
        <v>4.5359237000000006</v>
      </c>
      <c r="K51">
        <v>3.8250000000000002</v>
      </c>
      <c r="L51">
        <f t="shared" si="2"/>
        <v>17.349908152500003</v>
      </c>
    </row>
    <row r="52" spans="1:12" x14ac:dyDescent="0.2">
      <c r="A52" s="4">
        <v>43483</v>
      </c>
      <c r="B52" t="s">
        <v>538</v>
      </c>
      <c r="C52">
        <v>2</v>
      </c>
      <c r="D52">
        <v>6</v>
      </c>
      <c r="E52">
        <v>2</v>
      </c>
      <c r="F52" t="s">
        <v>664</v>
      </c>
      <c r="G52" s="14" t="s">
        <v>978</v>
      </c>
      <c r="H52" s="6" t="s">
        <v>1071</v>
      </c>
      <c r="I52">
        <f t="shared" si="0"/>
        <v>24</v>
      </c>
      <c r="J52">
        <f t="shared" si="1"/>
        <v>10.886216880000001</v>
      </c>
      <c r="L52">
        <f t="shared" si="2"/>
        <v>0</v>
      </c>
    </row>
    <row r="53" spans="1:12" x14ac:dyDescent="0.2">
      <c r="A53" s="4">
        <v>43483</v>
      </c>
      <c r="B53" t="s">
        <v>538</v>
      </c>
      <c r="C53">
        <v>4</v>
      </c>
      <c r="D53">
        <v>1</v>
      </c>
      <c r="E53">
        <v>50</v>
      </c>
      <c r="F53" t="s">
        <v>431</v>
      </c>
      <c r="G53" t="s">
        <v>863</v>
      </c>
      <c r="H53" s="6" t="s">
        <v>1071</v>
      </c>
      <c r="I53">
        <f t="shared" si="0"/>
        <v>200</v>
      </c>
      <c r="J53">
        <f t="shared" si="1"/>
        <v>90.718474000000001</v>
      </c>
      <c r="K53">
        <v>0.35799999999999998</v>
      </c>
      <c r="L53">
        <f t="shared" si="2"/>
        <v>32.477213691999999</v>
      </c>
    </row>
    <row r="54" spans="1:12" x14ac:dyDescent="0.2">
      <c r="A54" s="4">
        <v>43486</v>
      </c>
      <c r="B54" t="s">
        <v>538</v>
      </c>
      <c r="C54">
        <v>3</v>
      </c>
      <c r="D54">
        <v>1</v>
      </c>
      <c r="E54">
        <v>50</v>
      </c>
      <c r="F54" t="s">
        <v>431</v>
      </c>
      <c r="G54" t="s">
        <v>863</v>
      </c>
      <c r="H54" s="6" t="s">
        <v>1071</v>
      </c>
      <c r="I54">
        <f t="shared" si="0"/>
        <v>150</v>
      </c>
      <c r="J54">
        <f t="shared" si="1"/>
        <v>68.038855500000011</v>
      </c>
      <c r="K54">
        <v>0.35799999999999998</v>
      </c>
      <c r="L54">
        <f t="shared" si="2"/>
        <v>24.357910269000001</v>
      </c>
    </row>
    <row r="55" spans="1:12" x14ac:dyDescent="0.2">
      <c r="A55" s="4">
        <v>43488</v>
      </c>
      <c r="B55" t="s">
        <v>538</v>
      </c>
      <c r="C55">
        <v>2</v>
      </c>
      <c r="D55">
        <v>1</v>
      </c>
      <c r="E55">
        <v>50</v>
      </c>
      <c r="F55" t="s">
        <v>431</v>
      </c>
      <c r="G55" t="s">
        <v>863</v>
      </c>
      <c r="H55" s="6" t="s">
        <v>1071</v>
      </c>
      <c r="I55">
        <f t="shared" si="0"/>
        <v>100</v>
      </c>
      <c r="J55">
        <f t="shared" si="1"/>
        <v>45.359237</v>
      </c>
      <c r="K55">
        <v>0.35799999999999998</v>
      </c>
      <c r="L55">
        <f t="shared" si="2"/>
        <v>16.238606846</v>
      </c>
    </row>
    <row r="56" spans="1:12" x14ac:dyDescent="0.2">
      <c r="A56" s="4">
        <v>43488</v>
      </c>
      <c r="B56" t="s">
        <v>538</v>
      </c>
      <c r="C56">
        <v>1</v>
      </c>
      <c r="D56">
        <v>6</v>
      </c>
      <c r="E56">
        <v>5</v>
      </c>
      <c r="F56" t="s">
        <v>571</v>
      </c>
      <c r="G56" t="s">
        <v>878</v>
      </c>
      <c r="H56" s="6" t="s">
        <v>1071</v>
      </c>
      <c r="I56">
        <f t="shared" si="0"/>
        <v>30</v>
      </c>
      <c r="J56">
        <f t="shared" si="1"/>
        <v>13.607771100000001</v>
      </c>
      <c r="K56">
        <v>2.44</v>
      </c>
      <c r="L56">
        <f t="shared" si="2"/>
        <v>33.202961483999999</v>
      </c>
    </row>
    <row r="57" spans="1:12" x14ac:dyDescent="0.2">
      <c r="A57" s="4">
        <v>43488</v>
      </c>
      <c r="B57" t="s">
        <v>538</v>
      </c>
      <c r="C57">
        <v>1</v>
      </c>
      <c r="D57">
        <v>6</v>
      </c>
      <c r="E57">
        <v>4</v>
      </c>
      <c r="F57" t="s">
        <v>438</v>
      </c>
      <c r="G57" t="s">
        <v>992</v>
      </c>
      <c r="H57" s="6" t="s">
        <v>1071</v>
      </c>
      <c r="I57">
        <f t="shared" si="0"/>
        <v>24</v>
      </c>
      <c r="J57">
        <f t="shared" si="1"/>
        <v>10.886216880000001</v>
      </c>
      <c r="K57">
        <v>3.1</v>
      </c>
      <c r="L57">
        <f t="shared" si="2"/>
        <v>33.747272328000001</v>
      </c>
    </row>
    <row r="58" spans="1:12" x14ac:dyDescent="0.2">
      <c r="A58" s="4">
        <v>43484</v>
      </c>
      <c r="B58" t="s">
        <v>538</v>
      </c>
      <c r="C58">
        <v>1</v>
      </c>
      <c r="D58">
        <v>6</v>
      </c>
      <c r="E58">
        <v>4</v>
      </c>
      <c r="F58" t="s">
        <v>438</v>
      </c>
      <c r="G58" t="s">
        <v>866</v>
      </c>
      <c r="H58" s="6" t="s">
        <v>1071</v>
      </c>
      <c r="I58">
        <f t="shared" si="0"/>
        <v>24</v>
      </c>
      <c r="J58">
        <f t="shared" si="1"/>
        <v>10.886216880000001</v>
      </c>
      <c r="K58">
        <v>3.1</v>
      </c>
      <c r="L58">
        <f t="shared" si="2"/>
        <v>33.747272328000001</v>
      </c>
    </row>
    <row r="59" spans="1:12" x14ac:dyDescent="0.2">
      <c r="A59" s="4">
        <v>43483</v>
      </c>
      <c r="B59" t="s">
        <v>538</v>
      </c>
      <c r="C59">
        <v>4</v>
      </c>
      <c r="D59">
        <v>6</v>
      </c>
      <c r="E59">
        <f>7+(2/16)</f>
        <v>7.125</v>
      </c>
      <c r="F59" t="s">
        <v>1007</v>
      </c>
      <c r="G59" t="s">
        <v>874</v>
      </c>
      <c r="H59" s="6" t="s">
        <v>1071</v>
      </c>
      <c r="I59">
        <f t="shared" si="0"/>
        <v>171</v>
      </c>
      <c r="J59">
        <f t="shared" si="1"/>
        <v>77.564295270000002</v>
      </c>
      <c r="K59">
        <v>3.2</v>
      </c>
      <c r="L59">
        <f t="shared" si="2"/>
        <v>248.20574486400002</v>
      </c>
    </row>
    <row r="60" spans="1:12" x14ac:dyDescent="0.2">
      <c r="A60" s="4">
        <v>43483</v>
      </c>
      <c r="B60" t="s">
        <v>538</v>
      </c>
      <c r="C60">
        <v>1</v>
      </c>
      <c r="D60">
        <v>1</v>
      </c>
      <c r="E60">
        <v>20</v>
      </c>
      <c r="F60" t="s">
        <v>656</v>
      </c>
      <c r="G60" t="s">
        <v>973</v>
      </c>
      <c r="H60" s="6" t="s">
        <v>1071</v>
      </c>
      <c r="I60">
        <f t="shared" si="0"/>
        <v>20</v>
      </c>
      <c r="J60">
        <f t="shared" si="1"/>
        <v>9.0718474000000011</v>
      </c>
      <c r="K60">
        <v>1.88</v>
      </c>
      <c r="L60">
        <f t="shared" si="2"/>
        <v>17.055073112000002</v>
      </c>
    </row>
    <row r="61" spans="1:12" x14ac:dyDescent="0.2">
      <c r="A61" s="4">
        <v>43483</v>
      </c>
      <c r="B61" t="s">
        <v>538</v>
      </c>
      <c r="C61">
        <v>2</v>
      </c>
      <c r="D61">
        <v>4</v>
      </c>
      <c r="E61">
        <v>7.79</v>
      </c>
      <c r="F61" t="s">
        <v>543</v>
      </c>
      <c r="G61" t="s">
        <v>1089</v>
      </c>
      <c r="H61" s="6" t="s">
        <v>1073</v>
      </c>
      <c r="I61">
        <f t="shared" si="0"/>
        <v>62.32</v>
      </c>
      <c r="J61">
        <f t="shared" si="1"/>
        <v>28.2678764984</v>
      </c>
      <c r="K61">
        <v>3.2</v>
      </c>
      <c r="L61">
        <f t="shared" si="2"/>
        <v>90.457204794879999</v>
      </c>
    </row>
    <row r="62" spans="1:12" x14ac:dyDescent="0.2">
      <c r="A62" s="4">
        <v>43483</v>
      </c>
      <c r="B62" t="s">
        <v>538</v>
      </c>
      <c r="C62">
        <v>1</v>
      </c>
      <c r="D62">
        <v>4</v>
      </c>
      <c r="E62">
        <f>11.89</f>
        <v>11.89</v>
      </c>
      <c r="F62" t="s">
        <v>547</v>
      </c>
      <c r="G62" t="s">
        <v>975</v>
      </c>
      <c r="H62" s="6" t="s">
        <v>1071</v>
      </c>
      <c r="I62">
        <f t="shared" si="0"/>
        <v>47.56</v>
      </c>
      <c r="J62">
        <f t="shared" si="1"/>
        <v>21.572853117200001</v>
      </c>
      <c r="K62">
        <v>0.48799999999999999</v>
      </c>
      <c r="L62">
        <f t="shared" si="2"/>
        <v>10.5275523211936</v>
      </c>
    </row>
    <row r="63" spans="1:12" x14ac:dyDescent="0.2">
      <c r="A63" s="4">
        <v>43486</v>
      </c>
      <c r="B63" t="s">
        <v>538</v>
      </c>
      <c r="C63">
        <v>1</v>
      </c>
      <c r="D63">
        <v>4</v>
      </c>
      <c r="E63">
        <f>11.89</f>
        <v>11.89</v>
      </c>
      <c r="F63" t="s">
        <v>547</v>
      </c>
      <c r="G63" t="s">
        <v>975</v>
      </c>
      <c r="H63" s="6" t="s">
        <v>1071</v>
      </c>
      <c r="I63">
        <f t="shared" si="0"/>
        <v>47.56</v>
      </c>
      <c r="J63">
        <f t="shared" si="1"/>
        <v>21.572853117200001</v>
      </c>
      <c r="K63">
        <v>0.48799999999999999</v>
      </c>
      <c r="L63">
        <f t="shared" si="2"/>
        <v>10.5275523211936</v>
      </c>
    </row>
    <row r="64" spans="1:12" x14ac:dyDescent="0.2">
      <c r="A64" s="4">
        <v>43486</v>
      </c>
      <c r="B64" t="s">
        <v>538</v>
      </c>
      <c r="C64">
        <v>6</v>
      </c>
      <c r="D64">
        <v>6</v>
      </c>
      <c r="E64">
        <v>10</v>
      </c>
      <c r="F64" t="s">
        <v>682</v>
      </c>
      <c r="G64" t="s">
        <v>876</v>
      </c>
      <c r="H64" s="6" t="s">
        <v>1071</v>
      </c>
      <c r="I64">
        <f t="shared" si="0"/>
        <v>360</v>
      </c>
      <c r="J64">
        <f t="shared" si="1"/>
        <v>163.29325320000001</v>
      </c>
      <c r="K64" s="6">
        <v>5.99</v>
      </c>
      <c r="L64">
        <f t="shared" si="2"/>
        <v>978.12658666800007</v>
      </c>
    </row>
    <row r="65" spans="1:12" x14ac:dyDescent="0.2">
      <c r="A65" s="4">
        <v>43486</v>
      </c>
      <c r="B65" t="s">
        <v>538</v>
      </c>
      <c r="C65">
        <v>3</v>
      </c>
      <c r="D65">
        <v>4</v>
      </c>
      <c r="E65">
        <v>5</v>
      </c>
      <c r="F65" t="s">
        <v>586</v>
      </c>
      <c r="G65" t="s">
        <v>876</v>
      </c>
      <c r="H65" s="6" t="s">
        <v>1071</v>
      </c>
      <c r="I65">
        <f t="shared" si="0"/>
        <v>60</v>
      </c>
      <c r="J65">
        <f t="shared" si="1"/>
        <v>27.215542200000002</v>
      </c>
      <c r="K65" s="6">
        <v>5.99</v>
      </c>
      <c r="L65">
        <f t="shared" si="2"/>
        <v>163.02109777800001</v>
      </c>
    </row>
    <row r="66" spans="1:12" x14ac:dyDescent="0.2">
      <c r="A66" s="4">
        <v>43483</v>
      </c>
      <c r="B66" t="s">
        <v>538</v>
      </c>
      <c r="C66">
        <v>8</v>
      </c>
      <c r="D66">
        <v>4</v>
      </c>
      <c r="E66">
        <v>7.9</v>
      </c>
      <c r="F66" t="s">
        <v>455</v>
      </c>
      <c r="G66" t="s">
        <v>989</v>
      </c>
      <c r="H66" s="6" t="s">
        <v>1071</v>
      </c>
      <c r="I66">
        <f t="shared" si="0"/>
        <v>252.8</v>
      </c>
      <c r="J66">
        <f t="shared" si="1"/>
        <v>114.66815113600002</v>
      </c>
      <c r="K66">
        <v>2.6459999999999999</v>
      </c>
      <c r="L66">
        <f t="shared" si="2"/>
        <v>303.41192790585603</v>
      </c>
    </row>
    <row r="67" spans="1:12" x14ac:dyDescent="0.2">
      <c r="A67" s="4">
        <v>43486</v>
      </c>
      <c r="B67" t="s">
        <v>538</v>
      </c>
      <c r="C67">
        <v>1</v>
      </c>
      <c r="D67">
        <v>6</v>
      </c>
      <c r="E67">
        <v>10</v>
      </c>
      <c r="F67" t="s">
        <v>445</v>
      </c>
      <c r="G67" t="s">
        <v>883</v>
      </c>
      <c r="H67" s="6" t="s">
        <v>1071</v>
      </c>
      <c r="I67">
        <f t="shared" ref="I67:I130" si="3">C67*D67*E67</f>
        <v>60</v>
      </c>
      <c r="J67">
        <f t="shared" ref="J67:J130" si="4">CONVERT(I67,"lbm","kg")</f>
        <v>27.215542200000002</v>
      </c>
      <c r="K67">
        <v>0.48199999999999998</v>
      </c>
      <c r="L67">
        <f t="shared" ref="L67:L130" si="5">K67*J67</f>
        <v>13.1178913404</v>
      </c>
    </row>
    <row r="68" spans="1:12" x14ac:dyDescent="0.2">
      <c r="A68" s="4">
        <v>43488</v>
      </c>
      <c r="B68" t="s">
        <v>538</v>
      </c>
      <c r="C68">
        <v>1</v>
      </c>
      <c r="D68">
        <v>6</v>
      </c>
      <c r="E68">
        <v>10</v>
      </c>
      <c r="F68" t="s">
        <v>445</v>
      </c>
      <c r="G68" t="s">
        <v>883</v>
      </c>
      <c r="H68" s="6" t="s">
        <v>1071</v>
      </c>
      <c r="I68">
        <f t="shared" si="3"/>
        <v>60</v>
      </c>
      <c r="J68">
        <f t="shared" si="4"/>
        <v>27.215542200000002</v>
      </c>
      <c r="K68">
        <v>0.48199999999999998</v>
      </c>
      <c r="L68">
        <f t="shared" si="5"/>
        <v>13.1178913404</v>
      </c>
    </row>
    <row r="69" spans="1:12" x14ac:dyDescent="0.2">
      <c r="A69" s="4">
        <v>43483</v>
      </c>
      <c r="B69" t="s">
        <v>538</v>
      </c>
      <c r="C69">
        <v>2</v>
      </c>
      <c r="D69">
        <v>6</v>
      </c>
      <c r="E69">
        <v>5</v>
      </c>
      <c r="F69" t="s">
        <v>439</v>
      </c>
      <c r="G69" s="14" t="s">
        <v>976</v>
      </c>
      <c r="H69" s="6" t="s">
        <v>1071</v>
      </c>
      <c r="I69">
        <f t="shared" si="3"/>
        <v>60</v>
      </c>
      <c r="J69">
        <f t="shared" si="4"/>
        <v>27.215542200000002</v>
      </c>
      <c r="L69">
        <f t="shared" si="5"/>
        <v>0</v>
      </c>
    </row>
    <row r="70" spans="1:12" x14ac:dyDescent="0.2">
      <c r="A70" s="4">
        <v>43488</v>
      </c>
      <c r="B70" t="s">
        <v>538</v>
      </c>
      <c r="C70">
        <v>2</v>
      </c>
      <c r="D70">
        <v>6</v>
      </c>
      <c r="E70">
        <v>5</v>
      </c>
      <c r="F70" t="s">
        <v>439</v>
      </c>
      <c r="G70" s="14" t="s">
        <v>976</v>
      </c>
      <c r="H70" s="6" t="s">
        <v>1071</v>
      </c>
      <c r="I70">
        <f t="shared" si="3"/>
        <v>60</v>
      </c>
      <c r="J70">
        <f t="shared" si="4"/>
        <v>27.215542200000002</v>
      </c>
      <c r="L70">
        <f t="shared" si="5"/>
        <v>0</v>
      </c>
    </row>
    <row r="71" spans="1:12" x14ac:dyDescent="0.2">
      <c r="A71" s="4">
        <v>43483</v>
      </c>
      <c r="B71" t="s">
        <v>538</v>
      </c>
      <c r="C71">
        <v>4</v>
      </c>
      <c r="D71">
        <v>2</v>
      </c>
      <c r="E71">
        <v>10</v>
      </c>
      <c r="F71" t="s">
        <v>462</v>
      </c>
      <c r="G71" t="s">
        <v>875</v>
      </c>
      <c r="H71" s="6" t="s">
        <v>1071</v>
      </c>
      <c r="I71">
        <f t="shared" si="3"/>
        <v>80</v>
      </c>
      <c r="J71">
        <f t="shared" si="4"/>
        <v>36.287389600000004</v>
      </c>
      <c r="K71" s="6">
        <v>5.99</v>
      </c>
      <c r="L71">
        <f t="shared" si="5"/>
        <v>217.36146370400004</v>
      </c>
    </row>
    <row r="72" spans="1:12" x14ac:dyDescent="0.2">
      <c r="A72" s="4">
        <v>43483</v>
      </c>
      <c r="B72" t="s">
        <v>538</v>
      </c>
      <c r="C72">
        <v>3</v>
      </c>
      <c r="D72">
        <v>2</v>
      </c>
      <c r="E72">
        <v>10</v>
      </c>
      <c r="F72" t="s">
        <v>566</v>
      </c>
      <c r="G72" t="s">
        <v>875</v>
      </c>
      <c r="H72" s="6" t="s">
        <v>1071</v>
      </c>
      <c r="I72">
        <f t="shared" si="3"/>
        <v>60</v>
      </c>
      <c r="J72">
        <f t="shared" si="4"/>
        <v>27.215542200000002</v>
      </c>
      <c r="K72" s="6">
        <v>5.99</v>
      </c>
      <c r="L72">
        <f t="shared" si="5"/>
        <v>163.02109777800001</v>
      </c>
    </row>
    <row r="73" spans="1:12" x14ac:dyDescent="0.2">
      <c r="A73" s="4">
        <v>43483</v>
      </c>
      <c r="B73" t="s">
        <v>538</v>
      </c>
      <c r="C73">
        <v>3</v>
      </c>
      <c r="D73">
        <v>2</v>
      </c>
      <c r="E73">
        <v>10</v>
      </c>
      <c r="F73" t="s">
        <v>669</v>
      </c>
      <c r="G73" t="s">
        <v>875</v>
      </c>
      <c r="H73" s="6" t="s">
        <v>1071</v>
      </c>
      <c r="I73">
        <f t="shared" si="3"/>
        <v>60</v>
      </c>
      <c r="J73">
        <f t="shared" si="4"/>
        <v>27.215542200000002</v>
      </c>
      <c r="K73" s="6">
        <v>5.99</v>
      </c>
      <c r="L73">
        <f t="shared" si="5"/>
        <v>163.02109777800001</v>
      </c>
    </row>
    <row r="74" spans="1:12" x14ac:dyDescent="0.2">
      <c r="A74" s="4">
        <v>43483</v>
      </c>
      <c r="B74" t="s">
        <v>538</v>
      </c>
      <c r="C74">
        <v>2</v>
      </c>
      <c r="D74">
        <v>8</v>
      </c>
      <c r="E74">
        <f>12/16</f>
        <v>0.75</v>
      </c>
      <c r="F74" t="s">
        <v>670</v>
      </c>
      <c r="G74" t="s">
        <v>875</v>
      </c>
      <c r="H74" s="6" t="s">
        <v>1071</v>
      </c>
      <c r="I74">
        <f t="shared" si="3"/>
        <v>12</v>
      </c>
      <c r="J74">
        <f t="shared" si="4"/>
        <v>5.4431084400000005</v>
      </c>
      <c r="K74" s="6">
        <v>5.99</v>
      </c>
      <c r="L74">
        <f t="shared" si="5"/>
        <v>32.604219555600004</v>
      </c>
    </row>
    <row r="75" spans="1:12" x14ac:dyDescent="0.2">
      <c r="A75" s="4">
        <v>43486</v>
      </c>
      <c r="B75" t="s">
        <v>538</v>
      </c>
      <c r="C75">
        <v>3</v>
      </c>
      <c r="D75">
        <v>2</v>
      </c>
      <c r="E75">
        <v>10</v>
      </c>
      <c r="F75" t="s">
        <v>679</v>
      </c>
      <c r="G75" t="s">
        <v>875</v>
      </c>
      <c r="H75" s="6" t="s">
        <v>1071</v>
      </c>
      <c r="I75">
        <f t="shared" si="3"/>
        <v>60</v>
      </c>
      <c r="J75">
        <f t="shared" si="4"/>
        <v>27.215542200000002</v>
      </c>
      <c r="K75" s="6">
        <v>5.99</v>
      </c>
      <c r="L75">
        <f t="shared" si="5"/>
        <v>163.02109777800001</v>
      </c>
    </row>
    <row r="76" spans="1:12" x14ac:dyDescent="0.2">
      <c r="A76" s="4">
        <v>43486</v>
      </c>
      <c r="B76" t="s">
        <v>538</v>
      </c>
      <c r="C76">
        <v>2</v>
      </c>
      <c r="D76">
        <v>2</v>
      </c>
      <c r="E76">
        <v>10</v>
      </c>
      <c r="F76" t="s">
        <v>685</v>
      </c>
      <c r="G76" t="s">
        <v>875</v>
      </c>
      <c r="H76" s="6" t="s">
        <v>1071</v>
      </c>
      <c r="I76">
        <f t="shared" si="3"/>
        <v>40</v>
      </c>
      <c r="J76">
        <f t="shared" si="4"/>
        <v>18.143694800000002</v>
      </c>
      <c r="K76" s="6">
        <v>5.99</v>
      </c>
      <c r="L76">
        <f t="shared" si="5"/>
        <v>108.68073185200002</v>
      </c>
    </row>
    <row r="77" spans="1:12" x14ac:dyDescent="0.2">
      <c r="A77" s="4">
        <v>43486</v>
      </c>
      <c r="B77" t="s">
        <v>538</v>
      </c>
      <c r="C77">
        <v>4</v>
      </c>
      <c r="D77">
        <v>2</v>
      </c>
      <c r="E77">
        <v>10</v>
      </c>
      <c r="F77" t="s">
        <v>458</v>
      </c>
      <c r="G77" t="s">
        <v>875</v>
      </c>
      <c r="H77" s="6" t="s">
        <v>1071</v>
      </c>
      <c r="I77">
        <f t="shared" si="3"/>
        <v>80</v>
      </c>
      <c r="J77">
        <f t="shared" si="4"/>
        <v>36.287389600000004</v>
      </c>
      <c r="K77" s="6">
        <v>5.99</v>
      </c>
      <c r="L77">
        <f t="shared" si="5"/>
        <v>217.36146370400004</v>
      </c>
    </row>
    <row r="78" spans="1:12" x14ac:dyDescent="0.2">
      <c r="A78" s="4">
        <v>43486</v>
      </c>
      <c r="B78" t="s">
        <v>538</v>
      </c>
      <c r="C78">
        <v>3</v>
      </c>
      <c r="D78">
        <v>2</v>
      </c>
      <c r="E78">
        <v>10</v>
      </c>
      <c r="F78" t="s">
        <v>461</v>
      </c>
      <c r="G78" t="s">
        <v>875</v>
      </c>
      <c r="H78" s="6" t="s">
        <v>1071</v>
      </c>
      <c r="I78">
        <f t="shared" si="3"/>
        <v>60</v>
      </c>
      <c r="J78">
        <f t="shared" si="4"/>
        <v>27.215542200000002</v>
      </c>
      <c r="K78" s="6">
        <v>5.99</v>
      </c>
      <c r="L78">
        <f t="shared" si="5"/>
        <v>163.02109777800001</v>
      </c>
    </row>
    <row r="79" spans="1:12" x14ac:dyDescent="0.2">
      <c r="A79" s="4">
        <v>43486</v>
      </c>
      <c r="B79" t="s">
        <v>538</v>
      </c>
      <c r="C79">
        <v>4</v>
      </c>
      <c r="D79">
        <v>2</v>
      </c>
      <c r="E79">
        <v>10</v>
      </c>
      <c r="F79" t="s">
        <v>462</v>
      </c>
      <c r="G79" t="s">
        <v>875</v>
      </c>
      <c r="H79" s="6" t="s">
        <v>1071</v>
      </c>
      <c r="I79">
        <f t="shared" si="3"/>
        <v>80</v>
      </c>
      <c r="J79">
        <f t="shared" si="4"/>
        <v>36.287389600000004</v>
      </c>
      <c r="K79" s="6">
        <v>5.99</v>
      </c>
      <c r="L79">
        <f t="shared" si="5"/>
        <v>217.36146370400004</v>
      </c>
    </row>
    <row r="80" spans="1:12" x14ac:dyDescent="0.2">
      <c r="A80" s="4">
        <v>43486</v>
      </c>
      <c r="B80" t="s">
        <v>538</v>
      </c>
      <c r="C80">
        <v>4</v>
      </c>
      <c r="D80">
        <v>2</v>
      </c>
      <c r="E80">
        <v>10</v>
      </c>
      <c r="F80" t="s">
        <v>566</v>
      </c>
      <c r="G80" t="s">
        <v>875</v>
      </c>
      <c r="H80" s="6" t="s">
        <v>1071</v>
      </c>
      <c r="I80">
        <f t="shared" si="3"/>
        <v>80</v>
      </c>
      <c r="J80">
        <f t="shared" si="4"/>
        <v>36.287389600000004</v>
      </c>
      <c r="K80" s="6">
        <v>5.99</v>
      </c>
      <c r="L80">
        <f t="shared" si="5"/>
        <v>217.36146370400004</v>
      </c>
    </row>
    <row r="81" spans="1:12" x14ac:dyDescent="0.2">
      <c r="A81" s="4">
        <v>43488</v>
      </c>
      <c r="B81" t="s">
        <v>538</v>
      </c>
      <c r="C81">
        <v>1</v>
      </c>
      <c r="D81">
        <v>2</v>
      </c>
      <c r="E81">
        <v>5</v>
      </c>
      <c r="F81" t="s">
        <v>666</v>
      </c>
      <c r="G81" t="s">
        <v>994</v>
      </c>
      <c r="H81" s="6" t="s">
        <v>1071</v>
      </c>
      <c r="I81">
        <f t="shared" si="3"/>
        <v>10</v>
      </c>
      <c r="J81">
        <f t="shared" si="4"/>
        <v>4.5359237000000006</v>
      </c>
      <c r="K81">
        <v>1.1319999999999999</v>
      </c>
      <c r="L81">
        <f t="shared" si="5"/>
        <v>5.1346656284000005</v>
      </c>
    </row>
    <row r="82" spans="1:12" x14ac:dyDescent="0.2">
      <c r="A82" s="4">
        <v>43486</v>
      </c>
      <c r="B82" t="s">
        <v>538</v>
      </c>
      <c r="C82">
        <v>1</v>
      </c>
      <c r="D82">
        <v>4</v>
      </c>
      <c r="E82">
        <v>4.54</v>
      </c>
      <c r="F82" t="s">
        <v>684</v>
      </c>
      <c r="G82" t="s">
        <v>937</v>
      </c>
      <c r="H82" s="6" t="s">
        <v>1071</v>
      </c>
      <c r="I82">
        <f t="shared" si="3"/>
        <v>18.16</v>
      </c>
      <c r="J82">
        <f t="shared" si="4"/>
        <v>8.2372374392000012</v>
      </c>
      <c r="K82">
        <v>0.79900000000000004</v>
      </c>
      <c r="L82">
        <f t="shared" si="5"/>
        <v>6.581552713920801</v>
      </c>
    </row>
    <row r="83" spans="1:12" x14ac:dyDescent="0.2">
      <c r="A83" s="4">
        <v>43486</v>
      </c>
      <c r="B83" t="s">
        <v>538</v>
      </c>
      <c r="C83">
        <v>1</v>
      </c>
      <c r="D83">
        <v>3</v>
      </c>
      <c r="E83">
        <v>5</v>
      </c>
      <c r="F83" t="s">
        <v>556</v>
      </c>
      <c r="G83" t="s">
        <v>909</v>
      </c>
      <c r="H83" s="6" t="s">
        <v>1071</v>
      </c>
      <c r="I83">
        <f t="shared" si="3"/>
        <v>15</v>
      </c>
      <c r="J83">
        <f t="shared" si="4"/>
        <v>6.8038855500000004</v>
      </c>
      <c r="K83">
        <v>0.87</v>
      </c>
      <c r="L83">
        <f t="shared" si="5"/>
        <v>5.9193804285000002</v>
      </c>
    </row>
    <row r="84" spans="1:12" x14ac:dyDescent="0.2">
      <c r="A84" s="4">
        <v>43486</v>
      </c>
      <c r="B84" t="s">
        <v>538</v>
      </c>
      <c r="C84">
        <v>1</v>
      </c>
      <c r="D84">
        <v>4</v>
      </c>
      <c r="E84">
        <v>8.35</v>
      </c>
      <c r="F84" t="s">
        <v>541</v>
      </c>
      <c r="G84" t="s">
        <v>937</v>
      </c>
      <c r="H84" s="6" t="s">
        <v>1071</v>
      </c>
      <c r="I84">
        <f t="shared" si="3"/>
        <v>33.4</v>
      </c>
      <c r="J84">
        <f t="shared" si="4"/>
        <v>15.149985158</v>
      </c>
      <c r="K84">
        <v>0.79900000000000004</v>
      </c>
      <c r="L84">
        <f t="shared" si="5"/>
        <v>12.104838141242</v>
      </c>
    </row>
    <row r="85" spans="1:12" x14ac:dyDescent="0.2">
      <c r="A85" s="4">
        <v>43483</v>
      </c>
      <c r="B85" t="s">
        <v>538</v>
      </c>
      <c r="C85">
        <v>2</v>
      </c>
      <c r="D85">
        <v>6</v>
      </c>
      <c r="E85">
        <v>2</v>
      </c>
      <c r="F85" t="s">
        <v>570</v>
      </c>
      <c r="G85" t="s">
        <v>877</v>
      </c>
      <c r="H85" s="6" t="s">
        <v>1071</v>
      </c>
      <c r="I85">
        <f t="shared" si="3"/>
        <v>24</v>
      </c>
      <c r="J85">
        <f t="shared" si="4"/>
        <v>10.886216880000001</v>
      </c>
      <c r="K85">
        <v>0.34699999999999998</v>
      </c>
      <c r="L85">
        <f t="shared" si="5"/>
        <v>3.77751725736</v>
      </c>
    </row>
    <row r="86" spans="1:12" x14ac:dyDescent="0.2">
      <c r="A86" s="4">
        <v>43486</v>
      </c>
      <c r="B86" t="s">
        <v>538</v>
      </c>
      <c r="C86">
        <v>2</v>
      </c>
      <c r="D86">
        <v>6</v>
      </c>
      <c r="E86">
        <v>2</v>
      </c>
      <c r="F86" t="s">
        <v>570</v>
      </c>
      <c r="G86" t="s">
        <v>877</v>
      </c>
      <c r="H86" s="6" t="s">
        <v>1071</v>
      </c>
      <c r="I86">
        <f t="shared" si="3"/>
        <v>24</v>
      </c>
      <c r="J86">
        <f t="shared" si="4"/>
        <v>10.886216880000001</v>
      </c>
      <c r="K86">
        <v>0.34699999999999998</v>
      </c>
      <c r="L86">
        <f t="shared" si="5"/>
        <v>3.77751725736</v>
      </c>
    </row>
    <row r="87" spans="1:12" x14ac:dyDescent="0.2">
      <c r="A87" s="4">
        <v>43483</v>
      </c>
      <c r="B87" t="s">
        <v>538</v>
      </c>
      <c r="C87">
        <v>2</v>
      </c>
      <c r="D87">
        <v>1</v>
      </c>
      <c r="E87">
        <v>25</v>
      </c>
      <c r="F87" t="s">
        <v>424</v>
      </c>
      <c r="G87" t="s">
        <v>859</v>
      </c>
      <c r="H87" s="6" t="s">
        <v>1071</v>
      </c>
      <c r="I87">
        <f t="shared" si="3"/>
        <v>50</v>
      </c>
      <c r="J87">
        <f t="shared" si="4"/>
        <v>22.6796185</v>
      </c>
      <c r="K87">
        <v>1.5409999999999999</v>
      </c>
      <c r="L87">
        <f t="shared" si="5"/>
        <v>34.949292108499996</v>
      </c>
    </row>
    <row r="88" spans="1:12" x14ac:dyDescent="0.2">
      <c r="A88" s="4">
        <v>43483</v>
      </c>
      <c r="B88" t="s">
        <v>538</v>
      </c>
      <c r="C88">
        <v>4</v>
      </c>
      <c r="D88">
        <v>2</v>
      </c>
      <c r="E88">
        <v>5</v>
      </c>
      <c r="F88" t="s">
        <v>429</v>
      </c>
      <c r="G88" t="s">
        <v>859</v>
      </c>
      <c r="H88" s="6" t="s">
        <v>1071</v>
      </c>
      <c r="I88">
        <f t="shared" si="3"/>
        <v>40</v>
      </c>
      <c r="J88">
        <f t="shared" si="4"/>
        <v>18.143694800000002</v>
      </c>
      <c r="K88">
        <v>1.5409999999999999</v>
      </c>
      <c r="L88">
        <f t="shared" si="5"/>
        <v>27.959433686800001</v>
      </c>
    </row>
    <row r="89" spans="1:12" x14ac:dyDescent="0.2">
      <c r="A89" s="4">
        <v>43483</v>
      </c>
      <c r="B89" t="s">
        <v>538</v>
      </c>
      <c r="C89">
        <v>3</v>
      </c>
      <c r="D89">
        <v>1</v>
      </c>
      <c r="E89">
        <v>25</v>
      </c>
      <c r="F89" t="s">
        <v>452</v>
      </c>
      <c r="G89" t="s">
        <v>859</v>
      </c>
      <c r="H89" s="6" t="s">
        <v>1071</v>
      </c>
      <c r="I89">
        <f t="shared" si="3"/>
        <v>75</v>
      </c>
      <c r="J89">
        <f t="shared" si="4"/>
        <v>34.019427750000006</v>
      </c>
      <c r="K89">
        <v>1.5409999999999999</v>
      </c>
      <c r="L89">
        <f t="shared" si="5"/>
        <v>52.423938162750005</v>
      </c>
    </row>
    <row r="90" spans="1:12" x14ac:dyDescent="0.2">
      <c r="A90" s="4">
        <v>43483</v>
      </c>
      <c r="B90" t="s">
        <v>538</v>
      </c>
      <c r="C90">
        <v>2</v>
      </c>
      <c r="D90">
        <v>1</v>
      </c>
      <c r="E90">
        <v>50</v>
      </c>
      <c r="F90" t="s">
        <v>459</v>
      </c>
      <c r="G90" t="s">
        <v>859</v>
      </c>
      <c r="H90" s="6" t="s">
        <v>1071</v>
      </c>
      <c r="I90">
        <f t="shared" si="3"/>
        <v>100</v>
      </c>
      <c r="J90">
        <f t="shared" si="4"/>
        <v>45.359237</v>
      </c>
      <c r="K90">
        <v>1.5409999999999999</v>
      </c>
      <c r="L90">
        <f t="shared" si="5"/>
        <v>69.898584216999993</v>
      </c>
    </row>
    <row r="91" spans="1:12" x14ac:dyDescent="0.2">
      <c r="A91" s="4">
        <v>43484</v>
      </c>
      <c r="B91" t="s">
        <v>538</v>
      </c>
      <c r="C91">
        <v>1</v>
      </c>
      <c r="D91">
        <v>1</v>
      </c>
      <c r="E91">
        <v>25</v>
      </c>
      <c r="F91" t="s">
        <v>424</v>
      </c>
      <c r="G91" t="s">
        <v>859</v>
      </c>
      <c r="H91" s="6" t="s">
        <v>1071</v>
      </c>
      <c r="I91">
        <f t="shared" si="3"/>
        <v>25</v>
      </c>
      <c r="J91">
        <f t="shared" si="4"/>
        <v>11.33980925</v>
      </c>
      <c r="K91">
        <v>1.5409999999999999</v>
      </c>
      <c r="L91">
        <f t="shared" si="5"/>
        <v>17.474646054249998</v>
      </c>
    </row>
    <row r="92" spans="1:12" x14ac:dyDescent="0.2">
      <c r="A92" s="4">
        <v>43484</v>
      </c>
      <c r="B92" t="s">
        <v>538</v>
      </c>
      <c r="C92">
        <v>2</v>
      </c>
      <c r="D92">
        <v>1</v>
      </c>
      <c r="E92">
        <v>25</v>
      </c>
      <c r="F92" t="s">
        <v>452</v>
      </c>
      <c r="G92" t="s">
        <v>859</v>
      </c>
      <c r="H92" s="6" t="s">
        <v>1071</v>
      </c>
      <c r="I92">
        <f t="shared" si="3"/>
        <v>50</v>
      </c>
      <c r="J92">
        <f t="shared" si="4"/>
        <v>22.6796185</v>
      </c>
      <c r="K92">
        <v>1.5409999999999999</v>
      </c>
      <c r="L92">
        <f t="shared" si="5"/>
        <v>34.949292108499996</v>
      </c>
    </row>
    <row r="93" spans="1:12" x14ac:dyDescent="0.2">
      <c r="A93" s="4">
        <v>43486</v>
      </c>
      <c r="B93" t="s">
        <v>538</v>
      </c>
      <c r="C93">
        <v>3</v>
      </c>
      <c r="D93">
        <v>1</v>
      </c>
      <c r="E93">
        <v>25</v>
      </c>
      <c r="F93" t="s">
        <v>424</v>
      </c>
      <c r="G93" t="s">
        <v>859</v>
      </c>
      <c r="H93" s="6" t="s">
        <v>1071</v>
      </c>
      <c r="I93">
        <f t="shared" si="3"/>
        <v>75</v>
      </c>
      <c r="J93">
        <f t="shared" si="4"/>
        <v>34.019427750000006</v>
      </c>
      <c r="K93">
        <v>1.5409999999999999</v>
      </c>
      <c r="L93">
        <f t="shared" si="5"/>
        <v>52.423938162750005</v>
      </c>
    </row>
    <row r="94" spans="1:12" x14ac:dyDescent="0.2">
      <c r="A94" s="4">
        <v>43486</v>
      </c>
      <c r="B94" t="s">
        <v>538</v>
      </c>
      <c r="C94">
        <v>2</v>
      </c>
      <c r="D94">
        <v>1</v>
      </c>
      <c r="E94">
        <v>25</v>
      </c>
      <c r="F94" t="s">
        <v>452</v>
      </c>
      <c r="G94" t="s">
        <v>859</v>
      </c>
      <c r="H94" s="6" t="s">
        <v>1071</v>
      </c>
      <c r="I94">
        <f t="shared" si="3"/>
        <v>50</v>
      </c>
      <c r="J94">
        <f t="shared" si="4"/>
        <v>22.6796185</v>
      </c>
      <c r="K94">
        <v>1.5409999999999999</v>
      </c>
      <c r="L94">
        <f t="shared" si="5"/>
        <v>34.949292108499996</v>
      </c>
    </row>
    <row r="95" spans="1:12" x14ac:dyDescent="0.2">
      <c r="A95" s="4">
        <v>43486</v>
      </c>
      <c r="B95" t="s">
        <v>538</v>
      </c>
      <c r="C95">
        <v>2</v>
      </c>
      <c r="D95">
        <v>2</v>
      </c>
      <c r="E95">
        <v>5</v>
      </c>
      <c r="F95" t="s">
        <v>564</v>
      </c>
      <c r="G95" t="s">
        <v>859</v>
      </c>
      <c r="H95" s="6" t="s">
        <v>1071</v>
      </c>
      <c r="I95">
        <f t="shared" si="3"/>
        <v>20</v>
      </c>
      <c r="J95">
        <f t="shared" si="4"/>
        <v>9.0718474000000011</v>
      </c>
      <c r="K95">
        <v>1.5409999999999999</v>
      </c>
      <c r="L95">
        <f t="shared" si="5"/>
        <v>13.9797168434</v>
      </c>
    </row>
    <row r="96" spans="1:12" x14ac:dyDescent="0.2">
      <c r="A96" s="4">
        <v>43488</v>
      </c>
      <c r="B96" t="s">
        <v>538</v>
      </c>
      <c r="C96">
        <v>2</v>
      </c>
      <c r="D96">
        <v>1</v>
      </c>
      <c r="E96">
        <v>25</v>
      </c>
      <c r="F96" t="s">
        <v>424</v>
      </c>
      <c r="G96" t="s">
        <v>859</v>
      </c>
      <c r="H96" s="6" t="s">
        <v>1071</v>
      </c>
      <c r="I96">
        <f t="shared" si="3"/>
        <v>50</v>
      </c>
      <c r="J96">
        <f t="shared" si="4"/>
        <v>22.6796185</v>
      </c>
      <c r="K96">
        <v>1.5409999999999999</v>
      </c>
      <c r="L96">
        <f t="shared" si="5"/>
        <v>34.949292108499996</v>
      </c>
    </row>
    <row r="97" spans="1:12" x14ac:dyDescent="0.2">
      <c r="A97" s="4">
        <v>43488</v>
      </c>
      <c r="B97" t="s">
        <v>538</v>
      </c>
      <c r="C97">
        <v>3</v>
      </c>
      <c r="D97">
        <v>1</v>
      </c>
      <c r="E97">
        <v>25</v>
      </c>
      <c r="F97" t="s">
        <v>452</v>
      </c>
      <c r="G97" t="s">
        <v>859</v>
      </c>
      <c r="H97" s="6" t="s">
        <v>1071</v>
      </c>
      <c r="I97">
        <f t="shared" si="3"/>
        <v>75</v>
      </c>
      <c r="J97">
        <f t="shared" si="4"/>
        <v>34.019427750000006</v>
      </c>
      <c r="K97">
        <v>1.5409999999999999</v>
      </c>
      <c r="L97">
        <f t="shared" si="5"/>
        <v>52.423938162750005</v>
      </c>
    </row>
    <row r="98" spans="1:12" x14ac:dyDescent="0.2">
      <c r="A98" s="4">
        <v>43488</v>
      </c>
      <c r="B98" t="s">
        <v>538</v>
      </c>
      <c r="C98">
        <v>2</v>
      </c>
      <c r="D98">
        <v>2</v>
      </c>
      <c r="E98">
        <v>5</v>
      </c>
      <c r="F98" t="s">
        <v>686</v>
      </c>
      <c r="G98" t="s">
        <v>859</v>
      </c>
      <c r="H98" s="6" t="s">
        <v>1071</v>
      </c>
      <c r="I98">
        <f t="shared" si="3"/>
        <v>20</v>
      </c>
      <c r="J98">
        <f t="shared" si="4"/>
        <v>9.0718474000000011</v>
      </c>
      <c r="K98">
        <v>1.5409999999999999</v>
      </c>
      <c r="L98">
        <f t="shared" si="5"/>
        <v>13.9797168434</v>
      </c>
    </row>
    <row r="99" spans="1:12" x14ac:dyDescent="0.2">
      <c r="A99" s="4">
        <v>43483</v>
      </c>
      <c r="B99" t="s">
        <v>538</v>
      </c>
      <c r="C99">
        <v>3</v>
      </c>
      <c r="D99">
        <v>6</v>
      </c>
      <c r="E99">
        <f>14/16</f>
        <v>0.875</v>
      </c>
      <c r="F99" t="s">
        <v>581</v>
      </c>
      <c r="G99" t="s">
        <v>869</v>
      </c>
      <c r="H99" s="6" t="s">
        <v>1071</v>
      </c>
      <c r="I99">
        <f t="shared" si="3"/>
        <v>15.75</v>
      </c>
      <c r="J99">
        <f t="shared" si="4"/>
        <v>7.1440798275000006</v>
      </c>
      <c r="K99">
        <v>0.87</v>
      </c>
      <c r="L99">
        <f t="shared" si="5"/>
        <v>6.2153494499250002</v>
      </c>
    </row>
    <row r="100" spans="1:12" x14ac:dyDescent="0.2">
      <c r="A100" s="4">
        <v>43483</v>
      </c>
      <c r="B100" t="s">
        <v>538</v>
      </c>
      <c r="C100">
        <v>1</v>
      </c>
      <c r="D100">
        <v>3</v>
      </c>
      <c r="E100">
        <v>7.25</v>
      </c>
      <c r="F100" t="s">
        <v>554</v>
      </c>
      <c r="G100" t="s">
        <v>869</v>
      </c>
      <c r="H100" s="6" t="s">
        <v>1071</v>
      </c>
      <c r="I100">
        <f t="shared" si="3"/>
        <v>21.75</v>
      </c>
      <c r="J100">
        <f t="shared" si="4"/>
        <v>9.8656340475000004</v>
      </c>
      <c r="K100">
        <v>0.87</v>
      </c>
      <c r="L100">
        <f t="shared" si="5"/>
        <v>8.5831016213249995</v>
      </c>
    </row>
    <row r="101" spans="1:12" x14ac:dyDescent="0.2">
      <c r="A101" s="4">
        <v>43483</v>
      </c>
      <c r="B101" t="s">
        <v>538</v>
      </c>
      <c r="C101">
        <v>2</v>
      </c>
      <c r="D101">
        <v>6</v>
      </c>
      <c r="E101">
        <f>18/16</f>
        <v>1.125</v>
      </c>
      <c r="F101" t="s">
        <v>661</v>
      </c>
      <c r="G101" t="s">
        <v>869</v>
      </c>
      <c r="H101" s="6" t="s">
        <v>1071</v>
      </c>
      <c r="I101">
        <f t="shared" si="3"/>
        <v>13.5</v>
      </c>
      <c r="J101">
        <f t="shared" si="4"/>
        <v>6.1234969950000009</v>
      </c>
      <c r="K101">
        <v>0.87</v>
      </c>
      <c r="L101">
        <f t="shared" si="5"/>
        <v>5.3274423856500004</v>
      </c>
    </row>
    <row r="102" spans="1:12" x14ac:dyDescent="0.2">
      <c r="A102" s="4">
        <v>43483</v>
      </c>
      <c r="B102" t="s">
        <v>538</v>
      </c>
      <c r="C102">
        <v>2</v>
      </c>
      <c r="D102">
        <v>6</v>
      </c>
      <c r="E102">
        <v>1</v>
      </c>
      <c r="F102" t="s">
        <v>582</v>
      </c>
      <c r="G102" t="s">
        <v>869</v>
      </c>
      <c r="H102" s="6" t="s">
        <v>1071</v>
      </c>
      <c r="I102">
        <f t="shared" si="3"/>
        <v>12</v>
      </c>
      <c r="J102">
        <f t="shared" si="4"/>
        <v>5.4431084400000005</v>
      </c>
      <c r="K102">
        <v>0.87</v>
      </c>
      <c r="L102">
        <f t="shared" si="5"/>
        <v>4.7355043428000005</v>
      </c>
    </row>
    <row r="103" spans="1:12" x14ac:dyDescent="0.2">
      <c r="A103" s="4">
        <v>43483</v>
      </c>
      <c r="B103" t="s">
        <v>538</v>
      </c>
      <c r="C103">
        <v>1</v>
      </c>
      <c r="D103">
        <v>3</v>
      </c>
      <c r="E103">
        <v>5</v>
      </c>
      <c r="F103" t="s">
        <v>662</v>
      </c>
      <c r="G103" t="s">
        <v>869</v>
      </c>
      <c r="H103" s="6" t="s">
        <v>1071</v>
      </c>
      <c r="I103">
        <f t="shared" si="3"/>
        <v>15</v>
      </c>
      <c r="J103">
        <f t="shared" si="4"/>
        <v>6.8038855500000004</v>
      </c>
      <c r="K103">
        <v>0.87</v>
      </c>
      <c r="L103">
        <f t="shared" si="5"/>
        <v>5.9193804285000002</v>
      </c>
    </row>
    <row r="104" spans="1:12" x14ac:dyDescent="0.2">
      <c r="A104" s="4">
        <v>43483</v>
      </c>
      <c r="B104" t="s">
        <v>538</v>
      </c>
      <c r="C104">
        <v>2</v>
      </c>
      <c r="D104">
        <v>6</v>
      </c>
      <c r="E104">
        <f>14/16</f>
        <v>0.875</v>
      </c>
      <c r="F104" t="s">
        <v>663</v>
      </c>
      <c r="G104" t="s">
        <v>869</v>
      </c>
      <c r="H104" s="6" t="s">
        <v>1071</v>
      </c>
      <c r="I104">
        <f t="shared" si="3"/>
        <v>10.5</v>
      </c>
      <c r="J104">
        <f t="shared" si="4"/>
        <v>4.7627198850000001</v>
      </c>
      <c r="K104">
        <v>0.87</v>
      </c>
      <c r="L104">
        <f t="shared" si="5"/>
        <v>4.1435662999499998</v>
      </c>
    </row>
    <row r="105" spans="1:12" x14ac:dyDescent="0.2">
      <c r="A105" s="4">
        <v>43486</v>
      </c>
      <c r="B105" t="s">
        <v>538</v>
      </c>
      <c r="C105">
        <v>1</v>
      </c>
      <c r="D105">
        <v>3</v>
      </c>
      <c r="E105">
        <f>7.25</f>
        <v>7.25</v>
      </c>
      <c r="F105" t="s">
        <v>554</v>
      </c>
      <c r="G105" t="s">
        <v>869</v>
      </c>
      <c r="H105" s="6" t="s">
        <v>1071</v>
      </c>
      <c r="I105">
        <f t="shared" si="3"/>
        <v>21.75</v>
      </c>
      <c r="J105">
        <f t="shared" si="4"/>
        <v>9.8656340475000004</v>
      </c>
      <c r="K105">
        <v>0.87</v>
      </c>
      <c r="L105">
        <f t="shared" si="5"/>
        <v>8.5831016213249995</v>
      </c>
    </row>
    <row r="106" spans="1:12" x14ac:dyDescent="0.2">
      <c r="A106" s="4">
        <v>43486</v>
      </c>
      <c r="B106" t="s">
        <v>538</v>
      </c>
      <c r="C106">
        <v>2</v>
      </c>
      <c r="D106">
        <v>6</v>
      </c>
      <c r="E106">
        <f>18/16</f>
        <v>1.125</v>
      </c>
      <c r="F106" t="s">
        <v>661</v>
      </c>
      <c r="G106" t="s">
        <v>869</v>
      </c>
      <c r="H106" s="6" t="s">
        <v>1071</v>
      </c>
      <c r="I106">
        <f t="shared" si="3"/>
        <v>13.5</v>
      </c>
      <c r="J106">
        <f t="shared" si="4"/>
        <v>6.1234969950000009</v>
      </c>
      <c r="K106">
        <v>0.87</v>
      </c>
      <c r="L106">
        <f t="shared" si="5"/>
        <v>5.3274423856500004</v>
      </c>
    </row>
    <row r="107" spans="1:12" x14ac:dyDescent="0.2">
      <c r="A107" s="4">
        <v>43486</v>
      </c>
      <c r="B107" t="s">
        <v>538</v>
      </c>
      <c r="C107">
        <v>1</v>
      </c>
      <c r="D107">
        <v>6</v>
      </c>
      <c r="E107">
        <f>18/16</f>
        <v>1.125</v>
      </c>
      <c r="F107" t="s">
        <v>583</v>
      </c>
      <c r="G107" t="s">
        <v>987</v>
      </c>
      <c r="H107" s="6" t="s">
        <v>1071</v>
      </c>
      <c r="I107">
        <f t="shared" si="3"/>
        <v>6.75</v>
      </c>
      <c r="J107">
        <f t="shared" si="4"/>
        <v>3.0617484975000004</v>
      </c>
      <c r="K107">
        <v>0.87</v>
      </c>
      <c r="L107">
        <f t="shared" si="5"/>
        <v>2.6637211928250002</v>
      </c>
    </row>
    <row r="108" spans="1:12" x14ac:dyDescent="0.2">
      <c r="A108" s="4">
        <v>43483</v>
      </c>
      <c r="B108" t="s">
        <v>538</v>
      </c>
      <c r="C108">
        <v>1</v>
      </c>
      <c r="D108">
        <v>12</v>
      </c>
      <c r="E108">
        <v>3</v>
      </c>
      <c r="F108" t="s">
        <v>451</v>
      </c>
      <c r="G108" t="s">
        <v>907</v>
      </c>
      <c r="H108" s="6" t="s">
        <v>1071</v>
      </c>
      <c r="I108">
        <f t="shared" si="3"/>
        <v>36</v>
      </c>
      <c r="J108">
        <f t="shared" si="4"/>
        <v>16.329325319999999</v>
      </c>
      <c r="K108">
        <v>0.87</v>
      </c>
      <c r="L108">
        <f t="shared" si="5"/>
        <v>14.206513028399998</v>
      </c>
    </row>
    <row r="109" spans="1:12" x14ac:dyDescent="0.2">
      <c r="A109" s="4">
        <v>43488</v>
      </c>
      <c r="B109" t="s">
        <v>538</v>
      </c>
      <c r="C109">
        <v>2</v>
      </c>
      <c r="D109">
        <v>12</v>
      </c>
      <c r="E109">
        <v>3</v>
      </c>
      <c r="F109" t="s">
        <v>451</v>
      </c>
      <c r="G109" t="s">
        <v>907</v>
      </c>
      <c r="H109" s="6" t="s">
        <v>1071</v>
      </c>
      <c r="I109">
        <f t="shared" si="3"/>
        <v>72</v>
      </c>
      <c r="J109">
        <f t="shared" si="4"/>
        <v>32.658650639999998</v>
      </c>
      <c r="K109">
        <v>0.87</v>
      </c>
      <c r="L109">
        <f t="shared" si="5"/>
        <v>28.413026056799996</v>
      </c>
    </row>
    <row r="110" spans="1:12" x14ac:dyDescent="0.2">
      <c r="A110" s="4">
        <v>43483</v>
      </c>
      <c r="B110" t="s">
        <v>538</v>
      </c>
      <c r="C110">
        <v>1</v>
      </c>
      <c r="D110">
        <v>1</v>
      </c>
      <c r="E110">
        <v>50</v>
      </c>
      <c r="F110" t="s">
        <v>425</v>
      </c>
      <c r="G110" t="s">
        <v>860</v>
      </c>
      <c r="H110" s="6" t="s">
        <v>1071</v>
      </c>
      <c r="I110">
        <f t="shared" si="3"/>
        <v>50</v>
      </c>
      <c r="J110">
        <f t="shared" si="4"/>
        <v>22.6796185</v>
      </c>
      <c r="K110">
        <v>0.7</v>
      </c>
      <c r="L110">
        <f t="shared" si="5"/>
        <v>15.87573295</v>
      </c>
    </row>
    <row r="111" spans="1:12" x14ac:dyDescent="0.2">
      <c r="A111" s="4">
        <v>43483</v>
      </c>
      <c r="B111" t="s">
        <v>538</v>
      </c>
      <c r="C111">
        <v>1</v>
      </c>
      <c r="D111">
        <v>1</v>
      </c>
      <c r="E111">
        <v>50</v>
      </c>
      <c r="F111" t="s">
        <v>434</v>
      </c>
      <c r="G111" t="s">
        <v>860</v>
      </c>
      <c r="H111" s="6" t="s">
        <v>1071</v>
      </c>
      <c r="I111">
        <f t="shared" si="3"/>
        <v>50</v>
      </c>
      <c r="J111">
        <f t="shared" si="4"/>
        <v>22.6796185</v>
      </c>
      <c r="K111">
        <v>0.7</v>
      </c>
      <c r="L111">
        <f t="shared" si="5"/>
        <v>15.87573295</v>
      </c>
    </row>
    <row r="112" spans="1:12" x14ac:dyDescent="0.2">
      <c r="A112" s="4">
        <v>43483</v>
      </c>
      <c r="B112" t="s">
        <v>538</v>
      </c>
      <c r="C112">
        <v>1</v>
      </c>
      <c r="D112">
        <v>12</v>
      </c>
      <c r="E112">
        <v>2</v>
      </c>
      <c r="F112" t="s">
        <v>659</v>
      </c>
      <c r="G112" t="s">
        <v>860</v>
      </c>
      <c r="H112" s="6" t="s">
        <v>1071</v>
      </c>
      <c r="I112">
        <f t="shared" si="3"/>
        <v>24</v>
      </c>
      <c r="J112">
        <f t="shared" si="4"/>
        <v>10.886216880000001</v>
      </c>
      <c r="K112">
        <v>0.7</v>
      </c>
      <c r="L112">
        <f t="shared" si="5"/>
        <v>7.6203518160000003</v>
      </c>
    </row>
    <row r="113" spans="1:12" x14ac:dyDescent="0.2">
      <c r="A113" s="4">
        <v>43486</v>
      </c>
      <c r="B113" t="s">
        <v>538</v>
      </c>
      <c r="C113">
        <v>1</v>
      </c>
      <c r="D113">
        <v>1</v>
      </c>
      <c r="E113">
        <v>50</v>
      </c>
      <c r="F113" t="s">
        <v>434</v>
      </c>
      <c r="G113" t="s">
        <v>860</v>
      </c>
      <c r="H113" s="6" t="s">
        <v>1071</v>
      </c>
      <c r="I113">
        <f t="shared" si="3"/>
        <v>50</v>
      </c>
      <c r="J113">
        <f t="shared" si="4"/>
        <v>22.6796185</v>
      </c>
      <c r="K113">
        <v>0.7</v>
      </c>
      <c r="L113">
        <f t="shared" si="5"/>
        <v>15.87573295</v>
      </c>
    </row>
    <row r="114" spans="1:12" x14ac:dyDescent="0.2">
      <c r="A114" s="4">
        <v>43483</v>
      </c>
      <c r="B114" t="s">
        <v>538</v>
      </c>
      <c r="C114">
        <v>2</v>
      </c>
      <c r="D114">
        <v>2</v>
      </c>
      <c r="E114">
        <v>5</v>
      </c>
      <c r="F114" t="s">
        <v>666</v>
      </c>
      <c r="G114" t="s">
        <v>981</v>
      </c>
      <c r="H114" s="6" t="s">
        <v>1071</v>
      </c>
      <c r="I114">
        <f t="shared" si="3"/>
        <v>20</v>
      </c>
      <c r="J114">
        <f t="shared" si="4"/>
        <v>9.0718474000000011</v>
      </c>
      <c r="K114">
        <v>1.1319999999999999</v>
      </c>
      <c r="L114">
        <f t="shared" si="5"/>
        <v>10.269331256800001</v>
      </c>
    </row>
    <row r="115" spans="1:12" x14ac:dyDescent="0.2">
      <c r="A115" s="4">
        <v>43483</v>
      </c>
      <c r="B115" t="s">
        <v>538</v>
      </c>
      <c r="C115">
        <v>2</v>
      </c>
      <c r="D115">
        <v>3</v>
      </c>
      <c r="E115">
        <v>2</v>
      </c>
      <c r="F115" t="s">
        <v>660</v>
      </c>
      <c r="G115" t="s">
        <v>977</v>
      </c>
      <c r="H115" s="6" t="s">
        <v>1071</v>
      </c>
      <c r="I115">
        <f t="shared" si="3"/>
        <v>12</v>
      </c>
      <c r="J115">
        <f t="shared" si="4"/>
        <v>5.4431084400000005</v>
      </c>
      <c r="K115">
        <v>2.6459999999999999</v>
      </c>
      <c r="L115">
        <f t="shared" si="5"/>
        <v>14.402464932240001</v>
      </c>
    </row>
    <row r="116" spans="1:12" x14ac:dyDescent="0.2">
      <c r="A116" s="4">
        <v>43483</v>
      </c>
      <c r="B116" t="s">
        <v>538</v>
      </c>
      <c r="C116">
        <v>4</v>
      </c>
      <c r="D116">
        <v>1</v>
      </c>
      <c r="E116">
        <v>35</v>
      </c>
      <c r="F116" t="s">
        <v>441</v>
      </c>
      <c r="G116" t="s">
        <v>977</v>
      </c>
      <c r="H116" s="6" t="s">
        <v>1071</v>
      </c>
      <c r="I116">
        <f t="shared" si="3"/>
        <v>140</v>
      </c>
      <c r="J116">
        <f t="shared" si="4"/>
        <v>63.502931800000006</v>
      </c>
      <c r="K116">
        <v>2.6459999999999999</v>
      </c>
      <c r="L116">
        <f t="shared" si="5"/>
        <v>168.02875754280001</v>
      </c>
    </row>
    <row r="117" spans="1:12" x14ac:dyDescent="0.2">
      <c r="A117" s="4">
        <v>43486</v>
      </c>
      <c r="B117" t="s">
        <v>538</v>
      </c>
      <c r="C117">
        <v>5</v>
      </c>
      <c r="D117">
        <v>4</v>
      </c>
      <c r="E117">
        <v>7.9</v>
      </c>
      <c r="F117" t="s">
        <v>455</v>
      </c>
      <c r="G117" t="s">
        <v>989</v>
      </c>
      <c r="H117" s="6" t="s">
        <v>1071</v>
      </c>
      <c r="I117">
        <f t="shared" si="3"/>
        <v>158</v>
      </c>
      <c r="J117">
        <f t="shared" si="4"/>
        <v>71.667594460000004</v>
      </c>
      <c r="K117">
        <v>2.6459999999999999</v>
      </c>
      <c r="L117">
        <f t="shared" si="5"/>
        <v>189.63245494116001</v>
      </c>
    </row>
    <row r="118" spans="1:12" x14ac:dyDescent="0.2">
      <c r="A118" s="4">
        <v>43488</v>
      </c>
      <c r="B118" t="s">
        <v>538</v>
      </c>
      <c r="C118">
        <v>3</v>
      </c>
      <c r="D118">
        <v>1</v>
      </c>
      <c r="E118">
        <v>35</v>
      </c>
      <c r="F118" t="s">
        <v>441</v>
      </c>
      <c r="G118" t="s">
        <v>989</v>
      </c>
      <c r="H118" s="6" t="s">
        <v>1071</v>
      </c>
      <c r="I118">
        <f t="shared" si="3"/>
        <v>105</v>
      </c>
      <c r="J118">
        <f t="shared" si="4"/>
        <v>47.627198849999999</v>
      </c>
      <c r="K118">
        <v>2.6459999999999999</v>
      </c>
      <c r="L118">
        <f t="shared" si="5"/>
        <v>126.02156815709999</v>
      </c>
    </row>
    <row r="119" spans="1:12" x14ac:dyDescent="0.2">
      <c r="A119" s="4">
        <v>43488</v>
      </c>
      <c r="B119" t="s">
        <v>538</v>
      </c>
      <c r="C119">
        <v>5</v>
      </c>
      <c r="D119">
        <v>4</v>
      </c>
      <c r="E119">
        <v>7.9</v>
      </c>
      <c r="F119" t="s">
        <v>455</v>
      </c>
      <c r="G119" t="s">
        <v>989</v>
      </c>
      <c r="H119" s="6" t="s">
        <v>1071</v>
      </c>
      <c r="I119">
        <f t="shared" si="3"/>
        <v>158</v>
      </c>
      <c r="J119">
        <f t="shared" si="4"/>
        <v>71.667594460000004</v>
      </c>
      <c r="K119">
        <v>2.6459999999999999</v>
      </c>
      <c r="L119">
        <f t="shared" si="5"/>
        <v>189.63245494116001</v>
      </c>
    </row>
    <row r="120" spans="1:12" x14ac:dyDescent="0.2">
      <c r="A120" s="4">
        <v>43488</v>
      </c>
      <c r="B120" t="s">
        <v>538</v>
      </c>
      <c r="C120">
        <v>2</v>
      </c>
      <c r="D120">
        <v>4</v>
      </c>
      <c r="E120">
        <v>11.01</v>
      </c>
      <c r="F120" t="s">
        <v>435</v>
      </c>
      <c r="G120" t="s">
        <v>991</v>
      </c>
      <c r="H120" s="6" t="s">
        <v>1071</v>
      </c>
      <c r="I120">
        <f t="shared" si="3"/>
        <v>88.08</v>
      </c>
      <c r="J120">
        <f t="shared" si="4"/>
        <v>39.952415949600002</v>
      </c>
      <c r="K120">
        <v>6.7539999999999996</v>
      </c>
      <c r="L120">
        <f t="shared" si="5"/>
        <v>269.83861732359838</v>
      </c>
    </row>
    <row r="121" spans="1:12" x14ac:dyDescent="0.2">
      <c r="A121" s="4">
        <v>43483</v>
      </c>
      <c r="B121" t="s">
        <v>538</v>
      </c>
      <c r="C121">
        <v>5</v>
      </c>
      <c r="D121">
        <v>6</v>
      </c>
      <c r="E121">
        <v>10</v>
      </c>
      <c r="F121" t="s">
        <v>432</v>
      </c>
      <c r="G121" t="s">
        <v>857</v>
      </c>
      <c r="H121" s="6" t="s">
        <v>1071</v>
      </c>
      <c r="I121">
        <f t="shared" si="3"/>
        <v>300</v>
      </c>
      <c r="J121">
        <f t="shared" si="4"/>
        <v>136.07771100000002</v>
      </c>
      <c r="K121">
        <v>0.47</v>
      </c>
      <c r="L121">
        <f t="shared" si="5"/>
        <v>63.956524170000009</v>
      </c>
    </row>
    <row r="122" spans="1:12" x14ac:dyDescent="0.2">
      <c r="A122" s="4">
        <v>43483</v>
      </c>
      <c r="B122" t="s">
        <v>538</v>
      </c>
      <c r="C122">
        <v>2</v>
      </c>
      <c r="D122">
        <v>6</v>
      </c>
      <c r="E122">
        <v>10</v>
      </c>
      <c r="F122" t="s">
        <v>546</v>
      </c>
      <c r="G122" t="s">
        <v>857</v>
      </c>
      <c r="H122" s="6" t="s">
        <v>1071</v>
      </c>
      <c r="I122">
        <f t="shared" si="3"/>
        <v>120</v>
      </c>
      <c r="J122">
        <f t="shared" si="4"/>
        <v>54.431084400000003</v>
      </c>
      <c r="K122">
        <v>0.47</v>
      </c>
      <c r="L122">
        <f t="shared" si="5"/>
        <v>25.582609668</v>
      </c>
    </row>
    <row r="123" spans="1:12" x14ac:dyDescent="0.2">
      <c r="A123" s="4">
        <v>43483</v>
      </c>
      <c r="B123" t="s">
        <v>538</v>
      </c>
      <c r="C123">
        <v>2</v>
      </c>
      <c r="D123">
        <v>6</v>
      </c>
      <c r="E123">
        <v>10</v>
      </c>
      <c r="F123" t="s">
        <v>432</v>
      </c>
      <c r="G123" t="s">
        <v>857</v>
      </c>
      <c r="H123" s="6" t="s">
        <v>1071</v>
      </c>
      <c r="I123">
        <f t="shared" si="3"/>
        <v>120</v>
      </c>
      <c r="J123">
        <f t="shared" si="4"/>
        <v>54.431084400000003</v>
      </c>
      <c r="K123">
        <v>0.47</v>
      </c>
      <c r="L123">
        <f t="shared" si="5"/>
        <v>25.582609668</v>
      </c>
    </row>
    <row r="124" spans="1:12" x14ac:dyDescent="0.2">
      <c r="A124" s="4">
        <v>43483</v>
      </c>
      <c r="B124" t="s">
        <v>538</v>
      </c>
      <c r="C124">
        <v>3</v>
      </c>
      <c r="D124">
        <v>6</v>
      </c>
      <c r="E124">
        <v>10</v>
      </c>
      <c r="F124" t="s">
        <v>546</v>
      </c>
      <c r="G124" t="s">
        <v>857</v>
      </c>
      <c r="H124" s="6" t="s">
        <v>1071</v>
      </c>
      <c r="I124">
        <f t="shared" si="3"/>
        <v>180</v>
      </c>
      <c r="J124">
        <f t="shared" si="4"/>
        <v>81.646626600000005</v>
      </c>
      <c r="K124">
        <v>0.47</v>
      </c>
      <c r="L124">
        <f t="shared" si="5"/>
        <v>38.373914501999998</v>
      </c>
    </row>
    <row r="125" spans="1:12" x14ac:dyDescent="0.2">
      <c r="A125" s="4">
        <v>43486</v>
      </c>
      <c r="B125" t="s">
        <v>538</v>
      </c>
      <c r="C125">
        <v>1</v>
      </c>
      <c r="D125">
        <v>6</v>
      </c>
      <c r="E125">
        <v>10</v>
      </c>
      <c r="F125" t="s">
        <v>544</v>
      </c>
      <c r="G125" t="s">
        <v>857</v>
      </c>
      <c r="H125" s="6" t="s">
        <v>1071</v>
      </c>
      <c r="I125">
        <f t="shared" si="3"/>
        <v>60</v>
      </c>
      <c r="J125">
        <f t="shared" si="4"/>
        <v>27.215542200000002</v>
      </c>
      <c r="K125">
        <v>0.47</v>
      </c>
      <c r="L125">
        <f t="shared" si="5"/>
        <v>12.791304834</v>
      </c>
    </row>
    <row r="126" spans="1:12" x14ac:dyDescent="0.2">
      <c r="A126" s="4">
        <v>43486</v>
      </c>
      <c r="B126" t="s">
        <v>538</v>
      </c>
      <c r="C126">
        <v>3</v>
      </c>
      <c r="D126">
        <v>6</v>
      </c>
      <c r="E126">
        <v>10</v>
      </c>
      <c r="F126" t="s">
        <v>432</v>
      </c>
      <c r="G126" t="s">
        <v>857</v>
      </c>
      <c r="H126" s="6" t="s">
        <v>1071</v>
      </c>
      <c r="I126">
        <f t="shared" si="3"/>
        <v>180</v>
      </c>
      <c r="J126">
        <f t="shared" si="4"/>
        <v>81.646626600000005</v>
      </c>
      <c r="K126">
        <v>0.47</v>
      </c>
      <c r="L126">
        <f t="shared" si="5"/>
        <v>38.373914501999998</v>
      </c>
    </row>
    <row r="127" spans="1:12" x14ac:dyDescent="0.2">
      <c r="A127" s="4">
        <v>43486</v>
      </c>
      <c r="B127" t="s">
        <v>538</v>
      </c>
      <c r="C127">
        <v>2</v>
      </c>
      <c r="D127">
        <v>6</v>
      </c>
      <c r="E127">
        <v>10</v>
      </c>
      <c r="F127" t="s">
        <v>546</v>
      </c>
      <c r="G127" t="s">
        <v>857</v>
      </c>
      <c r="H127" s="6" t="s">
        <v>1071</v>
      </c>
      <c r="I127">
        <f t="shared" si="3"/>
        <v>120</v>
      </c>
      <c r="J127">
        <f t="shared" si="4"/>
        <v>54.431084400000003</v>
      </c>
      <c r="K127">
        <v>0.47</v>
      </c>
      <c r="L127">
        <f t="shared" si="5"/>
        <v>25.582609668</v>
      </c>
    </row>
    <row r="128" spans="1:12" x14ac:dyDescent="0.2">
      <c r="A128" s="4">
        <v>43488</v>
      </c>
      <c r="B128" t="s">
        <v>538</v>
      </c>
      <c r="C128">
        <v>4</v>
      </c>
      <c r="D128">
        <v>6</v>
      </c>
      <c r="E128">
        <v>10</v>
      </c>
      <c r="F128" t="s">
        <v>432</v>
      </c>
      <c r="G128" t="s">
        <v>857</v>
      </c>
      <c r="H128" s="6" t="s">
        <v>1071</v>
      </c>
      <c r="I128">
        <f t="shared" si="3"/>
        <v>240</v>
      </c>
      <c r="J128">
        <f t="shared" si="4"/>
        <v>108.86216880000001</v>
      </c>
      <c r="K128">
        <v>0.47</v>
      </c>
      <c r="L128">
        <f t="shared" si="5"/>
        <v>51.165219336</v>
      </c>
    </row>
    <row r="129" spans="1:12" x14ac:dyDescent="0.2">
      <c r="A129" s="4">
        <v>43488</v>
      </c>
      <c r="B129" t="s">
        <v>538</v>
      </c>
      <c r="C129">
        <v>1</v>
      </c>
      <c r="D129">
        <v>6</v>
      </c>
      <c r="E129">
        <v>10</v>
      </c>
      <c r="F129" t="s">
        <v>574</v>
      </c>
      <c r="G129" t="s">
        <v>857</v>
      </c>
      <c r="H129" s="6" t="s">
        <v>1071</v>
      </c>
      <c r="I129">
        <f t="shared" si="3"/>
        <v>60</v>
      </c>
      <c r="J129">
        <f t="shared" si="4"/>
        <v>27.215542200000002</v>
      </c>
      <c r="K129">
        <v>0.47</v>
      </c>
      <c r="L129">
        <f t="shared" si="5"/>
        <v>12.791304834</v>
      </c>
    </row>
    <row r="130" spans="1:12" x14ac:dyDescent="0.2">
      <c r="A130" s="4">
        <v>43486</v>
      </c>
      <c r="B130" t="s">
        <v>538</v>
      </c>
      <c r="C130">
        <v>2</v>
      </c>
      <c r="D130">
        <v>6</v>
      </c>
      <c r="E130">
        <f>66.5/16</f>
        <v>4.15625</v>
      </c>
      <c r="F130" t="s">
        <v>427</v>
      </c>
      <c r="G130" t="s">
        <v>862</v>
      </c>
      <c r="H130" s="6" t="s">
        <v>1072</v>
      </c>
      <c r="I130">
        <f t="shared" si="3"/>
        <v>49.875</v>
      </c>
      <c r="J130">
        <f t="shared" si="4"/>
        <v>22.622919453750001</v>
      </c>
      <c r="K130">
        <v>2.1480000000000001</v>
      </c>
      <c r="L130">
        <f t="shared" si="5"/>
        <v>48.594030986655007</v>
      </c>
    </row>
    <row r="131" spans="1:12" x14ac:dyDescent="0.2">
      <c r="A131" s="4">
        <v>43483</v>
      </c>
      <c r="B131" t="s">
        <v>538</v>
      </c>
      <c r="C131">
        <v>1</v>
      </c>
      <c r="D131">
        <v>2</v>
      </c>
      <c r="E131">
        <f>22.0462/2</f>
        <v>11.023099999999999</v>
      </c>
      <c r="F131" t="s">
        <v>667</v>
      </c>
      <c r="G131" t="s">
        <v>872</v>
      </c>
      <c r="H131" s="6" t="s">
        <v>1071</v>
      </c>
      <c r="I131">
        <f t="shared" ref="I131:I193" si="6">C131*D131*E131</f>
        <v>22.046199999999999</v>
      </c>
      <c r="J131">
        <f t="shared" ref="J131:J194" si="7">CONVERT(I131,"lbm","kg")</f>
        <v>9.9999881074940014</v>
      </c>
      <c r="K131">
        <v>0.34</v>
      </c>
      <c r="L131">
        <f t="shared" ref="L131:L194" si="8">K131*J131</f>
        <v>3.3999959565479605</v>
      </c>
    </row>
    <row r="132" spans="1:12" x14ac:dyDescent="0.2">
      <c r="A132" s="4">
        <v>43486</v>
      </c>
      <c r="B132" t="s">
        <v>538</v>
      </c>
      <c r="C132">
        <v>1</v>
      </c>
      <c r="D132">
        <v>4</v>
      </c>
      <c r="E132">
        <v>8.41</v>
      </c>
      <c r="F132" t="s">
        <v>558</v>
      </c>
      <c r="G132" t="s">
        <v>872</v>
      </c>
      <c r="H132" s="6" t="s">
        <v>1071</v>
      </c>
      <c r="I132">
        <f t="shared" si="6"/>
        <v>33.64</v>
      </c>
      <c r="J132">
        <f t="shared" si="7"/>
        <v>15.258847326800002</v>
      </c>
      <c r="K132">
        <v>0.34</v>
      </c>
      <c r="L132">
        <f t="shared" si="8"/>
        <v>5.1880080911120006</v>
      </c>
    </row>
    <row r="133" spans="1:12" x14ac:dyDescent="0.2">
      <c r="A133" s="4">
        <v>43486</v>
      </c>
      <c r="B133" t="s">
        <v>538</v>
      </c>
      <c r="C133">
        <v>3</v>
      </c>
      <c r="D133">
        <v>6</v>
      </c>
      <c r="E133">
        <v>2</v>
      </c>
      <c r="F133" t="s">
        <v>421</v>
      </c>
      <c r="G133" t="s">
        <v>985</v>
      </c>
      <c r="H133" s="6" t="s">
        <v>1071</v>
      </c>
      <c r="I133">
        <f t="shared" si="6"/>
        <v>36</v>
      </c>
      <c r="J133">
        <f t="shared" si="7"/>
        <v>16.329325319999999</v>
      </c>
      <c r="K133">
        <v>0.34699999999999998</v>
      </c>
      <c r="L133">
        <f t="shared" si="8"/>
        <v>5.6662758860399993</v>
      </c>
    </row>
    <row r="134" spans="1:12" x14ac:dyDescent="0.2">
      <c r="A134" s="4">
        <v>43486</v>
      </c>
      <c r="B134" t="s">
        <v>538</v>
      </c>
      <c r="C134">
        <v>1</v>
      </c>
      <c r="D134">
        <v>4</v>
      </c>
      <c r="E134">
        <v>8.41</v>
      </c>
      <c r="F134" t="s">
        <v>578</v>
      </c>
      <c r="G134" t="s">
        <v>873</v>
      </c>
      <c r="H134" s="6" t="s">
        <v>1071</v>
      </c>
      <c r="I134">
        <f t="shared" si="6"/>
        <v>33.64</v>
      </c>
      <c r="J134">
        <f t="shared" si="7"/>
        <v>15.258847326800002</v>
      </c>
      <c r="K134">
        <v>0.78</v>
      </c>
      <c r="L134">
        <f t="shared" si="8"/>
        <v>11.901900914904001</v>
      </c>
    </row>
    <row r="135" spans="1:12" x14ac:dyDescent="0.2">
      <c r="A135" s="4">
        <v>43483</v>
      </c>
      <c r="B135" t="s">
        <v>517</v>
      </c>
      <c r="C135">
        <v>1</v>
      </c>
      <c r="D135">
        <v>36</v>
      </c>
      <c r="E135">
        <v>1</v>
      </c>
      <c r="F135" t="s">
        <v>382</v>
      </c>
      <c r="G135" t="s">
        <v>845</v>
      </c>
      <c r="H135" s="6" t="s">
        <v>1073</v>
      </c>
      <c r="I135">
        <f t="shared" si="6"/>
        <v>36</v>
      </c>
      <c r="J135">
        <f t="shared" si="7"/>
        <v>16.329325319999999</v>
      </c>
      <c r="K135">
        <v>11.52</v>
      </c>
      <c r="L135">
        <f t="shared" si="8"/>
        <v>188.11382768639999</v>
      </c>
    </row>
    <row r="136" spans="1:12" x14ac:dyDescent="0.2">
      <c r="A136" s="4">
        <v>43483</v>
      </c>
      <c r="B136" t="s">
        <v>517</v>
      </c>
      <c r="C136">
        <v>2</v>
      </c>
      <c r="D136">
        <v>12</v>
      </c>
      <c r="E136">
        <f>4.5/16</f>
        <v>0.28125</v>
      </c>
      <c r="F136" t="s">
        <v>645</v>
      </c>
      <c r="G136" t="s">
        <v>847</v>
      </c>
      <c r="H136" s="6" t="s">
        <v>1073</v>
      </c>
      <c r="I136">
        <f t="shared" si="6"/>
        <v>6.75</v>
      </c>
      <c r="J136">
        <f t="shared" si="7"/>
        <v>3.0617484975000004</v>
      </c>
      <c r="K136">
        <v>9.9740000000000002</v>
      </c>
      <c r="L136">
        <f t="shared" si="8"/>
        <v>30.537879514065004</v>
      </c>
    </row>
    <row r="137" spans="1:12" x14ac:dyDescent="0.2">
      <c r="A137" s="4">
        <v>43483</v>
      </c>
      <c r="B137" t="s">
        <v>517</v>
      </c>
      <c r="C137">
        <v>1</v>
      </c>
      <c r="D137">
        <v>6</v>
      </c>
      <c r="E137">
        <v>3</v>
      </c>
      <c r="F137" t="s">
        <v>387</v>
      </c>
      <c r="G137" t="s">
        <v>847</v>
      </c>
      <c r="H137" s="6" t="s">
        <v>1073</v>
      </c>
      <c r="I137">
        <f t="shared" si="6"/>
        <v>18</v>
      </c>
      <c r="J137">
        <f t="shared" si="7"/>
        <v>8.1646626599999994</v>
      </c>
      <c r="K137">
        <v>9.9740000000000002</v>
      </c>
      <c r="L137">
        <f t="shared" si="8"/>
        <v>81.434345370839992</v>
      </c>
    </row>
    <row r="138" spans="1:12" x14ac:dyDescent="0.2">
      <c r="A138" s="4">
        <v>43483</v>
      </c>
      <c r="B138" t="s">
        <v>517</v>
      </c>
      <c r="C138">
        <v>2</v>
      </c>
      <c r="D138">
        <v>2</v>
      </c>
      <c r="E138">
        <v>5</v>
      </c>
      <c r="F138" t="s">
        <v>389</v>
      </c>
      <c r="G138" t="s">
        <v>847</v>
      </c>
      <c r="H138" s="6" t="s">
        <v>1073</v>
      </c>
      <c r="I138">
        <f t="shared" si="6"/>
        <v>20</v>
      </c>
      <c r="J138">
        <f t="shared" si="7"/>
        <v>9.0718474000000011</v>
      </c>
      <c r="K138">
        <v>9.9740000000000002</v>
      </c>
      <c r="L138">
        <f t="shared" si="8"/>
        <v>90.482605967600009</v>
      </c>
    </row>
    <row r="139" spans="1:12" x14ac:dyDescent="0.2">
      <c r="A139" s="4">
        <v>43483</v>
      </c>
      <c r="B139" t="s">
        <v>517</v>
      </c>
      <c r="C139">
        <v>2</v>
      </c>
      <c r="D139">
        <v>4</v>
      </c>
      <c r="E139">
        <v>5</v>
      </c>
      <c r="F139" t="s">
        <v>390</v>
      </c>
      <c r="G139" t="s">
        <v>847</v>
      </c>
      <c r="H139" s="6" t="s">
        <v>1073</v>
      </c>
      <c r="I139">
        <f t="shared" si="6"/>
        <v>40</v>
      </c>
      <c r="J139">
        <f t="shared" si="7"/>
        <v>18.143694800000002</v>
      </c>
      <c r="K139">
        <v>9.9740000000000002</v>
      </c>
      <c r="L139">
        <f t="shared" si="8"/>
        <v>180.96521193520002</v>
      </c>
    </row>
    <row r="140" spans="1:12" x14ac:dyDescent="0.2">
      <c r="A140" s="4">
        <v>43483</v>
      </c>
      <c r="B140" t="s">
        <v>517</v>
      </c>
      <c r="C140">
        <v>5</v>
      </c>
      <c r="D140">
        <v>4</v>
      </c>
      <c r="E140">
        <v>5</v>
      </c>
      <c r="F140" t="s">
        <v>391</v>
      </c>
      <c r="G140" t="s">
        <v>847</v>
      </c>
      <c r="H140" s="6" t="s">
        <v>1073</v>
      </c>
      <c r="I140">
        <f t="shared" si="6"/>
        <v>100</v>
      </c>
      <c r="J140">
        <f t="shared" si="7"/>
        <v>45.359237</v>
      </c>
      <c r="K140">
        <v>9.9740000000000002</v>
      </c>
      <c r="L140">
        <f t="shared" si="8"/>
        <v>452.413029838</v>
      </c>
    </row>
    <row r="141" spans="1:12" x14ac:dyDescent="0.2">
      <c r="A141" s="4">
        <v>43483</v>
      </c>
      <c r="B141" t="s">
        <v>517</v>
      </c>
      <c r="C141">
        <v>10</v>
      </c>
      <c r="D141">
        <v>4</v>
      </c>
      <c r="E141">
        <v>5</v>
      </c>
      <c r="F141" t="s">
        <v>392</v>
      </c>
      <c r="G141" t="s">
        <v>847</v>
      </c>
      <c r="H141" s="6" t="s">
        <v>1073</v>
      </c>
      <c r="I141">
        <f t="shared" si="6"/>
        <v>200</v>
      </c>
      <c r="J141">
        <f t="shared" si="7"/>
        <v>90.718474000000001</v>
      </c>
      <c r="K141">
        <v>9.9740000000000002</v>
      </c>
      <c r="L141">
        <f t="shared" si="8"/>
        <v>904.826059676</v>
      </c>
    </row>
    <row r="142" spans="1:12" x14ac:dyDescent="0.2">
      <c r="A142" s="4">
        <v>43483</v>
      </c>
      <c r="B142" t="s">
        <v>517</v>
      </c>
      <c r="C142">
        <v>1</v>
      </c>
      <c r="D142">
        <v>4</v>
      </c>
      <c r="E142">
        <v>2.5</v>
      </c>
      <c r="F142" t="s">
        <v>1009</v>
      </c>
      <c r="G142" t="s">
        <v>847</v>
      </c>
      <c r="H142" s="6" t="s">
        <v>1073</v>
      </c>
      <c r="I142">
        <f t="shared" si="6"/>
        <v>10</v>
      </c>
      <c r="J142">
        <f t="shared" si="7"/>
        <v>4.5359237000000006</v>
      </c>
      <c r="K142">
        <v>9.9740000000000002</v>
      </c>
      <c r="L142">
        <f t="shared" si="8"/>
        <v>45.241302983800004</v>
      </c>
    </row>
    <row r="143" spans="1:12" x14ac:dyDescent="0.2">
      <c r="A143" s="4">
        <v>43483</v>
      </c>
      <c r="B143" t="s">
        <v>517</v>
      </c>
      <c r="C143">
        <v>1</v>
      </c>
      <c r="D143">
        <v>8</v>
      </c>
      <c r="E143">
        <v>1.25</v>
      </c>
      <c r="F143" t="s">
        <v>1010</v>
      </c>
      <c r="G143" t="s">
        <v>847</v>
      </c>
      <c r="H143" s="6" t="s">
        <v>1073</v>
      </c>
      <c r="I143">
        <f t="shared" si="6"/>
        <v>10</v>
      </c>
      <c r="J143">
        <f t="shared" si="7"/>
        <v>4.5359237000000006</v>
      </c>
      <c r="K143">
        <v>9.9740000000000002</v>
      </c>
      <c r="L143">
        <f t="shared" si="8"/>
        <v>45.241302983800004</v>
      </c>
    </row>
    <row r="144" spans="1:12" x14ac:dyDescent="0.2">
      <c r="A144" s="4">
        <v>43483</v>
      </c>
      <c r="B144" t="s">
        <v>517</v>
      </c>
      <c r="C144">
        <v>1</v>
      </c>
      <c r="D144">
        <v>4</v>
      </c>
      <c r="E144">
        <v>2.5</v>
      </c>
      <c r="F144" t="s">
        <v>1011</v>
      </c>
      <c r="G144" t="s">
        <v>847</v>
      </c>
      <c r="H144" s="6" t="s">
        <v>1073</v>
      </c>
      <c r="I144">
        <f t="shared" si="6"/>
        <v>10</v>
      </c>
      <c r="J144">
        <f t="shared" si="7"/>
        <v>4.5359237000000006</v>
      </c>
      <c r="K144">
        <v>9.9740000000000002</v>
      </c>
      <c r="L144">
        <f t="shared" si="8"/>
        <v>45.241302983800004</v>
      </c>
    </row>
    <row r="145" spans="1:12" x14ac:dyDescent="0.2">
      <c r="A145" s="4">
        <v>43483</v>
      </c>
      <c r="B145" t="s">
        <v>517</v>
      </c>
      <c r="C145">
        <v>2</v>
      </c>
      <c r="D145">
        <v>2</v>
      </c>
      <c r="E145">
        <v>5</v>
      </c>
      <c r="F145" t="s">
        <v>393</v>
      </c>
      <c r="G145" t="s">
        <v>847</v>
      </c>
      <c r="H145" s="6" t="s">
        <v>1073</v>
      </c>
      <c r="I145">
        <f t="shared" si="6"/>
        <v>20</v>
      </c>
      <c r="J145">
        <f t="shared" si="7"/>
        <v>9.0718474000000011</v>
      </c>
      <c r="K145">
        <v>9.9740000000000002</v>
      </c>
      <c r="L145">
        <f t="shared" si="8"/>
        <v>90.482605967600009</v>
      </c>
    </row>
    <row r="146" spans="1:12" x14ac:dyDescent="0.2">
      <c r="A146" s="4">
        <v>43483</v>
      </c>
      <c r="B146" t="s">
        <v>517</v>
      </c>
      <c r="C146">
        <v>1</v>
      </c>
      <c r="D146">
        <v>6</v>
      </c>
      <c r="E146">
        <v>3</v>
      </c>
      <c r="F146" t="s">
        <v>394</v>
      </c>
      <c r="G146" t="s">
        <v>847</v>
      </c>
      <c r="H146" s="6" t="s">
        <v>1073</v>
      </c>
      <c r="I146">
        <f t="shared" si="6"/>
        <v>18</v>
      </c>
      <c r="J146">
        <f t="shared" si="7"/>
        <v>8.1646626599999994</v>
      </c>
      <c r="K146">
        <v>9.9740000000000002</v>
      </c>
      <c r="L146">
        <f t="shared" si="8"/>
        <v>81.434345370839992</v>
      </c>
    </row>
    <row r="147" spans="1:12" x14ac:dyDescent="0.2">
      <c r="A147" s="4">
        <v>43486</v>
      </c>
      <c r="B147" t="s">
        <v>517</v>
      </c>
      <c r="C147">
        <v>1</v>
      </c>
      <c r="D147">
        <v>10</v>
      </c>
      <c r="E147">
        <v>3</v>
      </c>
      <c r="F147" t="s">
        <v>587</v>
      </c>
      <c r="G147" t="s">
        <v>847</v>
      </c>
      <c r="H147" s="6" t="s">
        <v>1073</v>
      </c>
      <c r="I147">
        <f t="shared" si="6"/>
        <v>30</v>
      </c>
      <c r="J147">
        <f t="shared" si="7"/>
        <v>13.607771100000001</v>
      </c>
      <c r="K147">
        <v>9.9740000000000002</v>
      </c>
      <c r="L147">
        <f t="shared" si="8"/>
        <v>135.72390895140001</v>
      </c>
    </row>
    <row r="148" spans="1:12" x14ac:dyDescent="0.2">
      <c r="A148" s="4">
        <v>43486</v>
      </c>
      <c r="B148" t="s">
        <v>517</v>
      </c>
      <c r="C148">
        <v>1</v>
      </c>
      <c r="D148">
        <v>2</v>
      </c>
      <c r="E148">
        <v>5</v>
      </c>
      <c r="F148" t="s">
        <v>389</v>
      </c>
      <c r="G148" t="s">
        <v>847</v>
      </c>
      <c r="H148" s="6" t="s">
        <v>1073</v>
      </c>
      <c r="I148">
        <f t="shared" si="6"/>
        <v>10</v>
      </c>
      <c r="J148">
        <f t="shared" si="7"/>
        <v>4.5359237000000006</v>
      </c>
      <c r="K148">
        <v>9.9740000000000002</v>
      </c>
      <c r="L148">
        <f t="shared" si="8"/>
        <v>45.241302983800004</v>
      </c>
    </row>
    <row r="149" spans="1:12" x14ac:dyDescent="0.2">
      <c r="A149" s="4">
        <v>43486</v>
      </c>
      <c r="B149" t="s">
        <v>517</v>
      </c>
      <c r="C149">
        <v>1</v>
      </c>
      <c r="D149">
        <v>1</v>
      </c>
      <c r="E149">
        <v>23.85</v>
      </c>
      <c r="F149" t="s">
        <v>676</v>
      </c>
      <c r="G149" t="s">
        <v>847</v>
      </c>
      <c r="H149" s="6" t="s">
        <v>1073</v>
      </c>
      <c r="I149">
        <f t="shared" si="6"/>
        <v>23.85</v>
      </c>
      <c r="J149">
        <f t="shared" si="7"/>
        <v>10.818178024500002</v>
      </c>
      <c r="K149">
        <v>9.9740000000000002</v>
      </c>
      <c r="L149">
        <f t="shared" si="8"/>
        <v>107.90050761636302</v>
      </c>
    </row>
    <row r="150" spans="1:12" x14ac:dyDescent="0.2">
      <c r="A150" s="4">
        <v>43486</v>
      </c>
      <c r="B150" t="s">
        <v>517</v>
      </c>
      <c r="C150">
        <v>2</v>
      </c>
      <c r="D150">
        <v>4</v>
      </c>
      <c r="E150">
        <v>5</v>
      </c>
      <c r="F150" t="s">
        <v>391</v>
      </c>
      <c r="G150" t="s">
        <v>847</v>
      </c>
      <c r="H150" s="6" t="s">
        <v>1073</v>
      </c>
      <c r="I150">
        <f t="shared" si="6"/>
        <v>40</v>
      </c>
      <c r="J150">
        <f t="shared" si="7"/>
        <v>18.143694800000002</v>
      </c>
      <c r="K150">
        <v>9.9740000000000002</v>
      </c>
      <c r="L150">
        <f t="shared" si="8"/>
        <v>180.96521193520002</v>
      </c>
    </row>
    <row r="151" spans="1:12" x14ac:dyDescent="0.2">
      <c r="A151" s="4">
        <v>43486</v>
      </c>
      <c r="B151" t="s">
        <v>517</v>
      </c>
      <c r="C151">
        <v>5</v>
      </c>
      <c r="D151">
        <v>4</v>
      </c>
      <c r="E151">
        <v>5</v>
      </c>
      <c r="F151" t="s">
        <v>392</v>
      </c>
      <c r="G151" t="s">
        <v>847</v>
      </c>
      <c r="H151" s="6" t="s">
        <v>1073</v>
      </c>
      <c r="I151">
        <f t="shared" si="6"/>
        <v>100</v>
      </c>
      <c r="J151">
        <f t="shared" si="7"/>
        <v>45.359237</v>
      </c>
      <c r="K151">
        <v>9.9740000000000002</v>
      </c>
      <c r="L151">
        <f t="shared" si="8"/>
        <v>452.413029838</v>
      </c>
    </row>
    <row r="152" spans="1:12" x14ac:dyDescent="0.2">
      <c r="A152" s="4">
        <v>43486</v>
      </c>
      <c r="B152" t="s">
        <v>517</v>
      </c>
      <c r="C152">
        <v>1</v>
      </c>
      <c r="D152">
        <v>8</v>
      </c>
      <c r="E152">
        <v>1.25</v>
      </c>
      <c r="F152" t="s">
        <v>1010</v>
      </c>
      <c r="G152" t="s">
        <v>847</v>
      </c>
      <c r="H152" s="6" t="s">
        <v>1073</v>
      </c>
      <c r="I152">
        <f t="shared" si="6"/>
        <v>10</v>
      </c>
      <c r="J152">
        <f t="shared" si="7"/>
        <v>4.5359237000000006</v>
      </c>
      <c r="K152">
        <v>9.9740000000000002</v>
      </c>
      <c r="L152">
        <f t="shared" si="8"/>
        <v>45.241302983800004</v>
      </c>
    </row>
    <row r="153" spans="1:12" x14ac:dyDescent="0.2">
      <c r="A153" s="4">
        <v>43486</v>
      </c>
      <c r="B153" t="s">
        <v>517</v>
      </c>
      <c r="C153">
        <v>2</v>
      </c>
      <c r="D153">
        <v>2</v>
      </c>
      <c r="E153">
        <v>5</v>
      </c>
      <c r="F153" t="s">
        <v>393</v>
      </c>
      <c r="G153" t="s">
        <v>847</v>
      </c>
      <c r="H153" s="6" t="s">
        <v>1073</v>
      </c>
      <c r="I153">
        <f t="shared" si="6"/>
        <v>20</v>
      </c>
      <c r="J153">
        <f t="shared" si="7"/>
        <v>9.0718474000000011</v>
      </c>
      <c r="K153">
        <v>9.9740000000000002</v>
      </c>
      <c r="L153">
        <f t="shared" si="8"/>
        <v>90.482605967600009</v>
      </c>
    </row>
    <row r="154" spans="1:12" x14ac:dyDescent="0.2">
      <c r="A154" s="4">
        <v>43488</v>
      </c>
      <c r="B154" t="s">
        <v>517</v>
      </c>
      <c r="C154">
        <v>2</v>
      </c>
      <c r="D154">
        <v>4</v>
      </c>
      <c r="E154">
        <v>5</v>
      </c>
      <c r="F154" t="s">
        <v>390</v>
      </c>
      <c r="G154" t="s">
        <v>847</v>
      </c>
      <c r="H154" s="6" t="s">
        <v>1073</v>
      </c>
      <c r="I154">
        <f t="shared" si="6"/>
        <v>40</v>
      </c>
      <c r="J154">
        <f t="shared" si="7"/>
        <v>18.143694800000002</v>
      </c>
      <c r="K154">
        <v>9.9740000000000002</v>
      </c>
      <c r="L154">
        <f t="shared" si="8"/>
        <v>180.96521193520002</v>
      </c>
    </row>
    <row r="155" spans="1:12" x14ac:dyDescent="0.2">
      <c r="A155" s="4">
        <v>43488</v>
      </c>
      <c r="B155" t="s">
        <v>517</v>
      </c>
      <c r="C155">
        <v>1</v>
      </c>
      <c r="D155">
        <v>4</v>
      </c>
      <c r="E155">
        <v>5</v>
      </c>
      <c r="F155" t="s">
        <v>391</v>
      </c>
      <c r="G155" t="s">
        <v>847</v>
      </c>
      <c r="H155" s="6" t="s">
        <v>1073</v>
      </c>
      <c r="I155">
        <f t="shared" si="6"/>
        <v>20</v>
      </c>
      <c r="J155">
        <f t="shared" si="7"/>
        <v>9.0718474000000011</v>
      </c>
      <c r="K155">
        <v>9.9740000000000002</v>
      </c>
      <c r="L155">
        <f t="shared" si="8"/>
        <v>90.482605967600009</v>
      </c>
    </row>
    <row r="156" spans="1:12" x14ac:dyDescent="0.2">
      <c r="A156" s="4">
        <v>43488</v>
      </c>
      <c r="B156" t="s">
        <v>517</v>
      </c>
      <c r="C156">
        <v>4</v>
      </c>
      <c r="D156">
        <v>4</v>
      </c>
      <c r="E156">
        <v>5</v>
      </c>
      <c r="F156" t="s">
        <v>392</v>
      </c>
      <c r="G156" t="s">
        <v>847</v>
      </c>
      <c r="H156" s="6" t="s">
        <v>1073</v>
      </c>
      <c r="I156">
        <f t="shared" si="6"/>
        <v>80</v>
      </c>
      <c r="J156">
        <f t="shared" si="7"/>
        <v>36.287389600000004</v>
      </c>
      <c r="K156">
        <v>9.9740000000000002</v>
      </c>
      <c r="L156">
        <f t="shared" si="8"/>
        <v>361.93042387040003</v>
      </c>
    </row>
    <row r="157" spans="1:12" x14ac:dyDescent="0.2">
      <c r="A157" s="4">
        <v>43488</v>
      </c>
      <c r="B157" t="s">
        <v>517</v>
      </c>
      <c r="C157">
        <v>1</v>
      </c>
      <c r="D157">
        <v>8</v>
      </c>
      <c r="E157">
        <v>1.25</v>
      </c>
      <c r="F157" t="s">
        <v>1010</v>
      </c>
      <c r="G157" t="s">
        <v>847</v>
      </c>
      <c r="H157" s="6" t="s">
        <v>1073</v>
      </c>
      <c r="I157">
        <f t="shared" si="6"/>
        <v>10</v>
      </c>
      <c r="J157">
        <f t="shared" si="7"/>
        <v>4.5359237000000006</v>
      </c>
      <c r="K157">
        <v>9.9740000000000002</v>
      </c>
      <c r="L157">
        <f t="shared" si="8"/>
        <v>45.241302983800004</v>
      </c>
    </row>
    <row r="158" spans="1:12" x14ac:dyDescent="0.2">
      <c r="A158" s="4">
        <v>43488</v>
      </c>
      <c r="B158" t="s">
        <v>517</v>
      </c>
      <c r="C158">
        <v>1</v>
      </c>
      <c r="D158">
        <v>2</v>
      </c>
      <c r="E158">
        <v>5</v>
      </c>
      <c r="F158" t="s">
        <v>393</v>
      </c>
      <c r="G158" t="s">
        <v>847</v>
      </c>
      <c r="H158" s="6" t="s">
        <v>1073</v>
      </c>
      <c r="I158">
        <f t="shared" si="6"/>
        <v>10</v>
      </c>
      <c r="J158">
        <f t="shared" si="7"/>
        <v>4.5359237000000006</v>
      </c>
      <c r="K158">
        <v>9.9740000000000002</v>
      </c>
      <c r="L158">
        <f t="shared" si="8"/>
        <v>45.241302983800004</v>
      </c>
    </row>
    <row r="159" spans="1:12" x14ac:dyDescent="0.2">
      <c r="A159" s="4">
        <v>43483</v>
      </c>
      <c r="B159" t="s">
        <v>517</v>
      </c>
      <c r="C159">
        <v>1</v>
      </c>
      <c r="D159">
        <v>1</v>
      </c>
      <c r="E159">
        <v>2</v>
      </c>
      <c r="F159" t="s">
        <v>380</v>
      </c>
      <c r="G159" t="s">
        <v>841</v>
      </c>
      <c r="H159" s="6" t="s">
        <v>1073</v>
      </c>
      <c r="I159">
        <f t="shared" si="6"/>
        <v>2</v>
      </c>
      <c r="J159">
        <f t="shared" si="7"/>
        <v>0.90718474000000004</v>
      </c>
      <c r="K159">
        <v>5.32</v>
      </c>
      <c r="L159">
        <f t="shared" si="8"/>
        <v>4.8262228168000005</v>
      </c>
    </row>
    <row r="160" spans="1:12" x14ac:dyDescent="0.2">
      <c r="A160" s="4">
        <v>43483</v>
      </c>
      <c r="B160" t="s">
        <v>517</v>
      </c>
      <c r="C160">
        <v>2</v>
      </c>
      <c r="D160">
        <v>12</v>
      </c>
      <c r="E160">
        <f>2/16</f>
        <v>0.125</v>
      </c>
      <c r="F160" t="s">
        <v>668</v>
      </c>
      <c r="G160" t="s">
        <v>841</v>
      </c>
      <c r="H160" s="6" t="s">
        <v>1073</v>
      </c>
      <c r="I160">
        <f t="shared" si="6"/>
        <v>3</v>
      </c>
      <c r="J160">
        <f t="shared" si="7"/>
        <v>1.3607771100000001</v>
      </c>
      <c r="K160">
        <v>5.32</v>
      </c>
      <c r="L160">
        <f t="shared" si="8"/>
        <v>7.2393342252000012</v>
      </c>
    </row>
    <row r="161" spans="1:12" x14ac:dyDescent="0.2">
      <c r="A161" s="4">
        <v>43483</v>
      </c>
      <c r="B161" t="s">
        <v>517</v>
      </c>
      <c r="C161">
        <v>22</v>
      </c>
      <c r="D161">
        <v>2</v>
      </c>
      <c r="E161">
        <v>20</v>
      </c>
      <c r="F161" t="s">
        <v>381</v>
      </c>
      <c r="G161" t="s">
        <v>843</v>
      </c>
      <c r="H161" s="6" t="s">
        <v>1073</v>
      </c>
      <c r="I161">
        <f t="shared" si="6"/>
        <v>880</v>
      </c>
      <c r="J161">
        <f t="shared" si="7"/>
        <v>399.16128559999999</v>
      </c>
      <c r="K161">
        <v>3.754</v>
      </c>
      <c r="L161">
        <f t="shared" si="8"/>
        <v>1498.4514661424</v>
      </c>
    </row>
    <row r="162" spans="1:12" x14ac:dyDescent="0.2">
      <c r="A162" s="4">
        <v>43483</v>
      </c>
      <c r="B162" t="s">
        <v>517</v>
      </c>
      <c r="C162">
        <v>1</v>
      </c>
      <c r="D162">
        <v>15</v>
      </c>
      <c r="E162">
        <v>2</v>
      </c>
      <c r="F162" t="s">
        <v>385</v>
      </c>
      <c r="G162" t="s">
        <v>843</v>
      </c>
      <c r="H162" s="6" t="s">
        <v>1073</v>
      </c>
      <c r="I162">
        <f t="shared" si="6"/>
        <v>30</v>
      </c>
      <c r="J162">
        <f t="shared" si="7"/>
        <v>13.607771100000001</v>
      </c>
      <c r="K162">
        <v>3.754</v>
      </c>
      <c r="L162">
        <f t="shared" si="8"/>
        <v>51.083572709400002</v>
      </c>
    </row>
    <row r="163" spans="1:12" x14ac:dyDescent="0.2">
      <c r="A163" s="4">
        <v>43483</v>
      </c>
      <c r="B163" t="s">
        <v>517</v>
      </c>
      <c r="C163">
        <v>2</v>
      </c>
      <c r="D163">
        <v>15</v>
      </c>
      <c r="E163">
        <f>24/16</f>
        <v>1.5</v>
      </c>
      <c r="F163" t="s">
        <v>386</v>
      </c>
      <c r="G163" t="s">
        <v>843</v>
      </c>
      <c r="H163" s="6" t="s">
        <v>1073</v>
      </c>
      <c r="I163">
        <f t="shared" si="6"/>
        <v>45</v>
      </c>
      <c r="J163">
        <f t="shared" si="7"/>
        <v>20.411656650000001</v>
      </c>
      <c r="K163">
        <v>3.754</v>
      </c>
      <c r="L163">
        <f t="shared" si="8"/>
        <v>76.62535906410001</v>
      </c>
    </row>
    <row r="164" spans="1:12" x14ac:dyDescent="0.2">
      <c r="A164" s="4">
        <v>43486</v>
      </c>
      <c r="B164" t="s">
        <v>517</v>
      </c>
      <c r="C164">
        <v>5</v>
      </c>
      <c r="D164">
        <v>2</v>
      </c>
      <c r="E164">
        <v>20</v>
      </c>
      <c r="F164" t="s">
        <v>381</v>
      </c>
      <c r="G164" t="s">
        <v>843</v>
      </c>
      <c r="H164" s="6" t="s">
        <v>1073</v>
      </c>
      <c r="I164">
        <f t="shared" si="6"/>
        <v>200</v>
      </c>
      <c r="J164">
        <f t="shared" si="7"/>
        <v>90.718474000000001</v>
      </c>
      <c r="K164">
        <v>3.754</v>
      </c>
      <c r="L164">
        <f t="shared" si="8"/>
        <v>340.55715139599999</v>
      </c>
    </row>
    <row r="165" spans="1:12" x14ac:dyDescent="0.2">
      <c r="A165" s="4">
        <v>43486</v>
      </c>
      <c r="B165" t="s">
        <v>517</v>
      </c>
      <c r="C165">
        <v>2</v>
      </c>
      <c r="D165">
        <v>15</v>
      </c>
      <c r="E165">
        <v>2</v>
      </c>
      <c r="F165" t="s">
        <v>385</v>
      </c>
      <c r="G165" t="s">
        <v>843</v>
      </c>
      <c r="H165" s="6" t="s">
        <v>1073</v>
      </c>
      <c r="I165">
        <f t="shared" si="6"/>
        <v>60</v>
      </c>
      <c r="J165">
        <f t="shared" si="7"/>
        <v>27.215542200000002</v>
      </c>
      <c r="K165">
        <v>3.754</v>
      </c>
      <c r="L165">
        <f t="shared" si="8"/>
        <v>102.1671454188</v>
      </c>
    </row>
    <row r="166" spans="1:12" x14ac:dyDescent="0.2">
      <c r="A166" s="4">
        <v>43486</v>
      </c>
      <c r="B166" t="s">
        <v>517</v>
      </c>
      <c r="C166">
        <v>3</v>
      </c>
      <c r="D166">
        <v>15</v>
      </c>
      <c r="E166">
        <f>24/16</f>
        <v>1.5</v>
      </c>
      <c r="F166" t="s">
        <v>386</v>
      </c>
      <c r="G166" t="s">
        <v>843</v>
      </c>
      <c r="H166" s="6" t="s">
        <v>1073</v>
      </c>
      <c r="I166">
        <f t="shared" si="6"/>
        <v>67.5</v>
      </c>
      <c r="J166">
        <f t="shared" si="7"/>
        <v>30.617484975</v>
      </c>
      <c r="K166">
        <v>3.754</v>
      </c>
      <c r="L166">
        <f t="shared" si="8"/>
        <v>114.93803859614999</v>
      </c>
    </row>
    <row r="167" spans="1:12" x14ac:dyDescent="0.2">
      <c r="A167" s="4">
        <v>43488</v>
      </c>
      <c r="B167" t="s">
        <v>517</v>
      </c>
      <c r="C167">
        <v>5</v>
      </c>
      <c r="D167">
        <v>2</v>
      </c>
      <c r="E167">
        <v>20</v>
      </c>
      <c r="F167" t="s">
        <v>381</v>
      </c>
      <c r="G167" t="s">
        <v>843</v>
      </c>
      <c r="H167" s="6" t="s">
        <v>1073</v>
      </c>
      <c r="I167">
        <f t="shared" si="6"/>
        <v>200</v>
      </c>
      <c r="J167">
        <f t="shared" si="7"/>
        <v>90.718474000000001</v>
      </c>
      <c r="K167">
        <v>3.754</v>
      </c>
      <c r="L167">
        <f t="shared" si="8"/>
        <v>340.55715139599999</v>
      </c>
    </row>
    <row r="168" spans="1:12" x14ac:dyDescent="0.2">
      <c r="A168" s="4">
        <v>43488</v>
      </c>
      <c r="B168" t="s">
        <v>517</v>
      </c>
      <c r="C168">
        <v>1</v>
      </c>
      <c r="D168">
        <v>15</v>
      </c>
      <c r="E168">
        <v>2</v>
      </c>
      <c r="F168" t="s">
        <v>385</v>
      </c>
      <c r="G168" t="s">
        <v>843</v>
      </c>
      <c r="H168" s="6" t="s">
        <v>1073</v>
      </c>
      <c r="I168">
        <f t="shared" si="6"/>
        <v>30</v>
      </c>
      <c r="J168">
        <f t="shared" si="7"/>
        <v>13.607771100000001</v>
      </c>
      <c r="K168">
        <v>3.754</v>
      </c>
      <c r="L168">
        <f t="shared" si="8"/>
        <v>51.083572709400002</v>
      </c>
    </row>
    <row r="169" spans="1:12" x14ac:dyDescent="0.2">
      <c r="A169" s="4">
        <v>43486</v>
      </c>
      <c r="B169" t="s">
        <v>517</v>
      </c>
      <c r="C169">
        <v>1</v>
      </c>
      <c r="D169">
        <v>1</v>
      </c>
      <c r="E169">
        <f>3*6.07</f>
        <v>18.21</v>
      </c>
      <c r="F169" t="s">
        <v>466</v>
      </c>
      <c r="G169" t="s">
        <v>888</v>
      </c>
      <c r="H169" s="6" t="s">
        <v>1073</v>
      </c>
      <c r="I169">
        <f t="shared" si="6"/>
        <v>18.21</v>
      </c>
      <c r="J169">
        <f t="shared" si="7"/>
        <v>8.259917057700001</v>
      </c>
      <c r="K169">
        <v>3.84</v>
      </c>
      <c r="L169">
        <f t="shared" si="8"/>
        <v>31.718081501568001</v>
      </c>
    </row>
    <row r="170" spans="1:12" x14ac:dyDescent="0.2">
      <c r="A170" s="4">
        <v>43486</v>
      </c>
      <c r="B170" t="s">
        <v>517</v>
      </c>
      <c r="C170">
        <v>2</v>
      </c>
      <c r="D170">
        <v>1</v>
      </c>
      <c r="E170">
        <f>3*6.07</f>
        <v>18.21</v>
      </c>
      <c r="F170" t="s">
        <v>467</v>
      </c>
      <c r="G170" t="s">
        <v>888</v>
      </c>
      <c r="H170" s="6" t="s">
        <v>1073</v>
      </c>
      <c r="I170">
        <f t="shared" si="6"/>
        <v>36.42</v>
      </c>
      <c r="J170">
        <f t="shared" si="7"/>
        <v>16.519834115400002</v>
      </c>
      <c r="K170">
        <v>3.84</v>
      </c>
      <c r="L170">
        <f t="shared" si="8"/>
        <v>63.436163003136002</v>
      </c>
    </row>
    <row r="171" spans="1:12" x14ac:dyDescent="0.2">
      <c r="A171" s="4">
        <v>43486</v>
      </c>
      <c r="B171" t="s">
        <v>517</v>
      </c>
      <c r="C171">
        <v>2</v>
      </c>
      <c r="D171">
        <v>1</v>
      </c>
      <c r="E171">
        <f>3*6.07</f>
        <v>18.21</v>
      </c>
      <c r="F171" t="s">
        <v>468</v>
      </c>
      <c r="G171" t="s">
        <v>888</v>
      </c>
      <c r="H171" s="6" t="s">
        <v>1073</v>
      </c>
      <c r="I171">
        <f t="shared" si="6"/>
        <v>36.42</v>
      </c>
      <c r="J171">
        <f t="shared" si="7"/>
        <v>16.519834115400002</v>
      </c>
      <c r="K171">
        <v>3.84</v>
      </c>
      <c r="L171">
        <f t="shared" si="8"/>
        <v>63.436163003136002</v>
      </c>
    </row>
    <row r="172" spans="1:12" x14ac:dyDescent="0.2">
      <c r="A172" s="4">
        <v>43486</v>
      </c>
      <c r="B172" t="s">
        <v>517</v>
      </c>
      <c r="C172">
        <v>3</v>
      </c>
      <c r="D172">
        <v>1</v>
      </c>
      <c r="E172">
        <f>3*6.07</f>
        <v>18.21</v>
      </c>
      <c r="F172" t="s">
        <v>469</v>
      </c>
      <c r="G172" t="s">
        <v>888</v>
      </c>
      <c r="H172" s="6" t="s">
        <v>1073</v>
      </c>
      <c r="I172">
        <f t="shared" si="6"/>
        <v>54.63</v>
      </c>
      <c r="J172">
        <f t="shared" si="7"/>
        <v>24.779751173100003</v>
      </c>
      <c r="K172">
        <v>3.84</v>
      </c>
      <c r="L172">
        <f t="shared" si="8"/>
        <v>95.15424450470401</v>
      </c>
    </row>
    <row r="173" spans="1:12" x14ac:dyDescent="0.2">
      <c r="A173" s="4">
        <v>43486</v>
      </c>
      <c r="B173" t="s">
        <v>517</v>
      </c>
      <c r="C173">
        <v>1</v>
      </c>
      <c r="D173">
        <v>1</v>
      </c>
      <c r="E173">
        <f>3*6.07</f>
        <v>18.21</v>
      </c>
      <c r="F173" t="s">
        <v>524</v>
      </c>
      <c r="G173" t="s">
        <v>888</v>
      </c>
      <c r="H173" s="6" t="s">
        <v>1073</v>
      </c>
      <c r="I173">
        <f t="shared" si="6"/>
        <v>18.21</v>
      </c>
      <c r="J173">
        <f t="shared" si="7"/>
        <v>8.259917057700001</v>
      </c>
      <c r="K173">
        <v>3.84</v>
      </c>
      <c r="L173">
        <f t="shared" si="8"/>
        <v>31.718081501568001</v>
      </c>
    </row>
    <row r="174" spans="1:12" x14ac:dyDescent="0.2">
      <c r="A174" s="4">
        <v>43483</v>
      </c>
      <c r="B174" t="s">
        <v>517</v>
      </c>
      <c r="C174">
        <v>1</v>
      </c>
      <c r="D174">
        <v>6</v>
      </c>
      <c r="E174">
        <v>5</v>
      </c>
      <c r="F174" t="s">
        <v>646</v>
      </c>
      <c r="G174" s="14" t="s">
        <v>926</v>
      </c>
      <c r="H174" s="6" t="s">
        <v>1071</v>
      </c>
      <c r="I174">
        <f t="shared" si="6"/>
        <v>30</v>
      </c>
      <c r="J174">
        <f t="shared" si="7"/>
        <v>13.607771100000001</v>
      </c>
      <c r="L174">
        <f t="shared" si="8"/>
        <v>0</v>
      </c>
    </row>
    <row r="175" spans="1:12" x14ac:dyDescent="0.2">
      <c r="A175" s="4">
        <v>43483</v>
      </c>
      <c r="B175" t="s">
        <v>517</v>
      </c>
      <c r="C175">
        <v>1</v>
      </c>
      <c r="D175">
        <v>20</v>
      </c>
      <c r="E175">
        <f>8/16</f>
        <v>0.5</v>
      </c>
      <c r="F175" t="s">
        <v>465</v>
      </c>
      <c r="G175" t="s">
        <v>842</v>
      </c>
      <c r="H175" s="6" t="s">
        <v>1073</v>
      </c>
      <c r="I175">
        <f t="shared" si="6"/>
        <v>10</v>
      </c>
      <c r="J175">
        <f t="shared" si="7"/>
        <v>4.5359237000000006</v>
      </c>
      <c r="K175">
        <v>1.23</v>
      </c>
      <c r="L175">
        <f t="shared" si="8"/>
        <v>5.5791861510000009</v>
      </c>
    </row>
    <row r="176" spans="1:12" x14ac:dyDescent="0.2">
      <c r="A176" s="4">
        <v>43486</v>
      </c>
      <c r="B176" t="s">
        <v>517</v>
      </c>
      <c r="C176">
        <v>2</v>
      </c>
      <c r="D176">
        <v>1</v>
      </c>
      <c r="E176">
        <f>2.5*8.6</f>
        <v>21.5</v>
      </c>
      <c r="F176" t="s">
        <v>463</v>
      </c>
      <c r="G176" t="s">
        <v>965</v>
      </c>
      <c r="H176" s="6" t="s">
        <v>1071</v>
      </c>
      <c r="I176">
        <f t="shared" si="6"/>
        <v>43</v>
      </c>
      <c r="J176">
        <f t="shared" si="7"/>
        <v>19.504471909999999</v>
      </c>
      <c r="K176">
        <v>0.25800000000000001</v>
      </c>
      <c r="L176">
        <f t="shared" si="8"/>
        <v>5.0321537527800002</v>
      </c>
    </row>
    <row r="177" spans="1:12" x14ac:dyDescent="0.2">
      <c r="A177" s="4">
        <v>43486</v>
      </c>
      <c r="B177" t="s">
        <v>517</v>
      </c>
      <c r="C177">
        <v>0</v>
      </c>
      <c r="D177">
        <v>1</v>
      </c>
      <c r="E177">
        <f>2.5*8.6</f>
        <v>21.5</v>
      </c>
      <c r="F177" t="s">
        <v>464</v>
      </c>
      <c r="G177" t="s">
        <v>965</v>
      </c>
      <c r="H177" s="6" t="s">
        <v>1071</v>
      </c>
      <c r="I177">
        <f t="shared" si="6"/>
        <v>0</v>
      </c>
      <c r="J177">
        <f t="shared" si="7"/>
        <v>0</v>
      </c>
      <c r="K177">
        <v>0.25800000000000001</v>
      </c>
      <c r="L177">
        <f t="shared" si="8"/>
        <v>0</v>
      </c>
    </row>
    <row r="178" spans="1:12" x14ac:dyDescent="0.2">
      <c r="A178" s="4">
        <v>43486</v>
      </c>
      <c r="B178" t="s">
        <v>517</v>
      </c>
      <c r="C178">
        <v>2</v>
      </c>
      <c r="D178">
        <v>20</v>
      </c>
      <c r="E178">
        <f>8/16</f>
        <v>0.5</v>
      </c>
      <c r="F178" t="s">
        <v>465</v>
      </c>
      <c r="G178" t="s">
        <v>842</v>
      </c>
      <c r="H178" s="6" t="s">
        <v>1073</v>
      </c>
      <c r="I178">
        <f t="shared" si="6"/>
        <v>20</v>
      </c>
      <c r="J178">
        <f t="shared" si="7"/>
        <v>9.0718474000000011</v>
      </c>
      <c r="K178">
        <v>1.23</v>
      </c>
      <c r="L178">
        <f t="shared" si="8"/>
        <v>11.158372302000002</v>
      </c>
    </row>
    <row r="179" spans="1:12" x14ac:dyDescent="0.2">
      <c r="A179" s="4">
        <v>43488</v>
      </c>
      <c r="B179" t="s">
        <v>517</v>
      </c>
      <c r="C179">
        <v>2</v>
      </c>
      <c r="D179">
        <v>20</v>
      </c>
      <c r="E179">
        <f>8/16</f>
        <v>0.5</v>
      </c>
      <c r="F179" t="s">
        <v>465</v>
      </c>
      <c r="G179" t="s">
        <v>842</v>
      </c>
      <c r="H179" s="6" t="s">
        <v>1073</v>
      </c>
      <c r="I179">
        <f t="shared" si="6"/>
        <v>20</v>
      </c>
      <c r="J179">
        <f t="shared" si="7"/>
        <v>9.0718474000000011</v>
      </c>
      <c r="K179">
        <v>1.23</v>
      </c>
      <c r="L179">
        <f t="shared" si="8"/>
        <v>11.158372302000002</v>
      </c>
    </row>
    <row r="180" spans="1:12" x14ac:dyDescent="0.2">
      <c r="A180" s="4">
        <v>43488</v>
      </c>
      <c r="B180" t="s">
        <v>517</v>
      </c>
      <c r="C180">
        <v>3</v>
      </c>
      <c r="D180">
        <v>1</v>
      </c>
      <c r="E180">
        <f>2.5*8.6</f>
        <v>21.5</v>
      </c>
      <c r="F180" t="s">
        <v>463</v>
      </c>
      <c r="G180" t="s">
        <v>933</v>
      </c>
      <c r="H180" s="6" t="s">
        <v>1071</v>
      </c>
      <c r="I180">
        <f t="shared" si="6"/>
        <v>64.5</v>
      </c>
      <c r="J180">
        <f t="shared" si="7"/>
        <v>29.256707864999999</v>
      </c>
      <c r="K180">
        <v>0.25800000000000001</v>
      </c>
      <c r="L180">
        <f t="shared" si="8"/>
        <v>7.5482306291699999</v>
      </c>
    </row>
    <row r="181" spans="1:12" x14ac:dyDescent="0.2">
      <c r="A181" s="4">
        <v>43488</v>
      </c>
      <c r="B181" t="s">
        <v>517</v>
      </c>
      <c r="C181">
        <v>3</v>
      </c>
      <c r="D181">
        <v>1</v>
      </c>
      <c r="E181">
        <f>2.5*8.6</f>
        <v>21.5</v>
      </c>
      <c r="F181" t="s">
        <v>464</v>
      </c>
      <c r="G181" t="s">
        <v>933</v>
      </c>
      <c r="H181" s="6" t="s">
        <v>1071</v>
      </c>
      <c r="I181">
        <f t="shared" si="6"/>
        <v>64.5</v>
      </c>
      <c r="J181">
        <f t="shared" si="7"/>
        <v>29.256707864999999</v>
      </c>
      <c r="K181">
        <v>0.25800000000000001</v>
      </c>
      <c r="L181">
        <f t="shared" si="8"/>
        <v>7.5482306291699999</v>
      </c>
    </row>
    <row r="182" spans="1:12" x14ac:dyDescent="0.2">
      <c r="A182" s="4">
        <v>43483</v>
      </c>
      <c r="B182" t="s">
        <v>517</v>
      </c>
      <c r="C182">
        <v>1</v>
      </c>
      <c r="D182">
        <v>1</v>
      </c>
      <c r="E182">
        <f>2.5*8.6</f>
        <v>21.5</v>
      </c>
      <c r="F182" t="s">
        <v>463</v>
      </c>
      <c r="G182" t="s">
        <v>965</v>
      </c>
      <c r="H182" s="6" t="s">
        <v>1071</v>
      </c>
      <c r="I182">
        <f t="shared" si="6"/>
        <v>21.5</v>
      </c>
      <c r="J182">
        <f t="shared" si="7"/>
        <v>9.7522359549999997</v>
      </c>
      <c r="K182">
        <v>0.25800000000000001</v>
      </c>
      <c r="L182">
        <f t="shared" si="8"/>
        <v>2.5160768763900001</v>
      </c>
    </row>
    <row r="183" spans="1:12" x14ac:dyDescent="0.2">
      <c r="A183" s="4">
        <v>43483</v>
      </c>
      <c r="B183" t="s">
        <v>517</v>
      </c>
      <c r="C183">
        <v>2</v>
      </c>
      <c r="D183">
        <v>1</v>
      </c>
      <c r="E183">
        <f>2.5*8.6</f>
        <v>21.5</v>
      </c>
      <c r="F183" t="s">
        <v>464</v>
      </c>
      <c r="G183" t="s">
        <v>965</v>
      </c>
      <c r="H183" s="6" t="s">
        <v>1071</v>
      </c>
      <c r="I183">
        <f t="shared" si="6"/>
        <v>43</v>
      </c>
      <c r="J183">
        <f t="shared" si="7"/>
        <v>19.504471909999999</v>
      </c>
      <c r="K183">
        <v>0.25800000000000001</v>
      </c>
      <c r="L183">
        <f t="shared" si="8"/>
        <v>5.0321537527800002</v>
      </c>
    </row>
    <row r="184" spans="1:12" x14ac:dyDescent="0.2">
      <c r="A184" s="4">
        <v>43483</v>
      </c>
      <c r="B184" t="s">
        <v>517</v>
      </c>
      <c r="C184">
        <v>5</v>
      </c>
      <c r="D184">
        <v>2</v>
      </c>
      <c r="E184">
        <v>6</v>
      </c>
      <c r="F184" t="s">
        <v>383</v>
      </c>
      <c r="G184" t="s">
        <v>846</v>
      </c>
      <c r="H184" s="6" t="s">
        <v>1073</v>
      </c>
      <c r="I184">
        <f t="shared" si="6"/>
        <v>60</v>
      </c>
      <c r="J184">
        <f t="shared" si="7"/>
        <v>27.215542200000002</v>
      </c>
      <c r="K184">
        <v>1.33</v>
      </c>
      <c r="L184">
        <f t="shared" si="8"/>
        <v>36.196671126000005</v>
      </c>
    </row>
    <row r="185" spans="1:12" x14ac:dyDescent="0.2">
      <c r="A185" s="4">
        <v>43483</v>
      </c>
      <c r="B185" t="s">
        <v>517</v>
      </c>
      <c r="C185">
        <v>5</v>
      </c>
      <c r="D185">
        <v>2</v>
      </c>
      <c r="E185">
        <v>6</v>
      </c>
      <c r="F185" t="s">
        <v>384</v>
      </c>
      <c r="G185" t="s">
        <v>846</v>
      </c>
      <c r="H185" s="6" t="s">
        <v>1073</v>
      </c>
      <c r="I185">
        <f t="shared" si="6"/>
        <v>60</v>
      </c>
      <c r="J185">
        <f t="shared" si="7"/>
        <v>27.215542200000002</v>
      </c>
      <c r="K185">
        <v>1.33</v>
      </c>
      <c r="L185">
        <f t="shared" si="8"/>
        <v>36.196671126000005</v>
      </c>
    </row>
    <row r="186" spans="1:12" x14ac:dyDescent="0.2">
      <c r="A186" s="4">
        <v>43486</v>
      </c>
      <c r="B186" t="s">
        <v>517</v>
      </c>
      <c r="C186">
        <v>5</v>
      </c>
      <c r="D186">
        <v>2</v>
      </c>
      <c r="E186">
        <v>6</v>
      </c>
      <c r="F186" t="s">
        <v>383</v>
      </c>
      <c r="G186" t="s">
        <v>846</v>
      </c>
      <c r="H186" s="6" t="s">
        <v>1073</v>
      </c>
      <c r="I186">
        <f t="shared" si="6"/>
        <v>60</v>
      </c>
      <c r="J186">
        <f t="shared" si="7"/>
        <v>27.215542200000002</v>
      </c>
      <c r="K186">
        <v>1.33</v>
      </c>
      <c r="L186">
        <f t="shared" si="8"/>
        <v>36.196671126000005</v>
      </c>
    </row>
    <row r="187" spans="1:12" x14ac:dyDescent="0.2">
      <c r="A187" s="4">
        <v>43486</v>
      </c>
      <c r="B187" t="s">
        <v>517</v>
      </c>
      <c r="C187">
        <v>5</v>
      </c>
      <c r="D187">
        <v>2</v>
      </c>
      <c r="E187">
        <v>6</v>
      </c>
      <c r="F187" t="s">
        <v>384</v>
      </c>
      <c r="G187" t="s">
        <v>846</v>
      </c>
      <c r="H187" s="6" t="s">
        <v>1073</v>
      </c>
      <c r="I187">
        <f t="shared" si="6"/>
        <v>60</v>
      </c>
      <c r="J187">
        <f t="shared" si="7"/>
        <v>27.215542200000002</v>
      </c>
      <c r="K187">
        <v>1.33</v>
      </c>
      <c r="L187">
        <f t="shared" si="8"/>
        <v>36.196671126000005</v>
      </c>
    </row>
    <row r="188" spans="1:12" x14ac:dyDescent="0.2">
      <c r="A188" s="4">
        <v>43488</v>
      </c>
      <c r="B188" t="s">
        <v>517</v>
      </c>
      <c r="C188">
        <v>4</v>
      </c>
      <c r="D188">
        <v>2</v>
      </c>
      <c r="E188">
        <v>6</v>
      </c>
      <c r="F188" t="s">
        <v>383</v>
      </c>
      <c r="G188" t="s">
        <v>846</v>
      </c>
      <c r="H188" s="6" t="s">
        <v>1073</v>
      </c>
      <c r="I188">
        <f t="shared" si="6"/>
        <v>48</v>
      </c>
      <c r="J188">
        <f t="shared" si="7"/>
        <v>21.772433760000002</v>
      </c>
      <c r="K188">
        <v>1.33</v>
      </c>
      <c r="L188">
        <f t="shared" si="8"/>
        <v>28.957336900800005</v>
      </c>
    </row>
    <row r="189" spans="1:12" x14ac:dyDescent="0.2">
      <c r="A189" s="4">
        <v>43488</v>
      </c>
      <c r="B189" t="s">
        <v>517</v>
      </c>
      <c r="C189">
        <v>2</v>
      </c>
      <c r="D189">
        <v>2</v>
      </c>
      <c r="E189">
        <v>6</v>
      </c>
      <c r="F189" t="s">
        <v>384</v>
      </c>
      <c r="G189" t="s">
        <v>846</v>
      </c>
      <c r="H189" s="6" t="s">
        <v>1073</v>
      </c>
      <c r="I189">
        <f t="shared" si="6"/>
        <v>24</v>
      </c>
      <c r="J189">
        <f t="shared" si="7"/>
        <v>10.886216880000001</v>
      </c>
      <c r="K189">
        <v>1.33</v>
      </c>
      <c r="L189">
        <f t="shared" si="8"/>
        <v>14.478668450400002</v>
      </c>
    </row>
    <row r="190" spans="1:12" x14ac:dyDescent="0.2">
      <c r="A190" s="4">
        <v>43486</v>
      </c>
      <c r="B190" t="s">
        <v>531</v>
      </c>
      <c r="C190">
        <v>4</v>
      </c>
      <c r="D190">
        <v>40</v>
      </c>
      <c r="E190">
        <f>1/4</f>
        <v>0.25</v>
      </c>
      <c r="F190" t="s">
        <v>536</v>
      </c>
      <c r="G190" t="s">
        <v>983</v>
      </c>
      <c r="H190" s="6" t="s">
        <v>1071</v>
      </c>
      <c r="I190">
        <f t="shared" si="6"/>
        <v>40</v>
      </c>
      <c r="J190">
        <f t="shared" si="7"/>
        <v>18.143694800000002</v>
      </c>
      <c r="K190" s="38">
        <v>3.5270000000000001</v>
      </c>
      <c r="L190">
        <f t="shared" si="8"/>
        <v>63.992811559600007</v>
      </c>
    </row>
    <row r="191" spans="1:12" x14ac:dyDescent="0.2">
      <c r="A191" s="4">
        <v>43486</v>
      </c>
      <c r="B191" t="s">
        <v>531</v>
      </c>
      <c r="C191">
        <v>3</v>
      </c>
      <c r="D191">
        <v>2</v>
      </c>
      <c r="E191">
        <v>5</v>
      </c>
      <c r="F191" t="s">
        <v>535</v>
      </c>
      <c r="G191" s="14" t="s">
        <v>982</v>
      </c>
      <c r="H191" s="6" t="s">
        <v>1071</v>
      </c>
      <c r="I191">
        <f t="shared" si="6"/>
        <v>30</v>
      </c>
      <c r="J191">
        <f t="shared" si="7"/>
        <v>13.607771100000001</v>
      </c>
      <c r="L191">
        <f t="shared" si="8"/>
        <v>0</v>
      </c>
    </row>
    <row r="192" spans="1:12" x14ac:dyDescent="0.2">
      <c r="A192" s="4">
        <v>43483</v>
      </c>
      <c r="B192" t="s">
        <v>531</v>
      </c>
      <c r="C192">
        <v>3</v>
      </c>
      <c r="D192">
        <v>48</v>
      </c>
      <c r="E192">
        <f>2.9/16</f>
        <v>0.18124999999999999</v>
      </c>
      <c r="F192" t="s">
        <v>417</v>
      </c>
      <c r="G192" t="s">
        <v>895</v>
      </c>
      <c r="H192" s="6" t="s">
        <v>1071</v>
      </c>
      <c r="I192">
        <f t="shared" si="6"/>
        <v>26.099999999999998</v>
      </c>
      <c r="J192">
        <f t="shared" si="7"/>
        <v>11.838760856999999</v>
      </c>
      <c r="K192" s="38">
        <v>6.87</v>
      </c>
      <c r="L192">
        <f t="shared" si="8"/>
        <v>81.332287087589989</v>
      </c>
    </row>
    <row r="193" spans="1:12" x14ac:dyDescent="0.2">
      <c r="A193" s="4">
        <v>43488</v>
      </c>
      <c r="B193" t="s">
        <v>531</v>
      </c>
      <c r="C193">
        <v>4</v>
      </c>
      <c r="D193">
        <v>48</v>
      </c>
      <c r="E193">
        <f>2.9/16</f>
        <v>0.18124999999999999</v>
      </c>
      <c r="F193" t="s">
        <v>417</v>
      </c>
      <c r="G193" t="s">
        <v>895</v>
      </c>
      <c r="H193" s="6" t="s">
        <v>1071</v>
      </c>
      <c r="I193">
        <f t="shared" si="6"/>
        <v>34.799999999999997</v>
      </c>
      <c r="J193">
        <f t="shared" si="7"/>
        <v>15.785014475999999</v>
      </c>
      <c r="K193" s="38">
        <v>6.87</v>
      </c>
      <c r="L193">
        <f t="shared" si="8"/>
        <v>108.44304945012</v>
      </c>
    </row>
    <row r="194" spans="1:12" x14ac:dyDescent="0.2">
      <c r="A194" s="4">
        <v>43484</v>
      </c>
      <c r="B194" t="s">
        <v>531</v>
      </c>
      <c r="C194">
        <v>1</v>
      </c>
      <c r="D194">
        <v>16</v>
      </c>
      <c r="E194" t="s">
        <v>674</v>
      </c>
      <c r="F194" t="s">
        <v>675</v>
      </c>
      <c r="G194" s="14" t="s">
        <v>868</v>
      </c>
      <c r="H194" s="6" t="s">
        <v>1071</v>
      </c>
      <c r="I194">
        <v>0</v>
      </c>
      <c r="J194">
        <f t="shared" si="7"/>
        <v>0</v>
      </c>
      <c r="K194">
        <v>1.28</v>
      </c>
      <c r="L194">
        <f t="shared" si="8"/>
        <v>0</v>
      </c>
    </row>
    <row r="195" spans="1:12" x14ac:dyDescent="0.2">
      <c r="A195" s="4">
        <v>43486</v>
      </c>
      <c r="B195" t="s">
        <v>531</v>
      </c>
      <c r="C195">
        <v>1</v>
      </c>
      <c r="D195">
        <v>12</v>
      </c>
      <c r="E195">
        <f>10*0.177</f>
        <v>1.77</v>
      </c>
      <c r="F195" t="s">
        <v>651</v>
      </c>
      <c r="G195" s="6" t="s">
        <v>868</v>
      </c>
      <c r="H195" s="6" t="s">
        <v>1071</v>
      </c>
      <c r="I195">
        <f t="shared" ref="I195:I241" si="9">C195*D195*E195</f>
        <v>21.240000000000002</v>
      </c>
      <c r="J195">
        <f t="shared" ref="J195:J241" si="10">CONVERT(I195,"lbm","kg")</f>
        <v>9.634301938800002</v>
      </c>
      <c r="K195">
        <v>1.28</v>
      </c>
      <c r="L195">
        <f t="shared" ref="L195:L241" si="11">K195*J195</f>
        <v>12.331906481664003</v>
      </c>
    </row>
    <row r="196" spans="1:12" x14ac:dyDescent="0.2">
      <c r="A196" s="4">
        <v>43483</v>
      </c>
      <c r="B196" t="s">
        <v>531</v>
      </c>
      <c r="C196">
        <v>4</v>
      </c>
      <c r="D196">
        <v>12</v>
      </c>
      <c r="E196">
        <f>10*0.177</f>
        <v>1.77</v>
      </c>
      <c r="F196" t="s">
        <v>651</v>
      </c>
      <c r="G196" s="6" t="s">
        <v>967</v>
      </c>
      <c r="H196" s="6" t="s">
        <v>1071</v>
      </c>
      <c r="I196">
        <f t="shared" si="9"/>
        <v>84.960000000000008</v>
      </c>
      <c r="J196">
        <f t="shared" si="10"/>
        <v>38.537207755200008</v>
      </c>
      <c r="K196">
        <v>1.28</v>
      </c>
      <c r="L196">
        <f t="shared" si="11"/>
        <v>49.327625926656012</v>
      </c>
    </row>
    <row r="197" spans="1:12" x14ac:dyDescent="0.2">
      <c r="A197" s="4">
        <v>43484</v>
      </c>
      <c r="B197" t="s">
        <v>531</v>
      </c>
      <c r="C197">
        <v>3</v>
      </c>
      <c r="D197">
        <v>8</v>
      </c>
      <c r="E197">
        <f>12*1.4</f>
        <v>16.799999999999997</v>
      </c>
      <c r="F197" t="s">
        <v>672</v>
      </c>
      <c r="G197" t="s">
        <v>880</v>
      </c>
      <c r="H197" s="6" t="s">
        <v>1071</v>
      </c>
      <c r="I197">
        <f t="shared" si="9"/>
        <v>403.19999999999993</v>
      </c>
      <c r="J197">
        <f t="shared" si="10"/>
        <v>182.88844358399996</v>
      </c>
      <c r="K197">
        <v>1.28</v>
      </c>
      <c r="L197">
        <f t="shared" si="11"/>
        <v>234.09720778751995</v>
      </c>
    </row>
    <row r="198" spans="1:12" x14ac:dyDescent="0.2">
      <c r="A198" s="4">
        <v>43484</v>
      </c>
      <c r="B198" t="s">
        <v>531</v>
      </c>
      <c r="C198">
        <v>2</v>
      </c>
      <c r="D198">
        <v>8</v>
      </c>
      <c r="E198">
        <f>12*1.4</f>
        <v>16.799999999999997</v>
      </c>
      <c r="F198" t="s">
        <v>673</v>
      </c>
      <c r="G198" t="s">
        <v>880</v>
      </c>
      <c r="H198" s="6" t="s">
        <v>1071</v>
      </c>
      <c r="I198">
        <f t="shared" si="9"/>
        <v>268.79999999999995</v>
      </c>
      <c r="J198">
        <f t="shared" si="10"/>
        <v>121.92562905599999</v>
      </c>
      <c r="K198">
        <v>1.28</v>
      </c>
      <c r="L198">
        <f t="shared" si="11"/>
        <v>156.06480519167999</v>
      </c>
    </row>
    <row r="199" spans="1:12" x14ac:dyDescent="0.2">
      <c r="A199" s="4">
        <v>43483</v>
      </c>
      <c r="B199" t="s">
        <v>531</v>
      </c>
      <c r="C199">
        <v>4</v>
      </c>
      <c r="D199">
        <v>2</v>
      </c>
      <c r="E199">
        <v>4</v>
      </c>
      <c r="F199" t="s">
        <v>652</v>
      </c>
      <c r="G199" t="s">
        <v>847</v>
      </c>
      <c r="H199" s="6" t="s">
        <v>1073</v>
      </c>
      <c r="I199">
        <f t="shared" si="9"/>
        <v>32</v>
      </c>
      <c r="J199">
        <f t="shared" si="10"/>
        <v>14.514955840000001</v>
      </c>
      <c r="K199">
        <v>9.9740000000000002</v>
      </c>
      <c r="L199">
        <f t="shared" si="11"/>
        <v>144.77216954816001</v>
      </c>
    </row>
    <row r="200" spans="1:12" x14ac:dyDescent="0.2">
      <c r="A200" s="4">
        <v>43483</v>
      </c>
      <c r="B200" t="s">
        <v>531</v>
      </c>
      <c r="C200">
        <v>2</v>
      </c>
      <c r="D200">
        <v>1</v>
      </c>
      <c r="E200">
        <v>30</v>
      </c>
      <c r="F200" t="s">
        <v>411</v>
      </c>
      <c r="G200" t="s">
        <v>1058</v>
      </c>
      <c r="H200" s="6" t="s">
        <v>1071</v>
      </c>
      <c r="I200">
        <f t="shared" si="9"/>
        <v>60</v>
      </c>
      <c r="J200">
        <f t="shared" si="10"/>
        <v>27.215542200000002</v>
      </c>
      <c r="K200">
        <v>0.75700000000000001</v>
      </c>
      <c r="L200">
        <f t="shared" si="11"/>
        <v>20.602165445400001</v>
      </c>
    </row>
    <row r="201" spans="1:12" x14ac:dyDescent="0.2">
      <c r="A201" s="4">
        <v>43486</v>
      </c>
      <c r="B201" t="s">
        <v>531</v>
      </c>
      <c r="C201">
        <v>5</v>
      </c>
      <c r="D201">
        <v>4</v>
      </c>
      <c r="E201">
        <f>12*1.125</f>
        <v>13.5</v>
      </c>
      <c r="F201" t="s">
        <v>1019</v>
      </c>
      <c r="G201" t="s">
        <v>932</v>
      </c>
      <c r="H201" s="6" t="s">
        <v>1071</v>
      </c>
      <c r="I201">
        <f t="shared" si="9"/>
        <v>270</v>
      </c>
      <c r="J201">
        <f t="shared" si="10"/>
        <v>122.4699399</v>
      </c>
      <c r="K201">
        <v>1.28</v>
      </c>
      <c r="L201">
        <f t="shared" si="11"/>
        <v>156.76152307200002</v>
      </c>
    </row>
    <row r="202" spans="1:12" x14ac:dyDescent="0.2">
      <c r="A202" s="4">
        <v>43483</v>
      </c>
      <c r="B202" t="s">
        <v>531</v>
      </c>
      <c r="C202">
        <v>3</v>
      </c>
      <c r="D202">
        <v>168</v>
      </c>
      <c r="E202">
        <f>3.17/16</f>
        <v>0.198125</v>
      </c>
      <c r="F202" t="s">
        <v>654</v>
      </c>
      <c r="G202" t="s">
        <v>970</v>
      </c>
      <c r="H202" s="6" t="s">
        <v>1071</v>
      </c>
      <c r="I202">
        <f t="shared" si="9"/>
        <v>99.855000000000004</v>
      </c>
      <c r="J202">
        <f t="shared" si="10"/>
        <v>45.293466106350003</v>
      </c>
      <c r="K202">
        <v>2.2999999999999998</v>
      </c>
      <c r="L202">
        <f t="shared" si="11"/>
        <v>104.174972044605</v>
      </c>
    </row>
    <row r="203" spans="1:12" x14ac:dyDescent="0.2">
      <c r="A203" s="4">
        <v>43488</v>
      </c>
      <c r="B203" t="s">
        <v>531</v>
      </c>
      <c r="C203">
        <v>1</v>
      </c>
      <c r="D203">
        <v>210</v>
      </c>
      <c r="E203">
        <f>1.2/16</f>
        <v>7.4999999999999997E-2</v>
      </c>
      <c r="F203" t="s">
        <v>409</v>
      </c>
      <c r="G203" t="s">
        <v>970</v>
      </c>
      <c r="H203" s="6" t="s">
        <v>1071</v>
      </c>
      <c r="I203">
        <f t="shared" si="9"/>
        <v>15.75</v>
      </c>
      <c r="J203">
        <f t="shared" si="10"/>
        <v>7.1440798275000006</v>
      </c>
      <c r="K203">
        <v>2.2999999999999998</v>
      </c>
      <c r="L203">
        <f t="shared" si="11"/>
        <v>16.431383603250001</v>
      </c>
    </row>
    <row r="204" spans="1:12" x14ac:dyDescent="0.2">
      <c r="A204" s="4">
        <v>43483</v>
      </c>
      <c r="B204" t="s">
        <v>531</v>
      </c>
      <c r="C204">
        <v>1</v>
      </c>
      <c r="D204">
        <v>24</v>
      </c>
      <c r="E204">
        <v>1</v>
      </c>
      <c r="F204" t="s">
        <v>653</v>
      </c>
      <c r="G204" t="s">
        <v>969</v>
      </c>
      <c r="H204" s="6" t="s">
        <v>1071</v>
      </c>
      <c r="I204">
        <f t="shared" si="9"/>
        <v>24</v>
      </c>
      <c r="J204">
        <f t="shared" si="10"/>
        <v>10.886216880000001</v>
      </c>
      <c r="K204">
        <v>1.28</v>
      </c>
      <c r="L204">
        <f t="shared" si="11"/>
        <v>13.934357606400001</v>
      </c>
    </row>
    <row r="205" spans="1:12" x14ac:dyDescent="0.2">
      <c r="A205" s="4">
        <v>43483</v>
      </c>
      <c r="B205" t="s">
        <v>531</v>
      </c>
      <c r="C205">
        <v>4</v>
      </c>
      <c r="D205">
        <v>6</v>
      </c>
      <c r="E205">
        <f>12*(2/16)</f>
        <v>1.5</v>
      </c>
      <c r="F205" t="s">
        <v>1018</v>
      </c>
      <c r="G205" s="6" t="s">
        <v>968</v>
      </c>
      <c r="H205" s="6" t="s">
        <v>1071</v>
      </c>
      <c r="I205">
        <f t="shared" si="9"/>
        <v>36</v>
      </c>
      <c r="J205">
        <f t="shared" si="10"/>
        <v>16.329325319999999</v>
      </c>
      <c r="K205">
        <v>1.28</v>
      </c>
      <c r="L205">
        <f t="shared" si="11"/>
        <v>20.901536409599998</v>
      </c>
    </row>
    <row r="206" spans="1:12" x14ac:dyDescent="0.2">
      <c r="A206" s="4">
        <v>43483</v>
      </c>
      <c r="B206" t="s">
        <v>531</v>
      </c>
      <c r="C206">
        <v>4</v>
      </c>
      <c r="D206">
        <v>6</v>
      </c>
      <c r="E206">
        <v>5</v>
      </c>
      <c r="F206" t="s">
        <v>650</v>
      </c>
      <c r="G206" t="s">
        <v>854</v>
      </c>
      <c r="H206" s="6" t="s">
        <v>1071</v>
      </c>
      <c r="I206">
        <f t="shared" si="9"/>
        <v>120</v>
      </c>
      <c r="J206">
        <f t="shared" si="10"/>
        <v>54.431084400000003</v>
      </c>
      <c r="K206">
        <v>0.217</v>
      </c>
      <c r="L206">
        <f t="shared" si="11"/>
        <v>11.8115453148</v>
      </c>
    </row>
    <row r="207" spans="1:12" x14ac:dyDescent="0.2">
      <c r="A207" s="4">
        <v>43483</v>
      </c>
      <c r="B207" t="s">
        <v>531</v>
      </c>
      <c r="C207">
        <v>7</v>
      </c>
      <c r="D207">
        <v>6</v>
      </c>
      <c r="E207">
        <v>6</v>
      </c>
      <c r="F207" t="s">
        <v>533</v>
      </c>
      <c r="G207" t="s">
        <v>854</v>
      </c>
      <c r="H207" s="6" t="s">
        <v>1071</v>
      </c>
      <c r="I207">
        <f t="shared" si="9"/>
        <v>252</v>
      </c>
      <c r="J207">
        <f t="shared" si="10"/>
        <v>114.30527724000001</v>
      </c>
      <c r="K207">
        <v>0.217</v>
      </c>
      <c r="L207">
        <f t="shared" si="11"/>
        <v>24.804245161080001</v>
      </c>
    </row>
    <row r="208" spans="1:12" x14ac:dyDescent="0.2">
      <c r="A208" s="4">
        <v>43483</v>
      </c>
      <c r="B208" t="s">
        <v>531</v>
      </c>
      <c r="C208">
        <v>4</v>
      </c>
      <c r="D208">
        <v>6</v>
      </c>
      <c r="E208">
        <v>5</v>
      </c>
      <c r="F208" t="s">
        <v>403</v>
      </c>
      <c r="G208" t="s">
        <v>854</v>
      </c>
      <c r="H208" s="6" t="s">
        <v>1071</v>
      </c>
      <c r="I208">
        <f t="shared" si="9"/>
        <v>120</v>
      </c>
      <c r="J208">
        <f t="shared" si="10"/>
        <v>54.431084400000003</v>
      </c>
      <c r="K208">
        <v>0.217</v>
      </c>
      <c r="L208">
        <f t="shared" si="11"/>
        <v>11.8115453148</v>
      </c>
    </row>
    <row r="209" spans="1:14" x14ac:dyDescent="0.2">
      <c r="A209" s="4">
        <v>43483</v>
      </c>
      <c r="B209" t="s">
        <v>531</v>
      </c>
      <c r="C209">
        <v>2</v>
      </c>
      <c r="D209">
        <v>6</v>
      </c>
      <c r="E209">
        <v>3</v>
      </c>
      <c r="F209" t="s">
        <v>404</v>
      </c>
      <c r="G209" t="s">
        <v>854</v>
      </c>
      <c r="H209" s="6" t="s">
        <v>1071</v>
      </c>
      <c r="I209">
        <f t="shared" si="9"/>
        <v>36</v>
      </c>
      <c r="J209">
        <f t="shared" si="10"/>
        <v>16.329325319999999</v>
      </c>
      <c r="K209">
        <v>0.217</v>
      </c>
      <c r="L209">
        <f t="shared" si="11"/>
        <v>3.5434635944399999</v>
      </c>
    </row>
    <row r="210" spans="1:14" x14ac:dyDescent="0.2">
      <c r="A210" s="4">
        <v>43483</v>
      </c>
      <c r="B210" t="s">
        <v>531</v>
      </c>
      <c r="C210">
        <v>3</v>
      </c>
      <c r="D210">
        <v>6</v>
      </c>
      <c r="E210">
        <v>5</v>
      </c>
      <c r="F210" t="s">
        <v>406</v>
      </c>
      <c r="G210" t="s">
        <v>854</v>
      </c>
      <c r="H210" s="6" t="s">
        <v>1071</v>
      </c>
      <c r="I210">
        <f t="shared" si="9"/>
        <v>90</v>
      </c>
      <c r="J210">
        <f t="shared" si="10"/>
        <v>40.823313300000002</v>
      </c>
      <c r="K210">
        <v>0.217</v>
      </c>
      <c r="L210">
        <f t="shared" si="11"/>
        <v>8.8586589861</v>
      </c>
    </row>
    <row r="211" spans="1:14" x14ac:dyDescent="0.2">
      <c r="A211" s="4">
        <v>43483</v>
      </c>
      <c r="B211" t="s">
        <v>531</v>
      </c>
      <c r="C211">
        <v>8</v>
      </c>
      <c r="D211">
        <v>6</v>
      </c>
      <c r="E211">
        <v>5</v>
      </c>
      <c r="F211" t="s">
        <v>419</v>
      </c>
      <c r="G211" t="s">
        <v>854</v>
      </c>
      <c r="H211" s="6" t="s">
        <v>1071</v>
      </c>
      <c r="I211">
        <f t="shared" si="9"/>
        <v>240</v>
      </c>
      <c r="J211">
        <f t="shared" si="10"/>
        <v>108.86216880000001</v>
      </c>
      <c r="K211">
        <v>0.217</v>
      </c>
      <c r="L211">
        <f t="shared" si="11"/>
        <v>23.6230906296</v>
      </c>
    </row>
    <row r="212" spans="1:14" x14ac:dyDescent="0.2">
      <c r="A212" s="4">
        <v>43483</v>
      </c>
      <c r="B212" t="s">
        <v>531</v>
      </c>
      <c r="C212">
        <v>3</v>
      </c>
      <c r="D212">
        <v>6</v>
      </c>
      <c r="E212">
        <v>5</v>
      </c>
      <c r="F212" t="s">
        <v>406</v>
      </c>
      <c r="G212" t="s">
        <v>854</v>
      </c>
      <c r="H212" s="6" t="s">
        <v>1071</v>
      </c>
      <c r="I212">
        <f t="shared" si="9"/>
        <v>90</v>
      </c>
      <c r="J212">
        <f t="shared" si="10"/>
        <v>40.823313300000002</v>
      </c>
      <c r="K212">
        <v>0.217</v>
      </c>
      <c r="L212">
        <f t="shared" si="11"/>
        <v>8.8586589861</v>
      </c>
    </row>
    <row r="213" spans="1:14" x14ac:dyDescent="0.2">
      <c r="A213" s="4">
        <v>43483</v>
      </c>
      <c r="B213" t="s">
        <v>531</v>
      </c>
      <c r="C213">
        <v>6</v>
      </c>
      <c r="D213">
        <v>6</v>
      </c>
      <c r="E213">
        <v>5</v>
      </c>
      <c r="F213" t="s">
        <v>419</v>
      </c>
      <c r="G213" t="s">
        <v>854</v>
      </c>
      <c r="H213" s="6" t="s">
        <v>1071</v>
      </c>
      <c r="I213">
        <f t="shared" si="9"/>
        <v>180</v>
      </c>
      <c r="J213">
        <f t="shared" si="10"/>
        <v>81.646626600000005</v>
      </c>
      <c r="K213">
        <v>0.217</v>
      </c>
      <c r="L213">
        <f t="shared" si="11"/>
        <v>17.7173179722</v>
      </c>
    </row>
    <row r="214" spans="1:14" x14ac:dyDescent="0.2">
      <c r="A214" s="4">
        <v>43484</v>
      </c>
      <c r="B214" t="s">
        <v>531</v>
      </c>
      <c r="C214">
        <v>6</v>
      </c>
      <c r="D214">
        <v>6</v>
      </c>
      <c r="E214">
        <v>5</v>
      </c>
      <c r="F214" t="s">
        <v>403</v>
      </c>
      <c r="G214" t="s">
        <v>854</v>
      </c>
      <c r="H214" s="6" t="s">
        <v>1071</v>
      </c>
      <c r="I214">
        <f t="shared" si="9"/>
        <v>180</v>
      </c>
      <c r="J214">
        <f t="shared" si="10"/>
        <v>81.646626600000005</v>
      </c>
      <c r="K214">
        <v>0.217</v>
      </c>
      <c r="L214">
        <f t="shared" si="11"/>
        <v>17.7173179722</v>
      </c>
    </row>
    <row r="215" spans="1:14" x14ac:dyDescent="0.2">
      <c r="A215" s="4">
        <v>43486</v>
      </c>
      <c r="B215" t="s">
        <v>531</v>
      </c>
      <c r="C215">
        <v>4</v>
      </c>
      <c r="D215">
        <v>6</v>
      </c>
      <c r="E215">
        <v>3</v>
      </c>
      <c r="F215" t="s">
        <v>404</v>
      </c>
      <c r="G215" t="s">
        <v>854</v>
      </c>
      <c r="H215" s="6" t="s">
        <v>1071</v>
      </c>
      <c r="I215">
        <f t="shared" si="9"/>
        <v>72</v>
      </c>
      <c r="J215">
        <f t="shared" si="10"/>
        <v>32.658650639999998</v>
      </c>
      <c r="K215">
        <v>0.217</v>
      </c>
      <c r="L215">
        <f t="shared" si="11"/>
        <v>7.0869271888799998</v>
      </c>
    </row>
    <row r="216" spans="1:14" x14ac:dyDescent="0.2">
      <c r="A216" s="4">
        <v>43488</v>
      </c>
      <c r="B216" t="s">
        <v>531</v>
      </c>
      <c r="C216">
        <v>3</v>
      </c>
      <c r="D216">
        <v>6</v>
      </c>
      <c r="E216">
        <v>6</v>
      </c>
      <c r="F216" t="s">
        <v>533</v>
      </c>
      <c r="G216" t="s">
        <v>854</v>
      </c>
      <c r="H216" s="6" t="s">
        <v>1071</v>
      </c>
      <c r="I216">
        <f t="shared" si="9"/>
        <v>108</v>
      </c>
      <c r="J216">
        <f t="shared" si="10"/>
        <v>48.987975960000007</v>
      </c>
      <c r="K216">
        <v>0.217</v>
      </c>
      <c r="L216">
        <f t="shared" si="11"/>
        <v>10.630390783320001</v>
      </c>
    </row>
    <row r="217" spans="1:14" x14ac:dyDescent="0.2">
      <c r="A217" s="4">
        <v>43488</v>
      </c>
      <c r="B217" t="s">
        <v>531</v>
      </c>
      <c r="C217">
        <v>10</v>
      </c>
      <c r="D217">
        <v>6</v>
      </c>
      <c r="E217">
        <v>5</v>
      </c>
      <c r="F217" t="s">
        <v>419</v>
      </c>
      <c r="G217" t="s">
        <v>854</v>
      </c>
      <c r="H217" s="6" t="s">
        <v>1071</v>
      </c>
      <c r="I217">
        <f t="shared" si="9"/>
        <v>300</v>
      </c>
      <c r="J217">
        <f t="shared" si="10"/>
        <v>136.07771100000002</v>
      </c>
      <c r="K217">
        <v>0.217</v>
      </c>
      <c r="L217">
        <f t="shared" si="11"/>
        <v>29.528863287000004</v>
      </c>
    </row>
    <row r="218" spans="1:14" x14ac:dyDescent="0.2">
      <c r="A218" s="4">
        <v>43486</v>
      </c>
      <c r="B218" t="s">
        <v>531</v>
      </c>
      <c r="C218">
        <v>4</v>
      </c>
      <c r="D218">
        <v>5</v>
      </c>
      <c r="E218">
        <v>3</v>
      </c>
      <c r="F218" t="s">
        <v>416</v>
      </c>
      <c r="G218" t="s">
        <v>512</v>
      </c>
      <c r="H218" s="6" t="s">
        <v>1071</v>
      </c>
      <c r="I218">
        <f t="shared" si="9"/>
        <v>60</v>
      </c>
      <c r="J218">
        <f t="shared" si="10"/>
        <v>27.215542200000002</v>
      </c>
      <c r="K218">
        <v>0.30199999999999999</v>
      </c>
      <c r="L218">
        <f t="shared" si="11"/>
        <v>8.2190937444000003</v>
      </c>
    </row>
    <row r="219" spans="1:14" x14ac:dyDescent="0.2">
      <c r="A219" s="4">
        <v>43483</v>
      </c>
      <c r="B219" t="s">
        <v>531</v>
      </c>
      <c r="C219">
        <v>1</v>
      </c>
      <c r="D219">
        <v>24</v>
      </c>
      <c r="E219">
        <f>12*0.661387</f>
        <v>7.9366439999999994</v>
      </c>
      <c r="F219" t="s">
        <v>408</v>
      </c>
      <c r="G219" t="s">
        <v>855</v>
      </c>
      <c r="H219" s="6" t="s">
        <v>1071</v>
      </c>
      <c r="I219">
        <f t="shared" si="9"/>
        <v>190.47945599999997</v>
      </c>
      <c r="J219">
        <f t="shared" si="10"/>
        <v>86.400027883350702</v>
      </c>
      <c r="K219">
        <v>1.28</v>
      </c>
      <c r="L219">
        <f t="shared" si="11"/>
        <v>110.5920356906889</v>
      </c>
    </row>
    <row r="220" spans="1:14" x14ac:dyDescent="0.2">
      <c r="A220" s="4">
        <v>43486</v>
      </c>
      <c r="B220" t="s">
        <v>531</v>
      </c>
      <c r="C220">
        <v>1</v>
      </c>
      <c r="D220">
        <v>12</v>
      </c>
      <c r="E220">
        <f>60*0.661387</f>
        <v>39.683219999999999</v>
      </c>
      <c r="F220" t="s">
        <v>534</v>
      </c>
      <c r="G220" t="s">
        <v>892</v>
      </c>
      <c r="H220" s="6" t="s">
        <v>1071</v>
      </c>
      <c r="I220">
        <f t="shared" si="9"/>
        <v>476.19863999999995</v>
      </c>
      <c r="J220">
        <f t="shared" si="10"/>
        <v>216.00006970837677</v>
      </c>
      <c r="K220">
        <v>1.28</v>
      </c>
      <c r="L220">
        <f t="shared" si="11"/>
        <v>276.48008922672227</v>
      </c>
    </row>
    <row r="221" spans="1:14" x14ac:dyDescent="0.2">
      <c r="A221" s="4">
        <v>43486</v>
      </c>
      <c r="B221" t="s">
        <v>531</v>
      </c>
      <c r="C221">
        <v>1</v>
      </c>
      <c r="D221">
        <v>24</v>
      </c>
      <c r="E221">
        <f>12*0.0661387</f>
        <v>0.79366439999999994</v>
      </c>
      <c r="F221" t="s">
        <v>408</v>
      </c>
      <c r="G221" t="s">
        <v>913</v>
      </c>
      <c r="H221" s="6" t="s">
        <v>1071</v>
      </c>
      <c r="I221">
        <f t="shared" si="9"/>
        <v>19.047945599999998</v>
      </c>
      <c r="J221">
        <f t="shared" si="10"/>
        <v>8.6400027883350727</v>
      </c>
      <c r="K221">
        <v>1.28</v>
      </c>
      <c r="L221">
        <f t="shared" si="11"/>
        <v>11.059203569068893</v>
      </c>
    </row>
    <row r="222" spans="1:14" x14ac:dyDescent="0.2">
      <c r="A222" s="4">
        <v>43483</v>
      </c>
      <c r="B222" t="s">
        <v>525</v>
      </c>
      <c r="C222">
        <v>1</v>
      </c>
      <c r="D222">
        <v>2</v>
      </c>
      <c r="E222">
        <v>5</v>
      </c>
      <c r="F222" t="s">
        <v>647</v>
      </c>
      <c r="G222" t="s">
        <v>10</v>
      </c>
      <c r="H222" s="6" t="s">
        <v>1072</v>
      </c>
      <c r="I222">
        <f t="shared" si="9"/>
        <v>10</v>
      </c>
      <c r="J222">
        <f t="shared" si="10"/>
        <v>4.5359237000000006</v>
      </c>
      <c r="K222">
        <v>32.845999999999997</v>
      </c>
      <c r="L222">
        <f t="shared" si="11"/>
        <v>148.98694985020001</v>
      </c>
    </row>
    <row r="223" spans="1:14" x14ac:dyDescent="0.2">
      <c r="A223" s="4">
        <v>43483</v>
      </c>
      <c r="B223" t="s">
        <v>525</v>
      </c>
      <c r="C223">
        <v>7</v>
      </c>
      <c r="D223">
        <v>1</v>
      </c>
      <c r="E223">
        <v>10</v>
      </c>
      <c r="F223" t="s">
        <v>588</v>
      </c>
      <c r="G223" t="s">
        <v>10</v>
      </c>
      <c r="H223" s="6" t="s">
        <v>1072</v>
      </c>
      <c r="I223">
        <f t="shared" si="9"/>
        <v>70</v>
      </c>
      <c r="J223">
        <f t="shared" si="10"/>
        <v>31.751465900000003</v>
      </c>
      <c r="K223">
        <v>32.845999999999997</v>
      </c>
      <c r="L223">
        <f t="shared" si="11"/>
        <v>1042.9086489514</v>
      </c>
    </row>
    <row r="224" spans="1:14" s="8" customFormat="1" x14ac:dyDescent="0.2">
      <c r="A224" s="4">
        <v>43483</v>
      </c>
      <c r="B224" t="s">
        <v>525</v>
      </c>
      <c r="C224">
        <v>1</v>
      </c>
      <c r="D224">
        <v>1</v>
      </c>
      <c r="E224">
        <v>213.13</v>
      </c>
      <c r="F224" t="s">
        <v>397</v>
      </c>
      <c r="G224" t="s">
        <v>850</v>
      </c>
      <c r="H224" s="6" t="s">
        <v>1072</v>
      </c>
      <c r="I224">
        <f t="shared" si="9"/>
        <v>213.13</v>
      </c>
      <c r="J224">
        <f t="shared" si="10"/>
        <v>96.674141818100011</v>
      </c>
      <c r="K224">
        <v>32.845999999999997</v>
      </c>
      <c r="L224">
        <f t="shared" si="11"/>
        <v>3175.3588621573126</v>
      </c>
      <c r="M224"/>
      <c r="N224"/>
    </row>
    <row r="225" spans="1:12" x14ac:dyDescent="0.2">
      <c r="A225" s="4">
        <v>43483</v>
      </c>
      <c r="B225" t="s">
        <v>525</v>
      </c>
      <c r="C225">
        <v>1</v>
      </c>
      <c r="D225">
        <v>1</v>
      </c>
      <c r="E225">
        <v>81.400000000000006</v>
      </c>
      <c r="F225" t="s">
        <v>648</v>
      </c>
      <c r="G225" t="s">
        <v>850</v>
      </c>
      <c r="H225" s="6" t="s">
        <v>1072</v>
      </c>
      <c r="I225">
        <f t="shared" si="9"/>
        <v>81.400000000000006</v>
      </c>
      <c r="J225">
        <f t="shared" si="10"/>
        <v>36.922418918000005</v>
      </c>
      <c r="K225">
        <v>32.845999999999997</v>
      </c>
      <c r="L225">
        <f t="shared" si="11"/>
        <v>1212.7537717806281</v>
      </c>
    </row>
    <row r="226" spans="1:12" x14ac:dyDescent="0.2">
      <c r="A226" s="4">
        <v>43488</v>
      </c>
      <c r="B226" t="s">
        <v>525</v>
      </c>
      <c r="C226">
        <v>10</v>
      </c>
      <c r="D226">
        <v>1</v>
      </c>
      <c r="E226">
        <v>10</v>
      </c>
      <c r="F226" t="s">
        <v>588</v>
      </c>
      <c r="G226" t="s">
        <v>10</v>
      </c>
      <c r="H226" s="6" t="s">
        <v>1072</v>
      </c>
      <c r="I226">
        <f t="shared" si="9"/>
        <v>100</v>
      </c>
      <c r="J226">
        <f t="shared" si="10"/>
        <v>45.359237</v>
      </c>
      <c r="K226">
        <v>32.845999999999997</v>
      </c>
      <c r="L226">
        <f t="shared" si="11"/>
        <v>1489.8694985019999</v>
      </c>
    </row>
    <row r="227" spans="1:12" x14ac:dyDescent="0.2">
      <c r="A227" s="4">
        <v>43488</v>
      </c>
      <c r="B227" t="s">
        <v>525</v>
      </c>
      <c r="C227">
        <v>1</v>
      </c>
      <c r="D227">
        <v>1</v>
      </c>
      <c r="E227">
        <v>60.11</v>
      </c>
      <c r="F227" t="s">
        <v>397</v>
      </c>
      <c r="G227" t="s">
        <v>850</v>
      </c>
      <c r="H227" s="6" t="s">
        <v>1072</v>
      </c>
      <c r="I227">
        <f t="shared" si="9"/>
        <v>60.11</v>
      </c>
      <c r="J227">
        <f t="shared" si="10"/>
        <v>27.265437360700002</v>
      </c>
      <c r="K227">
        <v>32.845999999999997</v>
      </c>
      <c r="L227">
        <f t="shared" si="11"/>
        <v>895.56055554955219</v>
      </c>
    </row>
    <row r="228" spans="1:12" x14ac:dyDescent="0.2">
      <c r="A228" s="4">
        <v>43486</v>
      </c>
      <c r="B228" t="s">
        <v>525</v>
      </c>
      <c r="C228">
        <v>3</v>
      </c>
      <c r="D228">
        <v>1</v>
      </c>
      <c r="E228">
        <v>10</v>
      </c>
      <c r="F228" t="s">
        <v>647</v>
      </c>
      <c r="G228" t="s">
        <v>10</v>
      </c>
      <c r="H228" s="6" t="s">
        <v>1072</v>
      </c>
      <c r="I228">
        <f t="shared" si="9"/>
        <v>30</v>
      </c>
      <c r="J228">
        <f t="shared" si="10"/>
        <v>13.607771100000001</v>
      </c>
      <c r="K228">
        <v>32.845999999999997</v>
      </c>
      <c r="L228">
        <f t="shared" si="11"/>
        <v>446.96084955059996</v>
      </c>
    </row>
    <row r="229" spans="1:12" x14ac:dyDescent="0.2">
      <c r="A229" s="4">
        <v>43486</v>
      </c>
      <c r="B229" t="s">
        <v>525</v>
      </c>
      <c r="C229">
        <v>2</v>
      </c>
      <c r="D229">
        <v>2</v>
      </c>
      <c r="E229">
        <v>5</v>
      </c>
      <c r="F229" t="s">
        <v>398</v>
      </c>
      <c r="G229" t="s">
        <v>851</v>
      </c>
      <c r="H229" s="6" t="s">
        <v>1072</v>
      </c>
      <c r="I229">
        <f t="shared" si="9"/>
        <v>20</v>
      </c>
      <c r="J229">
        <f t="shared" si="10"/>
        <v>9.0718474000000011</v>
      </c>
      <c r="K229">
        <f>(0.5*32.846)+(0.5*5.56)</f>
        <v>19.202999999999999</v>
      </c>
      <c r="L229">
        <f t="shared" si="11"/>
        <v>174.20668562220001</v>
      </c>
    </row>
    <row r="230" spans="1:12" x14ac:dyDescent="0.2">
      <c r="A230" s="4">
        <v>43486</v>
      </c>
      <c r="B230" t="s">
        <v>525</v>
      </c>
      <c r="C230">
        <v>1</v>
      </c>
      <c r="D230">
        <v>1</v>
      </c>
      <c r="E230">
        <v>10.09</v>
      </c>
      <c r="F230" t="s">
        <v>677</v>
      </c>
      <c r="G230" t="s">
        <v>15</v>
      </c>
      <c r="H230" s="6" t="s">
        <v>1072</v>
      </c>
      <c r="I230">
        <f t="shared" si="9"/>
        <v>10.09</v>
      </c>
      <c r="J230">
        <f t="shared" si="10"/>
        <v>4.5767470132999994</v>
      </c>
      <c r="K230">
        <v>5.56</v>
      </c>
      <c r="L230">
        <f t="shared" si="11"/>
        <v>25.446713393947995</v>
      </c>
    </row>
    <row r="231" spans="1:12" x14ac:dyDescent="0.2">
      <c r="A231" s="4">
        <v>43484</v>
      </c>
      <c r="B231" t="s">
        <v>525</v>
      </c>
      <c r="C231">
        <v>2</v>
      </c>
      <c r="D231">
        <v>1</v>
      </c>
      <c r="E231">
        <v>11</v>
      </c>
      <c r="F231" t="s">
        <v>671</v>
      </c>
      <c r="G231" t="s">
        <v>966</v>
      </c>
      <c r="H231" s="6" t="s">
        <v>1072</v>
      </c>
      <c r="I231">
        <f t="shared" si="9"/>
        <v>22</v>
      </c>
      <c r="J231">
        <f t="shared" si="10"/>
        <v>9.979032140000001</v>
      </c>
      <c r="K231">
        <v>2.5710000000000002</v>
      </c>
      <c r="L231">
        <f t="shared" si="11"/>
        <v>25.656091631940004</v>
      </c>
    </row>
    <row r="232" spans="1:12" x14ac:dyDescent="0.2">
      <c r="A232" s="4">
        <v>43483</v>
      </c>
      <c r="B232" t="s">
        <v>530</v>
      </c>
      <c r="C232">
        <v>6</v>
      </c>
      <c r="D232">
        <v>160</v>
      </c>
      <c r="E232">
        <f>1/16</f>
        <v>6.25E-2</v>
      </c>
      <c r="F232" t="s">
        <v>401</v>
      </c>
      <c r="G232" t="s">
        <v>755</v>
      </c>
      <c r="H232" s="6" t="s">
        <v>1072</v>
      </c>
      <c r="I232">
        <f t="shared" si="9"/>
        <v>60</v>
      </c>
      <c r="J232">
        <f t="shared" si="10"/>
        <v>27.215542200000002</v>
      </c>
      <c r="K232">
        <v>4.1879999999999997</v>
      </c>
      <c r="L232">
        <f t="shared" si="11"/>
        <v>113.9786907336</v>
      </c>
    </row>
    <row r="233" spans="1:12" x14ac:dyDescent="0.2">
      <c r="A233" s="4">
        <v>43486</v>
      </c>
      <c r="B233" t="s">
        <v>530</v>
      </c>
      <c r="C233">
        <v>5</v>
      </c>
      <c r="D233">
        <v>160</v>
      </c>
      <c r="E233">
        <f>1/16</f>
        <v>6.25E-2</v>
      </c>
      <c r="F233" t="s">
        <v>401</v>
      </c>
      <c r="G233" t="s">
        <v>755</v>
      </c>
      <c r="H233" s="6" t="s">
        <v>1072</v>
      </c>
      <c r="I233">
        <f t="shared" si="9"/>
        <v>50</v>
      </c>
      <c r="J233">
        <f t="shared" si="10"/>
        <v>22.6796185</v>
      </c>
      <c r="K233">
        <v>4.1879999999999997</v>
      </c>
      <c r="L233">
        <f t="shared" si="11"/>
        <v>94.982242278000001</v>
      </c>
    </row>
    <row r="234" spans="1:12" x14ac:dyDescent="0.2">
      <c r="A234" s="4">
        <v>43483</v>
      </c>
      <c r="B234" t="s">
        <v>530</v>
      </c>
      <c r="C234">
        <v>7</v>
      </c>
      <c r="D234">
        <v>240</v>
      </c>
      <c r="E234">
        <f>0.67/16</f>
        <v>4.1875000000000002E-2</v>
      </c>
      <c r="F234" t="s">
        <v>649</v>
      </c>
      <c r="G234" s="6" t="s">
        <v>1057</v>
      </c>
      <c r="H234" s="6" t="s">
        <v>1072</v>
      </c>
      <c r="I234">
        <f t="shared" si="9"/>
        <v>70.350000000000009</v>
      </c>
      <c r="J234">
        <f t="shared" si="10"/>
        <v>31.910223229500009</v>
      </c>
      <c r="K234">
        <v>2.5710000000000002</v>
      </c>
      <c r="L234">
        <f t="shared" si="11"/>
        <v>82.041183923044528</v>
      </c>
    </row>
    <row r="235" spans="1:12" x14ac:dyDescent="0.2">
      <c r="A235" s="4">
        <v>43483</v>
      </c>
      <c r="B235" t="s">
        <v>530</v>
      </c>
      <c r="C235">
        <v>6</v>
      </c>
      <c r="D235">
        <v>160</v>
      </c>
      <c r="E235">
        <v>1</v>
      </c>
      <c r="F235" t="s">
        <v>569</v>
      </c>
      <c r="G235" t="s">
        <v>852</v>
      </c>
      <c r="H235" s="6" t="s">
        <v>1072</v>
      </c>
      <c r="I235">
        <f t="shared" si="9"/>
        <v>960</v>
      </c>
      <c r="J235">
        <f t="shared" si="10"/>
        <v>435.44867520000003</v>
      </c>
      <c r="K235">
        <v>2.5710000000000002</v>
      </c>
      <c r="L235">
        <f t="shared" si="11"/>
        <v>1119.5385439392001</v>
      </c>
    </row>
    <row r="236" spans="1:12" x14ac:dyDescent="0.2">
      <c r="A236" s="4">
        <v>43483</v>
      </c>
      <c r="B236" t="s">
        <v>530</v>
      </c>
      <c r="C236">
        <v>5</v>
      </c>
      <c r="D236">
        <v>2</v>
      </c>
      <c r="E236">
        <v>6</v>
      </c>
      <c r="F236" t="s">
        <v>402</v>
      </c>
      <c r="G236" t="s">
        <v>966</v>
      </c>
      <c r="H236" s="6" t="s">
        <v>1072</v>
      </c>
      <c r="I236">
        <f t="shared" si="9"/>
        <v>60</v>
      </c>
      <c r="J236">
        <f t="shared" si="10"/>
        <v>27.215542200000002</v>
      </c>
      <c r="K236">
        <v>2.5710000000000002</v>
      </c>
      <c r="L236">
        <f t="shared" si="11"/>
        <v>69.971158996200003</v>
      </c>
    </row>
    <row r="237" spans="1:12" x14ac:dyDescent="0.2">
      <c r="A237" s="4">
        <v>43488</v>
      </c>
      <c r="B237" t="s">
        <v>530</v>
      </c>
      <c r="C237">
        <v>3</v>
      </c>
      <c r="D237">
        <v>2</v>
      </c>
      <c r="E237">
        <v>6</v>
      </c>
      <c r="F237" t="s">
        <v>402</v>
      </c>
      <c r="G237" t="s">
        <v>966</v>
      </c>
      <c r="H237" s="6" t="s">
        <v>1072</v>
      </c>
      <c r="I237">
        <f t="shared" si="9"/>
        <v>36</v>
      </c>
      <c r="J237">
        <f t="shared" si="10"/>
        <v>16.329325319999999</v>
      </c>
      <c r="K237">
        <v>2.5710000000000002</v>
      </c>
      <c r="L237">
        <f t="shared" si="11"/>
        <v>41.982695397720001</v>
      </c>
    </row>
    <row r="238" spans="1:12" x14ac:dyDescent="0.2">
      <c r="A238" s="4">
        <v>43483</v>
      </c>
      <c r="B238" t="s">
        <v>527</v>
      </c>
      <c r="C238">
        <v>15</v>
      </c>
      <c r="D238">
        <v>1</v>
      </c>
      <c r="E238">
        <v>10</v>
      </c>
      <c r="F238" t="s">
        <v>399</v>
      </c>
      <c r="G238" t="s">
        <v>928</v>
      </c>
      <c r="H238" s="6" t="s">
        <v>1072</v>
      </c>
      <c r="I238">
        <f t="shared" si="9"/>
        <v>150</v>
      </c>
      <c r="J238">
        <f t="shared" si="10"/>
        <v>68.038855500000011</v>
      </c>
      <c r="K238">
        <v>3.0209999999999999</v>
      </c>
      <c r="L238">
        <f t="shared" si="11"/>
        <v>205.54538246550004</v>
      </c>
    </row>
    <row r="239" spans="1:12" x14ac:dyDescent="0.2">
      <c r="A239" s="4">
        <v>43488</v>
      </c>
      <c r="B239" t="s">
        <v>527</v>
      </c>
      <c r="C239">
        <v>8</v>
      </c>
      <c r="D239">
        <v>1</v>
      </c>
      <c r="E239">
        <v>10</v>
      </c>
      <c r="F239" t="s">
        <v>399</v>
      </c>
      <c r="G239" t="s">
        <v>928</v>
      </c>
      <c r="H239" s="6" t="s">
        <v>1072</v>
      </c>
      <c r="I239">
        <f t="shared" si="9"/>
        <v>80</v>
      </c>
      <c r="J239">
        <f t="shared" si="10"/>
        <v>36.287389600000004</v>
      </c>
      <c r="K239">
        <v>3.0209999999999999</v>
      </c>
      <c r="L239">
        <f t="shared" si="11"/>
        <v>109.6242039816</v>
      </c>
    </row>
    <row r="240" spans="1:12" x14ac:dyDescent="0.2">
      <c r="A240" s="4">
        <v>43483</v>
      </c>
      <c r="B240" t="s">
        <v>527</v>
      </c>
      <c r="C240">
        <v>12</v>
      </c>
      <c r="D240">
        <v>1</v>
      </c>
      <c r="E240">
        <v>10</v>
      </c>
      <c r="F240" t="s">
        <v>1012</v>
      </c>
      <c r="G240" t="s">
        <v>927</v>
      </c>
      <c r="H240" s="6" t="s">
        <v>1072</v>
      </c>
      <c r="I240">
        <f t="shared" si="9"/>
        <v>120</v>
      </c>
      <c r="J240">
        <f t="shared" si="10"/>
        <v>54.431084400000003</v>
      </c>
      <c r="K240">
        <v>3.0209999999999999</v>
      </c>
      <c r="L240">
        <f t="shared" si="11"/>
        <v>164.43630597239999</v>
      </c>
    </row>
    <row r="241" spans="1:13" x14ac:dyDescent="0.2">
      <c r="A241" s="4">
        <v>43486</v>
      </c>
      <c r="B241" t="s">
        <v>527</v>
      </c>
      <c r="C241">
        <v>2</v>
      </c>
      <c r="D241">
        <v>1</v>
      </c>
      <c r="E241">
        <v>10</v>
      </c>
      <c r="F241" t="s">
        <v>1012</v>
      </c>
      <c r="G241" t="s">
        <v>927</v>
      </c>
      <c r="H241" s="6" t="s">
        <v>1072</v>
      </c>
      <c r="I241">
        <f t="shared" si="9"/>
        <v>20</v>
      </c>
      <c r="J241">
        <f t="shared" si="10"/>
        <v>9.0718474000000011</v>
      </c>
      <c r="K241">
        <v>3.0209999999999999</v>
      </c>
      <c r="L241">
        <f t="shared" si="11"/>
        <v>27.406050995400001</v>
      </c>
    </row>
    <row r="242" spans="1:13" x14ac:dyDescent="0.2">
      <c r="A242" s="4">
        <v>43488</v>
      </c>
      <c r="B242" t="s">
        <v>527</v>
      </c>
      <c r="C242">
        <v>5</v>
      </c>
      <c r="D242">
        <v>1</v>
      </c>
      <c r="E242">
        <v>10</v>
      </c>
      <c r="F242" t="s">
        <v>1012</v>
      </c>
      <c r="G242" t="s">
        <v>927</v>
      </c>
      <c r="H242" s="6" t="s">
        <v>1072</v>
      </c>
      <c r="I242">
        <f>C242*D242*E242</f>
        <v>50</v>
      </c>
      <c r="J242">
        <f>CONVERT(I242,"lbm","kg")</f>
        <v>22.6796185</v>
      </c>
      <c r="K242">
        <v>3.0209999999999999</v>
      </c>
      <c r="L242">
        <f>K242*J242</f>
        <v>68.515127488499999</v>
      </c>
    </row>
    <row r="243" spans="1:13" x14ac:dyDescent="0.2">
      <c r="L243" s="34">
        <f>SUM(L3:L242)</f>
        <v>26317.391750245697</v>
      </c>
      <c r="M243" t="s">
        <v>1061</v>
      </c>
    </row>
    <row r="245" spans="1:13" x14ac:dyDescent="0.2">
      <c r="L245" s="33">
        <f>L243/1000</f>
        <v>26.317391750245697</v>
      </c>
      <c r="M245" s="6" t="s">
        <v>1062</v>
      </c>
    </row>
  </sheetData>
  <sortState ref="A3:N522">
    <sortCondition ref="B3"/>
  </sortState>
  <mergeCells count="1">
    <mergeCell ref="A1:L1"/>
  </mergeCells>
  <phoneticPr fontId="12" type="noConversion"/>
  <pageMargins left="0.7" right="0.7" top="0.75" bottom="0.75" header="0.3" footer="0.3"/>
  <pageSetup orientation="portrait" horizontalDpi="0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0"/>
  <sheetViews>
    <sheetView topLeftCell="A14" workbookViewId="0">
      <selection activeCell="A31" sqref="A31"/>
    </sheetView>
  </sheetViews>
  <sheetFormatPr baseColWidth="10" defaultRowHeight="16" x14ac:dyDescent="0.2"/>
  <cols>
    <col min="1" max="1" width="25.83203125" bestFit="1" customWidth="1"/>
    <col min="2" max="2" width="22" bestFit="1" customWidth="1"/>
    <col min="3" max="3" width="16.6640625" customWidth="1"/>
    <col min="4" max="4" width="20.33203125" bestFit="1" customWidth="1"/>
  </cols>
  <sheetData>
    <row r="3" spans="1:3" x14ac:dyDescent="0.2">
      <c r="A3" s="42" t="s">
        <v>1069</v>
      </c>
      <c r="B3" t="s">
        <v>1068</v>
      </c>
      <c r="C3" t="s">
        <v>1076</v>
      </c>
    </row>
    <row r="4" spans="1:3" x14ac:dyDescent="0.2">
      <c r="A4" s="44" t="s">
        <v>1073</v>
      </c>
      <c r="B4" s="50">
        <v>0.27595397861175086</v>
      </c>
      <c r="C4" s="50">
        <v>0.17693981236981288</v>
      </c>
    </row>
    <row r="5" spans="1:3" x14ac:dyDescent="0.2">
      <c r="A5" s="47" t="s">
        <v>845</v>
      </c>
      <c r="B5" s="50">
        <v>1.3032574843573463E-2</v>
      </c>
      <c r="C5" s="50">
        <v>4.155989557762598E-3</v>
      </c>
    </row>
    <row r="6" spans="1:3" x14ac:dyDescent="0.2">
      <c r="A6" s="47" t="s">
        <v>847</v>
      </c>
      <c r="B6" s="50">
        <v>0.16147672359972326</v>
      </c>
      <c r="C6" s="50">
        <v>5.9475385285828304E-2</v>
      </c>
    </row>
    <row r="7" spans="1:3" x14ac:dyDescent="0.2">
      <c r="A7" s="47" t="s">
        <v>980</v>
      </c>
      <c r="B7" s="50">
        <v>4.5164885892359672E-3</v>
      </c>
      <c r="C7" s="50">
        <v>4.9825697031398268E-3</v>
      </c>
    </row>
    <row r="8" spans="1:3" x14ac:dyDescent="0.2">
      <c r="A8" s="47" t="s">
        <v>841</v>
      </c>
      <c r="B8" s="50">
        <v>3.2681997100010617E-4</v>
      </c>
      <c r="C8" s="50">
        <v>2.308883087645888E-4</v>
      </c>
    </row>
    <row r="9" spans="1:3" x14ac:dyDescent="0.2">
      <c r="A9" s="47" t="s">
        <v>843</v>
      </c>
      <c r="B9" s="50">
        <v>8.2136222274261997E-2</v>
      </c>
      <c r="C9" s="50">
        <v>8.0377992488672487E-2</v>
      </c>
    </row>
    <row r="10" spans="1:3" x14ac:dyDescent="0.2">
      <c r="A10" s="47" t="s">
        <v>957</v>
      </c>
      <c r="B10" s="50">
        <v>2.5213186587744632E-3</v>
      </c>
      <c r="C10" s="50">
        <v>2.8399261978044421E-3</v>
      </c>
    </row>
    <row r="11" spans="1:3" x14ac:dyDescent="0.2">
      <c r="A11" s="47" t="s">
        <v>698</v>
      </c>
      <c r="B11" s="50">
        <v>1.2538573887407921E-4</v>
      </c>
      <c r="C11" s="50">
        <v>8.6583115786720795E-5</v>
      </c>
    </row>
    <row r="12" spans="1:3" x14ac:dyDescent="0.2">
      <c r="A12" s="47" t="s">
        <v>842</v>
      </c>
      <c r="B12" s="50">
        <v>1.1595823971061461E-3</v>
      </c>
      <c r="C12" s="50">
        <v>3.4633246314688319E-3</v>
      </c>
    </row>
    <row r="13" spans="1:3" x14ac:dyDescent="0.2">
      <c r="A13" s="47" t="s">
        <v>846</v>
      </c>
      <c r="B13" s="50">
        <v>5.767743988207643E-3</v>
      </c>
      <c r="C13" s="50">
        <v>1.5931293304756629E-2</v>
      </c>
    </row>
    <row r="14" spans="1:3" x14ac:dyDescent="0.2">
      <c r="A14" s="47" t="s">
        <v>1089</v>
      </c>
      <c r="B14" s="50">
        <v>4.8911185509937236E-3</v>
      </c>
      <c r="C14" s="50">
        <v>5.3958597758284399E-3</v>
      </c>
    </row>
    <row r="15" spans="1:3" x14ac:dyDescent="0.2">
      <c r="A15" s="44" t="s">
        <v>1072</v>
      </c>
      <c r="B15" s="50">
        <v>0.38256818426574463</v>
      </c>
      <c r="C15" s="50">
        <v>8.8699351441741223E-2</v>
      </c>
    </row>
    <row r="16" spans="1:3" x14ac:dyDescent="0.2">
      <c r="A16" s="47" t="s">
        <v>890</v>
      </c>
      <c r="B16" s="50">
        <v>9.0518133218005382E-3</v>
      </c>
      <c r="C16" s="50">
        <v>1.731662315734416E-3</v>
      </c>
    </row>
    <row r="17" spans="1:3" x14ac:dyDescent="0.2">
      <c r="A17" s="47" t="s">
        <v>10</v>
      </c>
      <c r="B17" s="50">
        <v>0.32894202281355894</v>
      </c>
      <c r="C17" s="50">
        <v>3.6790320339321489E-2</v>
      </c>
    </row>
    <row r="18" spans="1:3" x14ac:dyDescent="0.2">
      <c r="A18" s="47" t="s">
        <v>755</v>
      </c>
      <c r="B18" s="50">
        <v>9.2125521825376089E-3</v>
      </c>
      <c r="C18" s="50">
        <v>8.0810908067606088E-3</v>
      </c>
    </row>
    <row r="19" spans="1:3" x14ac:dyDescent="0.2">
      <c r="A19" s="47" t="s">
        <v>1044</v>
      </c>
      <c r="B19" s="50">
        <v>2.1360356229619917E-2</v>
      </c>
      <c r="C19" s="50">
        <v>2.5974934736016239E-2</v>
      </c>
    </row>
    <row r="20" spans="1:3" x14ac:dyDescent="0.2">
      <c r="A20" s="47" t="s">
        <v>15</v>
      </c>
      <c r="B20" s="50">
        <v>5.9825149891502508E-3</v>
      </c>
      <c r="C20" s="50">
        <v>3.9528078460497607E-3</v>
      </c>
    </row>
    <row r="21" spans="1:3" x14ac:dyDescent="0.2">
      <c r="A21" s="47" t="s">
        <v>862</v>
      </c>
      <c r="B21" s="50">
        <v>2.5249553165767697E-3</v>
      </c>
      <c r="C21" s="50">
        <v>4.3183328998626994E-3</v>
      </c>
    </row>
    <row r="22" spans="1:3" x14ac:dyDescent="0.2">
      <c r="A22" s="47" t="s">
        <v>966</v>
      </c>
      <c r="B22" s="50">
        <v>5.4939694125006313E-3</v>
      </c>
      <c r="C22" s="50">
        <v>7.8502024979960183E-3</v>
      </c>
    </row>
    <row r="23" spans="1:3" x14ac:dyDescent="0.2">
      <c r="A23" s="44" t="s">
        <v>1071</v>
      </c>
      <c r="B23" s="50">
        <v>0.3414778371225044</v>
      </c>
      <c r="C23" s="50">
        <v>0.73436083618844628</v>
      </c>
    </row>
    <row r="24" spans="1:3" x14ac:dyDescent="0.2">
      <c r="A24" s="47" t="s">
        <v>1052</v>
      </c>
      <c r="B24" s="50">
        <v>5.2750006792855024E-4</v>
      </c>
      <c r="C24" s="50">
        <v>2.2905978880332764E-3</v>
      </c>
    </row>
    <row r="25" spans="1:3" x14ac:dyDescent="0.2">
      <c r="A25" s="47" t="s">
        <v>858</v>
      </c>
      <c r="B25" s="50">
        <v>7.0517693742715214E-4</v>
      </c>
      <c r="C25" s="50">
        <v>6.9266492629376638E-3</v>
      </c>
    </row>
    <row r="26" spans="1:3" x14ac:dyDescent="0.2">
      <c r="A26" s="47" t="s">
        <v>898</v>
      </c>
      <c r="B26" s="50">
        <v>1.161467896938839E-3</v>
      </c>
      <c r="C26" s="50">
        <v>1.3853298525875328E-2</v>
      </c>
    </row>
    <row r="27" spans="1:3" x14ac:dyDescent="0.2">
      <c r="A27" s="47" t="s">
        <v>935</v>
      </c>
      <c r="B27" s="50">
        <v>1.9357798282313983E-4</v>
      </c>
      <c r="C27" s="50">
        <v>2.3088830876458882E-3</v>
      </c>
    </row>
    <row r="28" spans="1:3" x14ac:dyDescent="0.2">
      <c r="A28" s="47" t="s">
        <v>922</v>
      </c>
      <c r="B28" s="50">
        <v>9.6788991411569903E-4</v>
      </c>
      <c r="C28" s="50">
        <v>1.1544415438229441E-2</v>
      </c>
    </row>
    <row r="29" spans="1:3" x14ac:dyDescent="0.2">
      <c r="A29" s="47" t="s">
        <v>984</v>
      </c>
      <c r="B29" s="50">
        <v>9.6788991411569914E-5</v>
      </c>
      <c r="C29" s="50">
        <v>1.1544415438229441E-3</v>
      </c>
    </row>
    <row r="30" spans="1:3" x14ac:dyDescent="0.2">
      <c r="A30" s="47" t="s">
        <v>983</v>
      </c>
      <c r="B30" s="50">
        <v>2.2167193033026432E-3</v>
      </c>
      <c r="C30" s="50">
        <v>2.3088830876458882E-3</v>
      </c>
    </row>
    <row r="31" spans="1:3" x14ac:dyDescent="0.2">
      <c r="A31" s="47" t="s">
        <v>895</v>
      </c>
      <c r="B31" s="50">
        <v>2.8173609875055783E-3</v>
      </c>
      <c r="C31" s="50">
        <v>1.5065462146889416E-3</v>
      </c>
    </row>
    <row r="32" spans="1:3" x14ac:dyDescent="0.2">
      <c r="A32" s="47" t="s">
        <v>868</v>
      </c>
      <c r="B32" s="50">
        <v>4.0048016446397628E-4</v>
      </c>
      <c r="C32" s="50">
        <v>1.2260169195399667E-3</v>
      </c>
    </row>
    <row r="33" spans="1:3" x14ac:dyDescent="0.2">
      <c r="A33" s="47" t="s">
        <v>880</v>
      </c>
      <c r="B33" s="50">
        <v>4.7514595783861588E-3</v>
      </c>
      <c r="C33" s="50">
        <v>1.4545963452169094E-2</v>
      </c>
    </row>
    <row r="34" spans="1:3" x14ac:dyDescent="0.2">
      <c r="A34" s="47" t="s">
        <v>930</v>
      </c>
      <c r="B34" s="50">
        <v>5.6800682459874218E-6</v>
      </c>
      <c r="C34" s="50">
        <v>4.3291557893360398E-5</v>
      </c>
    </row>
    <row r="35" spans="1:3" x14ac:dyDescent="0.2">
      <c r="A35" s="47" t="s">
        <v>861</v>
      </c>
      <c r="B35" s="50">
        <v>4.3915805103195031E-2</v>
      </c>
      <c r="C35" s="50">
        <v>0.10020552600383154</v>
      </c>
    </row>
    <row r="36" spans="1:3" x14ac:dyDescent="0.2">
      <c r="A36" s="47" t="s">
        <v>896</v>
      </c>
      <c r="B36" s="50">
        <v>3.7031216714088953E-3</v>
      </c>
      <c r="C36" s="50">
        <v>2.7706597051750655E-2</v>
      </c>
    </row>
    <row r="37" spans="1:3" x14ac:dyDescent="0.2">
      <c r="A37" s="47" t="s">
        <v>1054</v>
      </c>
      <c r="B37" s="50">
        <v>0</v>
      </c>
      <c r="C37" s="50">
        <v>0</v>
      </c>
    </row>
    <row r="38" spans="1:3" x14ac:dyDescent="0.2">
      <c r="A38" s="47" t="s">
        <v>1051</v>
      </c>
      <c r="B38" s="50">
        <v>2.6133027681123875E-4</v>
      </c>
      <c r="C38" s="50">
        <v>1.2121636210140911E-3</v>
      </c>
    </row>
    <row r="39" spans="1:3" x14ac:dyDescent="0.2">
      <c r="A39" s="47" t="s">
        <v>980</v>
      </c>
      <c r="B39" s="50">
        <v>7.1706068759291489E-2</v>
      </c>
      <c r="C39" s="50">
        <v>7.9105809451795017E-2</v>
      </c>
    </row>
    <row r="40" spans="1:3" x14ac:dyDescent="0.2">
      <c r="A40" s="47" t="s">
        <v>900</v>
      </c>
      <c r="B40" s="50">
        <v>5.731919491386478E-4</v>
      </c>
      <c r="C40" s="50">
        <v>2.7706597051750654E-3</v>
      </c>
    </row>
    <row r="41" spans="1:3" x14ac:dyDescent="0.2">
      <c r="A41" s="47" t="s">
        <v>881</v>
      </c>
      <c r="B41" s="50">
        <v>0</v>
      </c>
      <c r="C41" s="50">
        <v>0</v>
      </c>
    </row>
    <row r="42" spans="1:3" x14ac:dyDescent="0.2">
      <c r="A42" s="47" t="s">
        <v>1047</v>
      </c>
      <c r="B42" s="50">
        <v>7.1703790981218606E-3</v>
      </c>
      <c r="C42" s="50">
        <v>1.0411619673353177E-2</v>
      </c>
    </row>
    <row r="43" spans="1:3" x14ac:dyDescent="0.2">
      <c r="A43" s="47" t="s">
        <v>1053</v>
      </c>
      <c r="B43" s="50">
        <v>1.2020061433417367E-3</v>
      </c>
      <c r="C43" s="50">
        <v>1.1544415438229441E-3</v>
      </c>
    </row>
    <row r="44" spans="1:3" x14ac:dyDescent="0.2">
      <c r="A44" s="47" t="s">
        <v>998</v>
      </c>
      <c r="B44" s="50">
        <v>1.772690377702903E-3</v>
      </c>
      <c r="C44" s="50">
        <v>1.9556239752360673E-3</v>
      </c>
    </row>
    <row r="45" spans="1:3" x14ac:dyDescent="0.2">
      <c r="A45" s="47" t="s">
        <v>1000</v>
      </c>
      <c r="B45" s="50">
        <v>4.4035848592543147E-3</v>
      </c>
      <c r="C45" s="50">
        <v>4.6754882524829228E-3</v>
      </c>
    </row>
    <row r="46" spans="1:3" x14ac:dyDescent="0.2">
      <c r="A46" s="47" t="s">
        <v>931</v>
      </c>
      <c r="B46" s="50">
        <v>0</v>
      </c>
      <c r="C46" s="50">
        <v>4.3291557893360398E-5</v>
      </c>
    </row>
    <row r="47" spans="1:3" x14ac:dyDescent="0.2">
      <c r="A47" s="47" t="s">
        <v>863</v>
      </c>
      <c r="B47" s="50">
        <v>2.5312835253902453E-3</v>
      </c>
      <c r="C47" s="50">
        <v>2.5974934736016243E-2</v>
      </c>
    </row>
    <row r="48" spans="1:3" x14ac:dyDescent="0.2">
      <c r="A48" s="47" t="s">
        <v>878</v>
      </c>
      <c r="B48" s="50">
        <v>2.3003097958853623E-3</v>
      </c>
      <c r="C48" s="50">
        <v>3.4633246314688319E-3</v>
      </c>
    </row>
    <row r="49" spans="1:3" x14ac:dyDescent="0.2">
      <c r="A49" s="47" t="s">
        <v>1049</v>
      </c>
      <c r="B49" s="50">
        <v>2.4511497825007965E-3</v>
      </c>
      <c r="C49" s="50">
        <v>2.7706597051750654E-3</v>
      </c>
    </row>
    <row r="50" spans="1:3" x14ac:dyDescent="0.2">
      <c r="A50" s="47" t="s">
        <v>973</v>
      </c>
      <c r="B50" s="50">
        <v>5.9078994757711507E-4</v>
      </c>
      <c r="C50" s="50">
        <v>1.1544415438229441E-3</v>
      </c>
    </row>
    <row r="51" spans="1:3" x14ac:dyDescent="0.2">
      <c r="A51" s="47" t="s">
        <v>997</v>
      </c>
      <c r="B51" s="50">
        <v>1.0040286609089801E-4</v>
      </c>
      <c r="C51" s="50">
        <v>5.7722077191147206E-4</v>
      </c>
    </row>
    <row r="52" spans="1:3" x14ac:dyDescent="0.2">
      <c r="A52" s="47" t="s">
        <v>926</v>
      </c>
      <c r="B52" s="50">
        <v>0</v>
      </c>
      <c r="C52" s="50">
        <v>3.4633246314688319E-3</v>
      </c>
    </row>
    <row r="53" spans="1:3" x14ac:dyDescent="0.2">
      <c r="A53" s="47" t="s">
        <v>1048</v>
      </c>
      <c r="B53" s="50">
        <v>7.2935155928205225E-4</v>
      </c>
      <c r="C53" s="50">
        <v>5.4905239824219213E-3</v>
      </c>
    </row>
    <row r="54" spans="1:3" x14ac:dyDescent="0.2">
      <c r="A54" s="47" t="s">
        <v>876</v>
      </c>
      <c r="B54" s="50">
        <v>1.3176501330802358E-2</v>
      </c>
      <c r="C54" s="50">
        <v>8.0810908067606071E-3</v>
      </c>
    </row>
    <row r="55" spans="1:3" x14ac:dyDescent="0.2">
      <c r="A55" s="47" t="s">
        <v>883</v>
      </c>
      <c r="B55" s="50">
        <v>4.5440545967899377E-4</v>
      </c>
      <c r="C55" s="50">
        <v>3.4633246314688319E-3</v>
      </c>
    </row>
    <row r="56" spans="1:3" x14ac:dyDescent="0.2">
      <c r="A56" s="47" t="s">
        <v>1060</v>
      </c>
      <c r="B56" s="50">
        <v>4.5440545967899377E-4</v>
      </c>
      <c r="C56" s="50">
        <v>3.4633246314688319E-3</v>
      </c>
    </row>
    <row r="57" spans="1:3" x14ac:dyDescent="0.2">
      <c r="A57" s="47" t="s">
        <v>1046</v>
      </c>
      <c r="B57" s="50">
        <v>2.3877404231273337E-3</v>
      </c>
      <c r="C57" s="50">
        <v>2.7360264588603776E-3</v>
      </c>
    </row>
    <row r="58" spans="1:3" x14ac:dyDescent="0.2">
      <c r="A58" s="47" t="s">
        <v>976</v>
      </c>
      <c r="B58" s="50">
        <v>0</v>
      </c>
      <c r="C58" s="50">
        <v>6.9266492629376638E-3</v>
      </c>
    </row>
    <row r="59" spans="1:3" x14ac:dyDescent="0.2">
      <c r="A59" s="47" t="s">
        <v>875</v>
      </c>
      <c r="B59" s="50">
        <v>7.6611943451950854E-2</v>
      </c>
      <c r="C59" s="50">
        <v>4.6985770833593822E-2</v>
      </c>
    </row>
    <row r="60" spans="1:3" x14ac:dyDescent="0.2">
      <c r="A60" s="47" t="s">
        <v>1045</v>
      </c>
      <c r="B60" s="50">
        <v>5.8167669838576582E-4</v>
      </c>
      <c r="C60" s="50">
        <v>3.4633246314688319E-3</v>
      </c>
    </row>
    <row r="61" spans="1:3" x14ac:dyDescent="0.2">
      <c r="A61" s="47" t="s">
        <v>937</v>
      </c>
      <c r="B61" s="50">
        <v>4.2533922275814396E-4</v>
      </c>
      <c r="C61" s="50">
        <v>1.9556239752360673E-3</v>
      </c>
    </row>
    <row r="62" spans="1:3" x14ac:dyDescent="0.2">
      <c r="A62" s="47" t="s">
        <v>854</v>
      </c>
      <c r="B62" s="50">
        <v>3.8051272123575826E-3</v>
      </c>
      <c r="C62" s="50">
        <v>6.4417838145320275E-2</v>
      </c>
    </row>
    <row r="63" spans="1:3" x14ac:dyDescent="0.2">
      <c r="A63" s="47" t="s">
        <v>859</v>
      </c>
      <c r="B63" s="50">
        <v>1.0895832158174213E-2</v>
      </c>
      <c r="C63" s="50">
        <v>2.5974934736016239E-2</v>
      </c>
    </row>
    <row r="64" spans="1:3" x14ac:dyDescent="0.2">
      <c r="A64" s="47" t="s">
        <v>999</v>
      </c>
      <c r="B64" s="50">
        <v>0</v>
      </c>
      <c r="C64" s="50">
        <v>0</v>
      </c>
    </row>
    <row r="65" spans="1:3" x14ac:dyDescent="0.2">
      <c r="A65" s="47" t="s">
        <v>933</v>
      </c>
      <c r="B65" s="50">
        <v>1.2161473920869336E-5</v>
      </c>
      <c r="C65" s="50">
        <v>1.7316623157344159E-4</v>
      </c>
    </row>
    <row r="66" spans="1:3" x14ac:dyDescent="0.2">
      <c r="A66" s="47" t="s">
        <v>965</v>
      </c>
      <c r="B66" s="50">
        <v>1.3945156762596837E-3</v>
      </c>
      <c r="C66" s="50">
        <v>1.9856394553754635E-2</v>
      </c>
    </row>
    <row r="67" spans="1:3" x14ac:dyDescent="0.2">
      <c r="A67" s="47" t="s">
        <v>869</v>
      </c>
      <c r="B67" s="50">
        <v>9.3399412649839246E-3</v>
      </c>
      <c r="C67" s="50">
        <v>3.9438609240851324E-2</v>
      </c>
    </row>
    <row r="68" spans="1:3" x14ac:dyDescent="0.2">
      <c r="A68" s="47" t="s">
        <v>1039</v>
      </c>
      <c r="B68" s="50">
        <v>2.7681494418722932E-3</v>
      </c>
      <c r="C68" s="50">
        <v>1.1688720631207307E-2</v>
      </c>
    </row>
    <row r="69" spans="1:3" x14ac:dyDescent="0.2">
      <c r="A69" s="47" t="s">
        <v>996</v>
      </c>
      <c r="B69" s="50">
        <v>2.3153937945469063E-4</v>
      </c>
      <c r="C69" s="50">
        <v>2.7706597051750654E-3</v>
      </c>
    </row>
    <row r="70" spans="1:3" x14ac:dyDescent="0.2">
      <c r="A70" s="47" t="s">
        <v>860</v>
      </c>
      <c r="B70" s="50">
        <v>2.199749804808407E-3</v>
      </c>
      <c r="C70" s="50">
        <v>1.1544415438229441E-2</v>
      </c>
    </row>
    <row r="71" spans="1:3" x14ac:dyDescent="0.2">
      <c r="A71" s="47" t="s">
        <v>1055</v>
      </c>
      <c r="B71" s="50">
        <v>5.4993745120210174E-4</v>
      </c>
      <c r="C71" s="50">
        <v>2.8861038595573599E-3</v>
      </c>
    </row>
    <row r="72" spans="1:3" x14ac:dyDescent="0.2">
      <c r="A72" s="47" t="s">
        <v>989</v>
      </c>
      <c r="B72" s="50">
        <v>3.8307454985843814E-2</v>
      </c>
      <c r="C72" s="50">
        <v>5.318512192392303E-2</v>
      </c>
    </row>
    <row r="73" spans="1:3" x14ac:dyDescent="0.2">
      <c r="A73" s="47" t="s">
        <v>1050</v>
      </c>
      <c r="B73" s="50">
        <v>7.9945192906179821E-5</v>
      </c>
      <c r="C73" s="50">
        <v>3.4633246314688318E-4</v>
      </c>
    </row>
    <row r="74" spans="1:3" x14ac:dyDescent="0.2">
      <c r="A74" s="47" t="s">
        <v>991</v>
      </c>
      <c r="B74" s="50">
        <v>9.3472447485858593E-3</v>
      </c>
      <c r="C74" s="50">
        <v>5.084160558996245E-3</v>
      </c>
    </row>
    <row r="75" spans="1:3" x14ac:dyDescent="0.2">
      <c r="A75" s="47" t="s">
        <v>857</v>
      </c>
      <c r="B75" s="50">
        <v>9.7480341350223969E-3</v>
      </c>
      <c r="C75" s="50">
        <v>7.6193141892314298E-2</v>
      </c>
    </row>
    <row r="76" spans="1:3" x14ac:dyDescent="0.2">
      <c r="A76" s="47" t="s">
        <v>913</v>
      </c>
      <c r="B76" s="50">
        <v>3.8309224791406772E-4</v>
      </c>
      <c r="C76" s="50">
        <v>1.0994869862559727E-3</v>
      </c>
    </row>
    <row r="77" spans="1:3" x14ac:dyDescent="0.2">
      <c r="A77" s="47" t="s">
        <v>872</v>
      </c>
      <c r="B77" s="50">
        <v>4.3507280139444912E-4</v>
      </c>
      <c r="C77" s="50">
        <v>4.7008859664470276E-3</v>
      </c>
    </row>
    <row r="78" spans="1:3" x14ac:dyDescent="0.2">
      <c r="A78" s="47" t="s">
        <v>985</v>
      </c>
      <c r="B78" s="50">
        <v>6.3245949387962842E-4</v>
      </c>
      <c r="C78" s="50">
        <v>6.6957609541730741E-3</v>
      </c>
    </row>
    <row r="79" spans="1:3" x14ac:dyDescent="0.2">
      <c r="A79" s="47" t="s">
        <v>871</v>
      </c>
      <c r="B79" s="50">
        <v>0</v>
      </c>
      <c r="C79" s="50">
        <v>1.3853298525875327E-3</v>
      </c>
    </row>
    <row r="80" spans="1:3" x14ac:dyDescent="0.2">
      <c r="A80" s="44" t="s">
        <v>1070</v>
      </c>
      <c r="B80" s="50">
        <v>1</v>
      </c>
      <c r="C80" s="50">
        <v>1</v>
      </c>
    </row>
  </sheetData>
  <phoneticPr fontId="12" type="noConversion"/>
  <pageMargins left="0.7" right="0.7" top="0.75" bottom="0.75" header="0.3" footer="0.3"/>
  <pageSetup orientation="portrait" horizontalDpi="0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M245"/>
  <sheetViews>
    <sheetView workbookViewId="0">
      <pane ySplit="2" topLeftCell="A214" activePane="bottomLeft" state="frozen"/>
      <selection activeCell="A31" sqref="A31"/>
      <selection pane="bottomLeft" activeCell="A31" sqref="A31"/>
    </sheetView>
  </sheetViews>
  <sheetFormatPr baseColWidth="10" defaultRowHeight="16" x14ac:dyDescent="0.2"/>
  <cols>
    <col min="2" max="2" width="17.83203125" bestFit="1" customWidth="1"/>
    <col min="5" max="5" width="13.5" bestFit="1" customWidth="1"/>
    <col min="6" max="8" width="15.33203125" customWidth="1"/>
    <col min="11" max="11" width="18.1640625" bestFit="1" customWidth="1"/>
    <col min="12" max="12" width="16" bestFit="1" customWidth="1"/>
  </cols>
  <sheetData>
    <row r="1" spans="1:12" x14ac:dyDescent="0.2">
      <c r="A1" s="94" t="s">
        <v>687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x14ac:dyDescent="0.2">
      <c r="A2" s="1" t="s">
        <v>0</v>
      </c>
      <c r="B2" s="1" t="s">
        <v>1</v>
      </c>
      <c r="C2" s="2" t="s">
        <v>172</v>
      </c>
      <c r="D2" s="2" t="s">
        <v>472</v>
      </c>
      <c r="E2" s="2" t="s">
        <v>1056</v>
      </c>
      <c r="F2" s="3" t="s">
        <v>4</v>
      </c>
      <c r="G2" s="3" t="s">
        <v>780</v>
      </c>
      <c r="H2" s="3" t="s">
        <v>934</v>
      </c>
      <c r="I2" s="3" t="s">
        <v>5</v>
      </c>
      <c r="J2" s="3" t="s">
        <v>6</v>
      </c>
      <c r="K2" s="1" t="s">
        <v>7</v>
      </c>
      <c r="L2" s="1" t="s">
        <v>8</v>
      </c>
    </row>
    <row r="3" spans="1:12" x14ac:dyDescent="0.2">
      <c r="A3" s="4">
        <v>43497</v>
      </c>
      <c r="B3" t="s">
        <v>538</v>
      </c>
      <c r="C3">
        <v>1</v>
      </c>
      <c r="D3">
        <v>6</v>
      </c>
      <c r="E3">
        <v>6.6138700000000004</v>
      </c>
      <c r="F3" t="s">
        <v>447</v>
      </c>
      <c r="G3" t="s">
        <v>1052</v>
      </c>
      <c r="H3" t="s">
        <v>1071</v>
      </c>
      <c r="I3">
        <f t="shared" ref="I3:I66" si="0">C3*D3*E3</f>
        <v>39.683220000000006</v>
      </c>
      <c r="J3">
        <f t="shared" ref="J3:J66" si="1">CONVERT(I3,"lbm","kg")</f>
        <v>18.000005809031403</v>
      </c>
      <c r="K3">
        <v>0.84599999999999997</v>
      </c>
      <c r="L3">
        <f t="shared" ref="L3:L66" si="2">J3*K3</f>
        <v>15.228004914440566</v>
      </c>
    </row>
    <row r="4" spans="1:12" x14ac:dyDescent="0.2">
      <c r="A4" s="4">
        <v>43497</v>
      </c>
      <c r="B4" t="s">
        <v>538</v>
      </c>
      <c r="C4">
        <v>2</v>
      </c>
      <c r="D4">
        <v>6</v>
      </c>
      <c r="E4">
        <v>10</v>
      </c>
      <c r="F4" t="s">
        <v>420</v>
      </c>
      <c r="G4" t="s">
        <v>898</v>
      </c>
      <c r="H4" t="s">
        <v>1071</v>
      </c>
      <c r="I4">
        <f t="shared" si="0"/>
        <v>120</v>
      </c>
      <c r="J4">
        <f t="shared" si="1"/>
        <v>54.431084400000003</v>
      </c>
      <c r="K4">
        <v>0.308</v>
      </c>
      <c r="L4">
        <f t="shared" si="2"/>
        <v>16.764773995200002</v>
      </c>
    </row>
    <row r="5" spans="1:12" x14ac:dyDescent="0.2">
      <c r="A5" s="4">
        <v>43500</v>
      </c>
      <c r="B5" t="s">
        <v>538</v>
      </c>
      <c r="C5">
        <v>2</v>
      </c>
      <c r="D5">
        <v>6</v>
      </c>
      <c r="E5">
        <v>10</v>
      </c>
      <c r="F5" t="s">
        <v>420</v>
      </c>
      <c r="G5" t="s">
        <v>979</v>
      </c>
      <c r="H5" t="s">
        <v>1071</v>
      </c>
      <c r="I5">
        <f t="shared" si="0"/>
        <v>120</v>
      </c>
      <c r="J5">
        <f t="shared" si="1"/>
        <v>54.431084400000003</v>
      </c>
      <c r="K5">
        <v>0.308</v>
      </c>
      <c r="L5">
        <f t="shared" si="2"/>
        <v>16.764773995200002</v>
      </c>
    </row>
    <row r="6" spans="1:12" x14ac:dyDescent="0.2">
      <c r="A6" s="4">
        <v>43497</v>
      </c>
      <c r="B6" t="s">
        <v>538</v>
      </c>
      <c r="C6">
        <v>2</v>
      </c>
      <c r="D6">
        <v>1</v>
      </c>
      <c r="E6">
        <v>20</v>
      </c>
      <c r="F6" t="s">
        <v>437</v>
      </c>
      <c r="G6" t="s">
        <v>935</v>
      </c>
      <c r="H6" t="s">
        <v>1071</v>
      </c>
      <c r="I6">
        <f t="shared" si="0"/>
        <v>40</v>
      </c>
      <c r="J6">
        <f t="shared" si="1"/>
        <v>18.143694800000002</v>
      </c>
      <c r="K6">
        <v>0.308</v>
      </c>
      <c r="L6">
        <f t="shared" si="2"/>
        <v>5.5882579984000005</v>
      </c>
    </row>
    <row r="7" spans="1:12" x14ac:dyDescent="0.2">
      <c r="A7" s="4">
        <v>43497</v>
      </c>
      <c r="B7" t="s">
        <v>538</v>
      </c>
      <c r="C7">
        <v>1</v>
      </c>
      <c r="D7">
        <v>1</v>
      </c>
      <c r="E7">
        <v>20</v>
      </c>
      <c r="F7" t="s">
        <v>658</v>
      </c>
      <c r="G7" t="s">
        <v>922</v>
      </c>
      <c r="H7" t="s">
        <v>1071</v>
      </c>
      <c r="I7">
        <f t="shared" si="0"/>
        <v>20</v>
      </c>
      <c r="J7">
        <f t="shared" si="1"/>
        <v>9.0718474000000011</v>
      </c>
      <c r="K7">
        <v>0.308</v>
      </c>
      <c r="L7">
        <f t="shared" si="2"/>
        <v>2.7941289992000002</v>
      </c>
    </row>
    <row r="8" spans="1:12" x14ac:dyDescent="0.2">
      <c r="A8" s="4">
        <v>43497</v>
      </c>
      <c r="B8" t="s">
        <v>538</v>
      </c>
      <c r="C8">
        <v>1</v>
      </c>
      <c r="D8">
        <v>6</v>
      </c>
      <c r="E8">
        <v>10</v>
      </c>
      <c r="F8" t="s">
        <v>440</v>
      </c>
      <c r="G8" t="s">
        <v>922</v>
      </c>
      <c r="H8" t="s">
        <v>1071</v>
      </c>
      <c r="I8">
        <f t="shared" si="0"/>
        <v>60</v>
      </c>
      <c r="J8">
        <f t="shared" si="1"/>
        <v>27.215542200000002</v>
      </c>
      <c r="K8">
        <v>0.308</v>
      </c>
      <c r="L8">
        <f t="shared" si="2"/>
        <v>8.3823869976000012</v>
      </c>
    </row>
    <row r="9" spans="1:12" x14ac:dyDescent="0.2">
      <c r="A9" s="4">
        <v>43500</v>
      </c>
      <c r="B9" t="s">
        <v>538</v>
      </c>
      <c r="C9">
        <v>2</v>
      </c>
      <c r="D9">
        <v>6</v>
      </c>
      <c r="E9">
        <v>10</v>
      </c>
      <c r="F9" t="s">
        <v>440</v>
      </c>
      <c r="G9" t="s">
        <v>922</v>
      </c>
      <c r="H9" t="s">
        <v>1071</v>
      </c>
      <c r="I9">
        <f t="shared" si="0"/>
        <v>120</v>
      </c>
      <c r="J9">
        <f t="shared" si="1"/>
        <v>54.431084400000003</v>
      </c>
      <c r="K9">
        <v>0.308</v>
      </c>
      <c r="L9">
        <f t="shared" si="2"/>
        <v>16.764773995200002</v>
      </c>
    </row>
    <row r="10" spans="1:12" x14ac:dyDescent="0.2">
      <c r="A10" s="4">
        <v>43497</v>
      </c>
      <c r="B10" t="s">
        <v>538</v>
      </c>
      <c r="C10">
        <v>1</v>
      </c>
      <c r="D10">
        <v>1</v>
      </c>
      <c r="E10">
        <v>20</v>
      </c>
      <c r="F10" t="s">
        <v>665</v>
      </c>
      <c r="G10" t="s">
        <v>984</v>
      </c>
      <c r="H10" t="s">
        <v>1071</v>
      </c>
      <c r="I10">
        <f t="shared" si="0"/>
        <v>20</v>
      </c>
      <c r="J10">
        <f t="shared" si="1"/>
        <v>9.0718474000000011</v>
      </c>
      <c r="K10">
        <v>0.308</v>
      </c>
      <c r="L10">
        <f t="shared" si="2"/>
        <v>2.7941289992000002</v>
      </c>
    </row>
    <row r="11" spans="1:12" x14ac:dyDescent="0.2">
      <c r="A11" s="4">
        <v>43497</v>
      </c>
      <c r="B11" t="s">
        <v>538</v>
      </c>
      <c r="C11">
        <v>1</v>
      </c>
      <c r="D11">
        <v>6</v>
      </c>
      <c r="E11">
        <v>0.125</v>
      </c>
      <c r="F11" t="s">
        <v>657</v>
      </c>
      <c r="G11" s="6" t="s">
        <v>930</v>
      </c>
      <c r="H11" t="s">
        <v>1071</v>
      </c>
      <c r="I11">
        <f t="shared" si="0"/>
        <v>0.75</v>
      </c>
      <c r="J11">
        <f t="shared" si="1"/>
        <v>0.34019427750000003</v>
      </c>
      <c r="K11">
        <v>0.48199999999999998</v>
      </c>
      <c r="L11">
        <f t="shared" si="2"/>
        <v>0.16397364175500001</v>
      </c>
    </row>
    <row r="12" spans="1:12" x14ac:dyDescent="0.2">
      <c r="A12" s="4">
        <v>43497</v>
      </c>
      <c r="B12" t="s">
        <v>538</v>
      </c>
      <c r="C12">
        <v>1</v>
      </c>
      <c r="D12">
        <v>4</v>
      </c>
      <c r="E12">
        <v>2.5</v>
      </c>
      <c r="F12" t="s">
        <v>436</v>
      </c>
      <c r="G12" s="6" t="s">
        <v>861</v>
      </c>
      <c r="H12" t="s">
        <v>1071</v>
      </c>
      <c r="I12">
        <f t="shared" si="0"/>
        <v>10</v>
      </c>
      <c r="J12">
        <f t="shared" si="1"/>
        <v>4.5359237000000006</v>
      </c>
      <c r="K12">
        <v>1.61</v>
      </c>
      <c r="L12">
        <f t="shared" si="2"/>
        <v>7.3028371570000017</v>
      </c>
    </row>
    <row r="13" spans="1:12" x14ac:dyDescent="0.2">
      <c r="A13" s="4">
        <v>43497</v>
      </c>
      <c r="B13" t="s">
        <v>538</v>
      </c>
      <c r="C13">
        <v>1</v>
      </c>
      <c r="D13">
        <v>4</v>
      </c>
      <c r="E13">
        <v>40.3125</v>
      </c>
      <c r="F13" t="s">
        <v>548</v>
      </c>
      <c r="G13" s="6" t="s">
        <v>861</v>
      </c>
      <c r="H13" t="s">
        <v>1071</v>
      </c>
      <c r="I13">
        <f t="shared" si="0"/>
        <v>161.25</v>
      </c>
      <c r="J13">
        <f t="shared" si="1"/>
        <v>73.14176966250001</v>
      </c>
      <c r="K13">
        <v>1.61</v>
      </c>
      <c r="L13">
        <f t="shared" si="2"/>
        <v>117.75824915662503</v>
      </c>
    </row>
    <row r="14" spans="1:12" x14ac:dyDescent="0.2">
      <c r="A14" s="4">
        <v>43497</v>
      </c>
      <c r="B14" t="s">
        <v>538</v>
      </c>
      <c r="C14">
        <v>1</v>
      </c>
      <c r="D14">
        <v>4</v>
      </c>
      <c r="E14">
        <v>3.125</v>
      </c>
      <c r="F14" t="s">
        <v>453</v>
      </c>
      <c r="G14" s="6" t="s">
        <v>861</v>
      </c>
      <c r="H14" t="s">
        <v>1071</v>
      </c>
      <c r="I14">
        <f t="shared" si="0"/>
        <v>12.5</v>
      </c>
      <c r="J14">
        <f t="shared" si="1"/>
        <v>5.669904625</v>
      </c>
      <c r="K14">
        <v>1.61</v>
      </c>
      <c r="L14">
        <f t="shared" si="2"/>
        <v>9.1285464462500006</v>
      </c>
    </row>
    <row r="15" spans="1:12" x14ac:dyDescent="0.2">
      <c r="A15" s="4">
        <v>43500</v>
      </c>
      <c r="B15" t="s">
        <v>538</v>
      </c>
      <c r="C15">
        <v>2</v>
      </c>
      <c r="D15">
        <v>96</v>
      </c>
      <c r="E15">
        <v>6.25E-2</v>
      </c>
      <c r="F15" t="s">
        <v>746</v>
      </c>
      <c r="G15" s="6" t="s">
        <v>861</v>
      </c>
      <c r="H15" t="s">
        <v>1071</v>
      </c>
      <c r="I15">
        <f t="shared" si="0"/>
        <v>12</v>
      </c>
      <c r="J15">
        <f t="shared" si="1"/>
        <v>5.4431084400000005</v>
      </c>
      <c r="K15">
        <v>1.61</v>
      </c>
      <c r="L15">
        <f t="shared" si="2"/>
        <v>8.763404588400002</v>
      </c>
    </row>
    <row r="16" spans="1:12" x14ac:dyDescent="0.2">
      <c r="A16" s="4">
        <v>43500</v>
      </c>
      <c r="B16" t="s">
        <v>538</v>
      </c>
      <c r="C16">
        <v>1</v>
      </c>
      <c r="D16">
        <v>8</v>
      </c>
      <c r="E16">
        <v>5</v>
      </c>
      <c r="F16" t="s">
        <v>542</v>
      </c>
      <c r="G16" s="6" t="s">
        <v>861</v>
      </c>
      <c r="H16" t="s">
        <v>1071</v>
      </c>
      <c r="I16">
        <f t="shared" si="0"/>
        <v>40</v>
      </c>
      <c r="J16">
        <f t="shared" si="1"/>
        <v>18.143694800000002</v>
      </c>
      <c r="K16">
        <v>1.61</v>
      </c>
      <c r="L16">
        <f t="shared" si="2"/>
        <v>29.211348628000007</v>
      </c>
    </row>
    <row r="17" spans="1:12" x14ac:dyDescent="0.2">
      <c r="A17" s="4">
        <v>43500</v>
      </c>
      <c r="B17" t="s">
        <v>538</v>
      </c>
      <c r="C17">
        <v>1</v>
      </c>
      <c r="D17">
        <v>4</v>
      </c>
      <c r="E17">
        <v>30.0625</v>
      </c>
      <c r="F17" t="s">
        <v>545</v>
      </c>
      <c r="G17" s="6" t="s">
        <v>861</v>
      </c>
      <c r="H17" t="s">
        <v>1071</v>
      </c>
      <c r="I17">
        <f t="shared" si="0"/>
        <v>120.25</v>
      </c>
      <c r="J17">
        <f t="shared" si="1"/>
        <v>54.544482492500002</v>
      </c>
      <c r="K17">
        <v>1.61</v>
      </c>
      <c r="L17">
        <f t="shared" si="2"/>
        <v>87.816616812925005</v>
      </c>
    </row>
    <row r="18" spans="1:12" x14ac:dyDescent="0.2">
      <c r="A18" s="4">
        <v>43500</v>
      </c>
      <c r="B18" t="s">
        <v>538</v>
      </c>
      <c r="C18">
        <v>2</v>
      </c>
      <c r="D18">
        <v>4</v>
      </c>
      <c r="E18">
        <v>2.5</v>
      </c>
      <c r="F18" t="s">
        <v>436</v>
      </c>
      <c r="G18" s="6" t="s">
        <v>861</v>
      </c>
      <c r="H18" t="s">
        <v>1071</v>
      </c>
      <c r="I18">
        <f t="shared" si="0"/>
        <v>20</v>
      </c>
      <c r="J18">
        <f t="shared" si="1"/>
        <v>9.0718474000000011</v>
      </c>
      <c r="K18">
        <v>1.61</v>
      </c>
      <c r="L18">
        <f t="shared" si="2"/>
        <v>14.605674314000003</v>
      </c>
    </row>
    <row r="19" spans="1:12" x14ac:dyDescent="0.2">
      <c r="A19" s="4">
        <v>43500</v>
      </c>
      <c r="B19" t="s">
        <v>538</v>
      </c>
      <c r="C19">
        <v>1</v>
      </c>
      <c r="D19">
        <v>4</v>
      </c>
      <c r="E19">
        <v>1.625</v>
      </c>
      <c r="F19" t="s">
        <v>747</v>
      </c>
      <c r="G19" s="6" t="s">
        <v>861</v>
      </c>
      <c r="H19" t="s">
        <v>1071</v>
      </c>
      <c r="I19">
        <f t="shared" si="0"/>
        <v>6.5</v>
      </c>
      <c r="J19">
        <f t="shared" si="1"/>
        <v>2.9483504050000002</v>
      </c>
      <c r="K19">
        <v>1.61</v>
      </c>
      <c r="L19">
        <f t="shared" si="2"/>
        <v>4.7468441520500004</v>
      </c>
    </row>
    <row r="20" spans="1:12" x14ac:dyDescent="0.2">
      <c r="A20" s="4">
        <v>43500</v>
      </c>
      <c r="B20" t="s">
        <v>538</v>
      </c>
      <c r="C20">
        <v>1</v>
      </c>
      <c r="D20">
        <v>4</v>
      </c>
      <c r="E20">
        <v>30.3125</v>
      </c>
      <c r="F20" t="s">
        <v>470</v>
      </c>
      <c r="G20" s="6" t="s">
        <v>861</v>
      </c>
      <c r="H20" t="s">
        <v>1071</v>
      </c>
      <c r="I20">
        <f t="shared" si="0"/>
        <v>121.25</v>
      </c>
      <c r="J20">
        <f t="shared" si="1"/>
        <v>54.998074862500005</v>
      </c>
      <c r="K20">
        <v>1.61</v>
      </c>
      <c r="L20">
        <f t="shared" si="2"/>
        <v>88.546900528625017</v>
      </c>
    </row>
    <row r="21" spans="1:12" x14ac:dyDescent="0.2">
      <c r="A21" s="4">
        <v>43500</v>
      </c>
      <c r="B21" t="s">
        <v>538</v>
      </c>
      <c r="C21">
        <v>2</v>
      </c>
      <c r="D21">
        <v>4</v>
      </c>
      <c r="E21">
        <v>30.3125</v>
      </c>
      <c r="F21" t="s">
        <v>580</v>
      </c>
      <c r="G21" s="6" t="s">
        <v>861</v>
      </c>
      <c r="H21" t="s">
        <v>1071</v>
      </c>
      <c r="I21">
        <f t="shared" si="0"/>
        <v>242.5</v>
      </c>
      <c r="J21">
        <f t="shared" si="1"/>
        <v>109.99614972500001</v>
      </c>
      <c r="K21">
        <v>1.61</v>
      </c>
      <c r="L21">
        <f t="shared" si="2"/>
        <v>177.09380105725003</v>
      </c>
    </row>
    <row r="22" spans="1:12" x14ac:dyDescent="0.2">
      <c r="A22" s="4">
        <v>43500</v>
      </c>
      <c r="B22" t="s">
        <v>538</v>
      </c>
      <c r="C22">
        <v>1</v>
      </c>
      <c r="D22">
        <v>4</v>
      </c>
      <c r="E22">
        <v>40.3125</v>
      </c>
      <c r="F22" t="s">
        <v>548</v>
      </c>
      <c r="G22" s="6" t="s">
        <v>861</v>
      </c>
      <c r="H22" t="s">
        <v>1071</v>
      </c>
      <c r="I22">
        <f t="shared" si="0"/>
        <v>161.25</v>
      </c>
      <c r="J22">
        <f t="shared" si="1"/>
        <v>73.14176966250001</v>
      </c>
      <c r="K22">
        <v>1.61</v>
      </c>
      <c r="L22">
        <f t="shared" si="2"/>
        <v>117.75824915662503</v>
      </c>
    </row>
    <row r="23" spans="1:12" x14ac:dyDescent="0.2">
      <c r="A23" s="4">
        <v>43503</v>
      </c>
      <c r="B23" t="s">
        <v>538</v>
      </c>
      <c r="C23">
        <v>2</v>
      </c>
      <c r="D23">
        <v>4</v>
      </c>
      <c r="E23">
        <v>1.8125</v>
      </c>
      <c r="F23" t="s">
        <v>575</v>
      </c>
      <c r="G23" s="6" t="s">
        <v>861</v>
      </c>
      <c r="H23" t="s">
        <v>1071</v>
      </c>
      <c r="I23">
        <f t="shared" si="0"/>
        <v>14.5</v>
      </c>
      <c r="J23">
        <f t="shared" si="1"/>
        <v>6.577089365</v>
      </c>
      <c r="K23">
        <v>1.61</v>
      </c>
      <c r="L23">
        <f t="shared" si="2"/>
        <v>10.58911387765</v>
      </c>
    </row>
    <row r="24" spans="1:12" x14ac:dyDescent="0.2">
      <c r="A24" s="4">
        <v>43503</v>
      </c>
      <c r="B24" t="s">
        <v>538</v>
      </c>
      <c r="C24">
        <v>1</v>
      </c>
      <c r="D24">
        <v>4</v>
      </c>
      <c r="E24">
        <v>1.625</v>
      </c>
      <c r="F24" t="s">
        <v>747</v>
      </c>
      <c r="G24" s="6" t="s">
        <v>861</v>
      </c>
      <c r="H24" t="s">
        <v>1071</v>
      </c>
      <c r="I24">
        <f t="shared" si="0"/>
        <v>6.5</v>
      </c>
      <c r="J24">
        <f t="shared" si="1"/>
        <v>2.9483504050000002</v>
      </c>
      <c r="K24">
        <v>1.61</v>
      </c>
      <c r="L24">
        <f t="shared" si="2"/>
        <v>4.7468441520500004</v>
      </c>
    </row>
    <row r="25" spans="1:12" x14ac:dyDescent="0.2">
      <c r="A25" s="4">
        <v>43503</v>
      </c>
      <c r="B25" t="s">
        <v>538</v>
      </c>
      <c r="C25">
        <v>2</v>
      </c>
      <c r="D25">
        <v>4</v>
      </c>
      <c r="E25">
        <v>30.3125</v>
      </c>
      <c r="F25" t="s">
        <v>470</v>
      </c>
      <c r="G25" s="6" t="s">
        <v>861</v>
      </c>
      <c r="H25" t="s">
        <v>1071</v>
      </c>
      <c r="I25">
        <f t="shared" si="0"/>
        <v>242.5</v>
      </c>
      <c r="J25">
        <f t="shared" si="1"/>
        <v>109.99614972500001</v>
      </c>
      <c r="K25">
        <v>1.61</v>
      </c>
      <c r="L25">
        <f t="shared" si="2"/>
        <v>177.09380105725003</v>
      </c>
    </row>
    <row r="26" spans="1:12" x14ac:dyDescent="0.2">
      <c r="A26" s="4">
        <v>43503</v>
      </c>
      <c r="B26" t="s">
        <v>538</v>
      </c>
      <c r="C26">
        <v>2</v>
      </c>
      <c r="D26">
        <v>4</v>
      </c>
      <c r="E26">
        <v>30.3125</v>
      </c>
      <c r="F26" t="s">
        <v>580</v>
      </c>
      <c r="G26" s="6" t="s">
        <v>861</v>
      </c>
      <c r="H26" t="s">
        <v>1071</v>
      </c>
      <c r="I26">
        <f t="shared" si="0"/>
        <v>242.5</v>
      </c>
      <c r="J26">
        <f t="shared" si="1"/>
        <v>109.99614972500001</v>
      </c>
      <c r="K26">
        <v>1.61</v>
      </c>
      <c r="L26">
        <f t="shared" si="2"/>
        <v>177.09380105725003</v>
      </c>
    </row>
    <row r="27" spans="1:12" x14ac:dyDescent="0.2">
      <c r="A27" s="4">
        <v>43503</v>
      </c>
      <c r="B27" t="s">
        <v>538</v>
      </c>
      <c r="C27">
        <v>2</v>
      </c>
      <c r="D27">
        <v>4</v>
      </c>
      <c r="E27">
        <v>40.3125</v>
      </c>
      <c r="F27" t="s">
        <v>548</v>
      </c>
      <c r="G27" s="6" t="s">
        <v>861</v>
      </c>
      <c r="H27" t="s">
        <v>1071</v>
      </c>
      <c r="I27">
        <f t="shared" si="0"/>
        <v>322.5</v>
      </c>
      <c r="J27">
        <f t="shared" si="1"/>
        <v>146.28353932500002</v>
      </c>
      <c r="K27">
        <v>1.61</v>
      </c>
      <c r="L27">
        <f t="shared" si="2"/>
        <v>235.51649831325005</v>
      </c>
    </row>
    <row r="28" spans="1:12" x14ac:dyDescent="0.2">
      <c r="A28" s="4">
        <v>43497</v>
      </c>
      <c r="B28" t="s">
        <v>538</v>
      </c>
      <c r="C28">
        <v>4</v>
      </c>
      <c r="D28">
        <v>6</v>
      </c>
      <c r="E28">
        <v>10</v>
      </c>
      <c r="F28" t="s">
        <v>539</v>
      </c>
      <c r="G28" s="6" t="s">
        <v>896</v>
      </c>
      <c r="H28" s="6" t="s">
        <v>1071</v>
      </c>
      <c r="I28">
        <f t="shared" si="0"/>
        <v>240</v>
      </c>
      <c r="J28">
        <f t="shared" si="1"/>
        <v>108.86216880000001</v>
      </c>
      <c r="K28">
        <v>0.49099999999999999</v>
      </c>
      <c r="L28">
        <f t="shared" si="2"/>
        <v>53.451324880800001</v>
      </c>
    </row>
    <row r="29" spans="1:12" x14ac:dyDescent="0.2">
      <c r="A29" s="4">
        <v>43500</v>
      </c>
      <c r="B29" t="s">
        <v>538</v>
      </c>
      <c r="C29">
        <v>4</v>
      </c>
      <c r="D29">
        <v>6</v>
      </c>
      <c r="E29">
        <v>10</v>
      </c>
      <c r="F29" t="s">
        <v>539</v>
      </c>
      <c r="G29" t="s">
        <v>896</v>
      </c>
      <c r="H29" s="6" t="s">
        <v>1071</v>
      </c>
      <c r="I29">
        <f t="shared" si="0"/>
        <v>240</v>
      </c>
      <c r="J29">
        <f t="shared" si="1"/>
        <v>108.86216880000001</v>
      </c>
      <c r="K29">
        <v>0.49099999999999999</v>
      </c>
      <c r="L29">
        <f t="shared" si="2"/>
        <v>53.451324880800001</v>
      </c>
    </row>
    <row r="30" spans="1:12" x14ac:dyDescent="0.2">
      <c r="A30" s="4">
        <v>43503</v>
      </c>
      <c r="B30" t="s">
        <v>538</v>
      </c>
      <c r="C30">
        <v>1</v>
      </c>
      <c r="D30">
        <v>6</v>
      </c>
      <c r="E30" s="14" t="s">
        <v>422</v>
      </c>
      <c r="F30" t="s">
        <v>423</v>
      </c>
      <c r="G30" t="s">
        <v>1054</v>
      </c>
      <c r="H30" s="14" t="s">
        <v>1071</v>
      </c>
      <c r="I30">
        <v>0</v>
      </c>
      <c r="J30">
        <f t="shared" si="1"/>
        <v>0</v>
      </c>
      <c r="K30">
        <v>33.646999999999998</v>
      </c>
      <c r="L30">
        <f t="shared" si="2"/>
        <v>0</v>
      </c>
    </row>
    <row r="31" spans="1:12" x14ac:dyDescent="0.2">
      <c r="A31" s="4">
        <v>43497</v>
      </c>
      <c r="B31" t="s">
        <v>538</v>
      </c>
      <c r="C31">
        <v>1</v>
      </c>
      <c r="D31">
        <v>24</v>
      </c>
      <c r="E31">
        <v>0.875</v>
      </c>
      <c r="F31" t="s">
        <v>743</v>
      </c>
      <c r="G31" t="s">
        <v>1051</v>
      </c>
      <c r="H31" s="6" t="s">
        <v>1071</v>
      </c>
      <c r="I31">
        <f t="shared" si="0"/>
        <v>21</v>
      </c>
      <c r="J31">
        <f t="shared" si="1"/>
        <v>9.5254397700000002</v>
      </c>
      <c r="K31">
        <v>0.79200000000000004</v>
      </c>
      <c r="L31">
        <f t="shared" si="2"/>
        <v>7.5441482978400005</v>
      </c>
    </row>
    <row r="32" spans="1:12" x14ac:dyDescent="0.2">
      <c r="A32" s="4">
        <v>43497</v>
      </c>
      <c r="B32" t="s">
        <v>538</v>
      </c>
      <c r="C32">
        <v>2</v>
      </c>
      <c r="D32">
        <v>4</v>
      </c>
      <c r="E32">
        <v>7.79</v>
      </c>
      <c r="F32" t="s">
        <v>543</v>
      </c>
      <c r="G32" t="s">
        <v>980</v>
      </c>
      <c r="H32" s="9" t="s">
        <v>1073</v>
      </c>
      <c r="I32">
        <f t="shared" si="0"/>
        <v>62.32</v>
      </c>
      <c r="J32">
        <f t="shared" si="1"/>
        <v>28.2678764984</v>
      </c>
      <c r="K32">
        <v>3.33</v>
      </c>
      <c r="L32">
        <f t="shared" si="2"/>
        <v>94.132028739671995</v>
      </c>
    </row>
    <row r="33" spans="1:12" x14ac:dyDescent="0.2">
      <c r="A33" s="4">
        <v>43497</v>
      </c>
      <c r="B33" t="s">
        <v>538</v>
      </c>
      <c r="C33">
        <v>2</v>
      </c>
      <c r="D33">
        <v>6</v>
      </c>
      <c r="E33">
        <v>7.125</v>
      </c>
      <c r="F33" t="s">
        <v>1007</v>
      </c>
      <c r="G33" t="s">
        <v>980</v>
      </c>
      <c r="H33" s="9" t="s">
        <v>1071</v>
      </c>
      <c r="I33">
        <f t="shared" si="0"/>
        <v>85.5</v>
      </c>
      <c r="J33">
        <f t="shared" si="1"/>
        <v>38.782147635000001</v>
      </c>
      <c r="K33">
        <v>3.33</v>
      </c>
      <c r="L33">
        <f t="shared" si="2"/>
        <v>129.14455162455002</v>
      </c>
    </row>
    <row r="34" spans="1:12" x14ac:dyDescent="0.2">
      <c r="A34" s="4">
        <v>43497</v>
      </c>
      <c r="B34" t="s">
        <v>538</v>
      </c>
      <c r="C34">
        <v>1</v>
      </c>
      <c r="D34">
        <v>24</v>
      </c>
      <c r="E34">
        <v>0.3125</v>
      </c>
      <c r="F34" t="s">
        <v>585</v>
      </c>
      <c r="G34" t="s">
        <v>980</v>
      </c>
      <c r="H34" s="9" t="s">
        <v>1071</v>
      </c>
      <c r="I34">
        <f t="shared" si="0"/>
        <v>7.5</v>
      </c>
      <c r="J34">
        <f t="shared" si="1"/>
        <v>3.4019427750000002</v>
      </c>
      <c r="K34">
        <v>3.33</v>
      </c>
      <c r="L34">
        <f t="shared" si="2"/>
        <v>11.32846944075</v>
      </c>
    </row>
    <row r="35" spans="1:12" x14ac:dyDescent="0.2">
      <c r="A35" s="4">
        <v>43497</v>
      </c>
      <c r="B35" t="s">
        <v>538</v>
      </c>
      <c r="C35">
        <v>1</v>
      </c>
      <c r="D35">
        <v>12</v>
      </c>
      <c r="E35">
        <v>0.4375</v>
      </c>
      <c r="F35" t="s">
        <v>448</v>
      </c>
      <c r="G35" t="s">
        <v>980</v>
      </c>
      <c r="H35" s="9" t="s">
        <v>1073</v>
      </c>
      <c r="I35">
        <f t="shared" si="0"/>
        <v>5.25</v>
      </c>
      <c r="J35">
        <f t="shared" si="1"/>
        <v>2.3813599425</v>
      </c>
      <c r="K35">
        <v>3.33</v>
      </c>
      <c r="L35">
        <f t="shared" si="2"/>
        <v>7.9299286085250005</v>
      </c>
    </row>
    <row r="36" spans="1:12" x14ac:dyDescent="0.2">
      <c r="A36" s="4">
        <v>43497</v>
      </c>
      <c r="B36" t="s">
        <v>538</v>
      </c>
      <c r="C36">
        <v>1</v>
      </c>
      <c r="D36">
        <v>12</v>
      </c>
      <c r="E36">
        <v>1.5625</v>
      </c>
      <c r="F36" t="s">
        <v>449</v>
      </c>
      <c r="G36" t="s">
        <v>980</v>
      </c>
      <c r="H36" s="9" t="s">
        <v>1073</v>
      </c>
      <c r="I36">
        <f t="shared" si="0"/>
        <v>18.75</v>
      </c>
      <c r="J36">
        <f t="shared" si="1"/>
        <v>8.5048569375000014</v>
      </c>
      <c r="K36">
        <v>3.33</v>
      </c>
      <c r="L36">
        <f t="shared" si="2"/>
        <v>28.321173601875007</v>
      </c>
    </row>
    <row r="37" spans="1:12" x14ac:dyDescent="0.2">
      <c r="A37" s="4">
        <v>43497</v>
      </c>
      <c r="B37" t="s">
        <v>538</v>
      </c>
      <c r="C37">
        <v>1</v>
      </c>
      <c r="D37">
        <v>4</v>
      </c>
      <c r="E37">
        <v>100.3125</v>
      </c>
      <c r="F37" t="s">
        <v>456</v>
      </c>
      <c r="G37" t="s">
        <v>980</v>
      </c>
      <c r="H37" s="9" t="s">
        <v>1071</v>
      </c>
      <c r="I37">
        <f t="shared" si="0"/>
        <v>401.25</v>
      </c>
      <c r="J37">
        <f t="shared" si="1"/>
        <v>182.0039384625</v>
      </c>
      <c r="K37">
        <v>3.33</v>
      </c>
      <c r="L37">
        <f t="shared" si="2"/>
        <v>606.07311508012504</v>
      </c>
    </row>
    <row r="38" spans="1:12" x14ac:dyDescent="0.2">
      <c r="A38" s="4">
        <v>43497</v>
      </c>
      <c r="B38" t="s">
        <v>538</v>
      </c>
      <c r="C38">
        <v>1</v>
      </c>
      <c r="D38">
        <v>2</v>
      </c>
      <c r="E38">
        <v>100.3125</v>
      </c>
      <c r="F38" t="s">
        <v>561</v>
      </c>
      <c r="G38" t="s">
        <v>980</v>
      </c>
      <c r="H38" s="9" t="s">
        <v>1071</v>
      </c>
      <c r="I38">
        <f t="shared" si="0"/>
        <v>200.625</v>
      </c>
      <c r="J38">
        <f t="shared" si="1"/>
        <v>91.001969231250001</v>
      </c>
      <c r="K38">
        <v>3.33</v>
      </c>
      <c r="L38">
        <f t="shared" si="2"/>
        <v>303.03655754006252</v>
      </c>
    </row>
    <row r="39" spans="1:12" x14ac:dyDescent="0.2">
      <c r="A39" s="4">
        <v>43497</v>
      </c>
      <c r="B39" t="s">
        <v>538</v>
      </c>
      <c r="C39">
        <v>2</v>
      </c>
      <c r="D39">
        <v>4</v>
      </c>
      <c r="E39">
        <v>11.68</v>
      </c>
      <c r="F39" t="s">
        <v>585</v>
      </c>
      <c r="G39" t="s">
        <v>980</v>
      </c>
      <c r="H39" s="9" t="s">
        <v>1071</v>
      </c>
      <c r="I39">
        <f t="shared" si="0"/>
        <v>93.44</v>
      </c>
      <c r="J39">
        <f t="shared" si="1"/>
        <v>42.383671052800004</v>
      </c>
      <c r="K39">
        <v>3.33</v>
      </c>
      <c r="L39">
        <f t="shared" si="2"/>
        <v>141.13762460582402</v>
      </c>
    </row>
    <row r="40" spans="1:12" x14ac:dyDescent="0.2">
      <c r="A40" s="4">
        <v>43497</v>
      </c>
      <c r="B40" t="s">
        <v>538</v>
      </c>
      <c r="C40">
        <v>1</v>
      </c>
      <c r="D40">
        <v>12</v>
      </c>
      <c r="E40">
        <v>10.4375</v>
      </c>
      <c r="F40" t="s">
        <v>460</v>
      </c>
      <c r="G40" t="s">
        <v>980</v>
      </c>
      <c r="H40" s="9" t="s">
        <v>1071</v>
      </c>
      <c r="I40">
        <f t="shared" si="0"/>
        <v>125.25</v>
      </c>
      <c r="J40">
        <f t="shared" si="1"/>
        <v>56.812444342500001</v>
      </c>
      <c r="K40">
        <v>3.33</v>
      </c>
      <c r="L40">
        <f t="shared" si="2"/>
        <v>189.18543966052502</v>
      </c>
    </row>
    <row r="41" spans="1:12" x14ac:dyDescent="0.2">
      <c r="A41" s="4">
        <v>43500</v>
      </c>
      <c r="B41" t="s">
        <v>538</v>
      </c>
      <c r="C41">
        <v>1</v>
      </c>
      <c r="D41">
        <v>4</v>
      </c>
      <c r="E41">
        <f>1.13*10.16</f>
        <v>11.480799999999999</v>
      </c>
      <c r="F41" t="s">
        <v>572</v>
      </c>
      <c r="G41" t="s">
        <v>980</v>
      </c>
      <c r="H41" s="9" t="s">
        <v>1071</v>
      </c>
      <c r="I41">
        <f t="shared" si="0"/>
        <v>45.923199999999994</v>
      </c>
      <c r="J41">
        <f t="shared" si="1"/>
        <v>20.830413125983998</v>
      </c>
      <c r="K41">
        <v>3.33</v>
      </c>
      <c r="L41">
        <f t="shared" si="2"/>
        <v>69.365275709526713</v>
      </c>
    </row>
    <row r="42" spans="1:12" x14ac:dyDescent="0.2">
      <c r="A42" s="4">
        <v>43500</v>
      </c>
      <c r="B42" t="s">
        <v>538</v>
      </c>
      <c r="C42">
        <v>1</v>
      </c>
      <c r="D42">
        <v>6</v>
      </c>
      <c r="E42">
        <f>1.9*2.68</f>
        <v>5.0919999999999996</v>
      </c>
      <c r="F42" t="s">
        <v>681</v>
      </c>
      <c r="G42" t="s">
        <v>980</v>
      </c>
      <c r="H42" s="9" t="s">
        <v>1071</v>
      </c>
      <c r="I42">
        <f t="shared" si="0"/>
        <v>30.552</v>
      </c>
      <c r="J42">
        <f t="shared" si="1"/>
        <v>13.858154088240001</v>
      </c>
      <c r="K42">
        <v>3.33</v>
      </c>
      <c r="L42">
        <f t="shared" si="2"/>
        <v>46.147653113839205</v>
      </c>
    </row>
    <row r="43" spans="1:12" x14ac:dyDescent="0.2">
      <c r="A43" s="4">
        <v>43500</v>
      </c>
      <c r="B43" t="s">
        <v>538</v>
      </c>
      <c r="C43">
        <v>3</v>
      </c>
      <c r="D43">
        <v>4</v>
      </c>
      <c r="E43">
        <v>7.79</v>
      </c>
      <c r="F43" t="s">
        <v>543</v>
      </c>
      <c r="G43" t="s">
        <v>1089</v>
      </c>
      <c r="H43" s="9" t="s">
        <v>1073</v>
      </c>
      <c r="I43">
        <f t="shared" si="0"/>
        <v>93.48</v>
      </c>
      <c r="J43">
        <f t="shared" si="1"/>
        <v>42.4018147476</v>
      </c>
      <c r="K43">
        <v>3.33</v>
      </c>
      <c r="L43">
        <f t="shared" si="2"/>
        <v>141.19804310950801</v>
      </c>
    </row>
    <row r="44" spans="1:12" x14ac:dyDescent="0.2">
      <c r="A44" s="4">
        <v>43500</v>
      </c>
      <c r="B44" t="s">
        <v>538</v>
      </c>
      <c r="C44">
        <v>2</v>
      </c>
      <c r="D44">
        <v>12</v>
      </c>
      <c r="E44">
        <v>0.4375</v>
      </c>
      <c r="F44" t="s">
        <v>448</v>
      </c>
      <c r="G44" t="s">
        <v>980</v>
      </c>
      <c r="H44" s="9" t="s">
        <v>1071</v>
      </c>
      <c r="I44">
        <f t="shared" si="0"/>
        <v>10.5</v>
      </c>
      <c r="J44">
        <f t="shared" si="1"/>
        <v>4.7627198850000001</v>
      </c>
      <c r="K44">
        <v>3.33</v>
      </c>
      <c r="L44">
        <f t="shared" si="2"/>
        <v>15.859857217050001</v>
      </c>
    </row>
    <row r="45" spans="1:12" x14ac:dyDescent="0.2">
      <c r="A45" s="4">
        <v>43500</v>
      </c>
      <c r="B45" t="s">
        <v>538</v>
      </c>
      <c r="C45">
        <v>1</v>
      </c>
      <c r="D45">
        <v>4</v>
      </c>
      <c r="E45">
        <v>10.16</v>
      </c>
      <c r="F45" t="s">
        <v>584</v>
      </c>
      <c r="G45" t="s">
        <v>980</v>
      </c>
      <c r="H45" s="9" t="s">
        <v>1071</v>
      </c>
      <c r="I45">
        <f t="shared" si="0"/>
        <v>40.64</v>
      </c>
      <c r="J45">
        <f t="shared" si="1"/>
        <v>18.433993916800002</v>
      </c>
      <c r="K45">
        <v>3.33</v>
      </c>
      <c r="L45">
        <f t="shared" si="2"/>
        <v>61.38519974294401</v>
      </c>
    </row>
    <row r="46" spans="1:12" x14ac:dyDescent="0.2">
      <c r="A46" s="4">
        <v>43500</v>
      </c>
      <c r="B46" t="s">
        <v>538</v>
      </c>
      <c r="C46">
        <v>6</v>
      </c>
      <c r="D46">
        <v>2</v>
      </c>
      <c r="E46">
        <f>1.5*9.59</f>
        <v>14.385</v>
      </c>
      <c r="F46" t="s">
        <v>563</v>
      </c>
      <c r="G46" t="s">
        <v>980</v>
      </c>
      <c r="H46" s="9" t="s">
        <v>1071</v>
      </c>
      <c r="I46">
        <f t="shared" si="0"/>
        <v>172.62</v>
      </c>
      <c r="J46">
        <f t="shared" si="1"/>
        <v>78.299114909400004</v>
      </c>
      <c r="K46">
        <v>3.33</v>
      </c>
      <c r="L46">
        <f t="shared" si="2"/>
        <v>260.73605264830201</v>
      </c>
    </row>
    <row r="47" spans="1:12" x14ac:dyDescent="0.2">
      <c r="A47" s="4">
        <v>43503</v>
      </c>
      <c r="B47" t="s">
        <v>538</v>
      </c>
      <c r="C47">
        <v>1</v>
      </c>
      <c r="D47">
        <v>24</v>
      </c>
      <c r="E47">
        <v>0.3125</v>
      </c>
      <c r="F47" t="s">
        <v>585</v>
      </c>
      <c r="G47" t="s">
        <v>980</v>
      </c>
      <c r="H47" s="9" t="s">
        <v>1071</v>
      </c>
      <c r="I47">
        <f t="shared" si="0"/>
        <v>7.5</v>
      </c>
      <c r="J47">
        <f t="shared" si="1"/>
        <v>3.4019427750000002</v>
      </c>
      <c r="K47">
        <v>3.33</v>
      </c>
      <c r="L47">
        <f t="shared" si="2"/>
        <v>11.32846944075</v>
      </c>
    </row>
    <row r="48" spans="1:12" x14ac:dyDescent="0.2">
      <c r="A48" s="4">
        <v>43503</v>
      </c>
      <c r="B48" t="s">
        <v>538</v>
      </c>
      <c r="C48">
        <v>1</v>
      </c>
      <c r="D48">
        <v>24</v>
      </c>
      <c r="E48">
        <f>6/16</f>
        <v>0.375</v>
      </c>
      <c r="F48" t="s">
        <v>594</v>
      </c>
      <c r="G48" t="s">
        <v>980</v>
      </c>
      <c r="H48" s="9" t="s">
        <v>1071</v>
      </c>
      <c r="I48">
        <f t="shared" si="0"/>
        <v>9</v>
      </c>
      <c r="J48">
        <f t="shared" si="1"/>
        <v>4.0823313299999997</v>
      </c>
      <c r="K48">
        <v>3.33</v>
      </c>
      <c r="L48">
        <f t="shared" si="2"/>
        <v>13.594163328899999</v>
      </c>
    </row>
    <row r="49" spans="1:12" x14ac:dyDescent="0.2">
      <c r="A49" s="4">
        <v>43503</v>
      </c>
      <c r="B49" t="s">
        <v>538</v>
      </c>
      <c r="C49">
        <v>1</v>
      </c>
      <c r="D49">
        <v>4</v>
      </c>
      <c r="E49">
        <v>11.68</v>
      </c>
      <c r="F49" t="s">
        <v>585</v>
      </c>
      <c r="G49" t="s">
        <v>980</v>
      </c>
      <c r="H49" s="9" t="s">
        <v>1071</v>
      </c>
      <c r="I49">
        <f t="shared" si="0"/>
        <v>46.72</v>
      </c>
      <c r="J49">
        <f t="shared" si="1"/>
        <v>21.191835526400002</v>
      </c>
      <c r="K49">
        <v>3.33</v>
      </c>
      <c r="L49">
        <f t="shared" si="2"/>
        <v>70.568812302912008</v>
      </c>
    </row>
    <row r="50" spans="1:12" x14ac:dyDescent="0.2">
      <c r="A50" s="4">
        <v>43497</v>
      </c>
      <c r="B50" t="s">
        <v>538</v>
      </c>
      <c r="C50">
        <v>1</v>
      </c>
      <c r="D50">
        <v>24</v>
      </c>
      <c r="E50">
        <v>1</v>
      </c>
      <c r="F50" t="s">
        <v>433</v>
      </c>
      <c r="G50" t="s">
        <v>900</v>
      </c>
      <c r="H50" s="9" t="s">
        <v>1071</v>
      </c>
      <c r="I50">
        <f t="shared" si="0"/>
        <v>24</v>
      </c>
      <c r="J50">
        <f t="shared" si="1"/>
        <v>10.886216880000001</v>
      </c>
      <c r="K50">
        <v>0.76</v>
      </c>
      <c r="L50">
        <f t="shared" si="2"/>
        <v>8.2735248288000012</v>
      </c>
    </row>
    <row r="51" spans="1:12" x14ac:dyDescent="0.2">
      <c r="A51" s="4">
        <v>43503</v>
      </c>
      <c r="B51" t="s">
        <v>538</v>
      </c>
      <c r="C51">
        <v>1</v>
      </c>
      <c r="D51">
        <v>24</v>
      </c>
      <c r="E51">
        <v>1</v>
      </c>
      <c r="F51" t="s">
        <v>433</v>
      </c>
      <c r="G51" t="s">
        <v>900</v>
      </c>
      <c r="H51" s="9" t="s">
        <v>1071</v>
      </c>
      <c r="I51">
        <f t="shared" si="0"/>
        <v>24</v>
      </c>
      <c r="J51">
        <f t="shared" si="1"/>
        <v>10.886216880000001</v>
      </c>
      <c r="K51">
        <v>0.76</v>
      </c>
      <c r="L51">
        <f t="shared" si="2"/>
        <v>8.2735248288000012</v>
      </c>
    </row>
    <row r="52" spans="1:12" x14ac:dyDescent="0.2">
      <c r="A52" s="4">
        <v>43503</v>
      </c>
      <c r="B52" t="s">
        <v>538</v>
      </c>
      <c r="C52">
        <v>1</v>
      </c>
      <c r="D52">
        <v>500</v>
      </c>
      <c r="E52" s="6" t="s">
        <v>1088</v>
      </c>
      <c r="F52" s="6" t="s">
        <v>430</v>
      </c>
      <c r="G52" s="6" t="s">
        <v>881</v>
      </c>
      <c r="H52" s="9" t="s">
        <v>1071</v>
      </c>
      <c r="I52">
        <v>0</v>
      </c>
      <c r="J52">
        <f t="shared" si="1"/>
        <v>0</v>
      </c>
      <c r="K52">
        <v>2.5299999999999998</v>
      </c>
      <c r="L52">
        <f t="shared" si="2"/>
        <v>0</v>
      </c>
    </row>
    <row r="53" spans="1:12" x14ac:dyDescent="0.2">
      <c r="A53" s="4">
        <v>43497</v>
      </c>
      <c r="B53" t="s">
        <v>538</v>
      </c>
      <c r="C53">
        <v>1</v>
      </c>
      <c r="D53">
        <v>6</v>
      </c>
      <c r="E53">
        <v>30.0625</v>
      </c>
      <c r="F53" t="s">
        <v>680</v>
      </c>
      <c r="G53" t="s">
        <v>1047</v>
      </c>
      <c r="H53" s="9" t="s">
        <v>1071</v>
      </c>
      <c r="I53">
        <f t="shared" si="0"/>
        <v>180.375</v>
      </c>
      <c r="J53">
        <f t="shared" si="1"/>
        <v>81.816723738750014</v>
      </c>
      <c r="K53">
        <v>2.5299999999999998</v>
      </c>
      <c r="L53">
        <f t="shared" si="2"/>
        <v>206.99631105903751</v>
      </c>
    </row>
    <row r="54" spans="1:12" x14ac:dyDescent="0.2">
      <c r="A54" s="4">
        <v>43497</v>
      </c>
      <c r="B54" t="s">
        <v>538</v>
      </c>
      <c r="C54">
        <v>1</v>
      </c>
      <c r="D54">
        <v>1</v>
      </c>
      <c r="E54">
        <v>10</v>
      </c>
      <c r="F54" t="s">
        <v>454</v>
      </c>
      <c r="G54" t="s">
        <v>1053</v>
      </c>
      <c r="H54" s="9" t="s">
        <v>1071</v>
      </c>
      <c r="I54">
        <f t="shared" si="0"/>
        <v>10</v>
      </c>
      <c r="J54">
        <f t="shared" si="1"/>
        <v>4.5359237000000006</v>
      </c>
      <c r="K54">
        <v>3.8250000000000002</v>
      </c>
      <c r="L54">
        <f t="shared" si="2"/>
        <v>17.349908152500003</v>
      </c>
    </row>
    <row r="55" spans="1:12" x14ac:dyDescent="0.2">
      <c r="A55" s="4">
        <v>43500</v>
      </c>
      <c r="B55" t="s">
        <v>538</v>
      </c>
      <c r="C55">
        <v>1</v>
      </c>
      <c r="D55">
        <v>1</v>
      </c>
      <c r="E55">
        <v>10</v>
      </c>
      <c r="F55" t="s">
        <v>454</v>
      </c>
      <c r="G55" t="s">
        <v>1053</v>
      </c>
      <c r="H55" s="9" t="s">
        <v>1071</v>
      </c>
      <c r="I55">
        <f t="shared" si="0"/>
        <v>10</v>
      </c>
      <c r="J55">
        <f t="shared" si="1"/>
        <v>4.5359237000000006</v>
      </c>
      <c r="K55">
        <v>3.8250000000000002</v>
      </c>
      <c r="L55">
        <f t="shared" si="2"/>
        <v>17.349908152500003</v>
      </c>
    </row>
    <row r="56" spans="1:12" x14ac:dyDescent="0.2">
      <c r="A56" s="4">
        <v>43497</v>
      </c>
      <c r="B56" t="s">
        <v>538</v>
      </c>
      <c r="C56">
        <v>1</v>
      </c>
      <c r="D56">
        <v>4</v>
      </c>
      <c r="E56">
        <v>8.4700000000000006</v>
      </c>
      <c r="F56" t="s">
        <v>738</v>
      </c>
      <c r="G56" s="6" t="s">
        <v>998</v>
      </c>
      <c r="H56" s="9" t="s">
        <v>1071</v>
      </c>
      <c r="I56">
        <f t="shared" si="0"/>
        <v>33.880000000000003</v>
      </c>
      <c r="J56">
        <f t="shared" si="1"/>
        <v>15.367709495600002</v>
      </c>
      <c r="K56">
        <v>3.33</v>
      </c>
      <c r="L56">
        <f t="shared" si="2"/>
        <v>51.174472620348006</v>
      </c>
    </row>
    <row r="57" spans="1:12" x14ac:dyDescent="0.2">
      <c r="A57" s="4">
        <v>43497</v>
      </c>
      <c r="B57" t="s">
        <v>538</v>
      </c>
      <c r="C57">
        <v>1</v>
      </c>
      <c r="D57">
        <v>6</v>
      </c>
      <c r="E57">
        <v>0.125</v>
      </c>
      <c r="F57" t="s">
        <v>664</v>
      </c>
      <c r="G57" s="14" t="s">
        <v>931</v>
      </c>
      <c r="H57" s="9" t="s">
        <v>1071</v>
      </c>
      <c r="I57">
        <f t="shared" si="0"/>
        <v>0.75</v>
      </c>
      <c r="J57">
        <f t="shared" si="1"/>
        <v>0.34019427750000003</v>
      </c>
      <c r="L57">
        <f t="shared" si="2"/>
        <v>0</v>
      </c>
    </row>
    <row r="58" spans="1:12" x14ac:dyDescent="0.2">
      <c r="A58" s="4">
        <v>43497</v>
      </c>
      <c r="B58" t="s">
        <v>538</v>
      </c>
      <c r="C58">
        <v>4</v>
      </c>
      <c r="D58">
        <v>1</v>
      </c>
      <c r="E58">
        <v>50</v>
      </c>
      <c r="F58" t="s">
        <v>431</v>
      </c>
      <c r="G58" t="s">
        <v>863</v>
      </c>
      <c r="H58" s="9" t="s">
        <v>1071</v>
      </c>
      <c r="I58">
        <f t="shared" si="0"/>
        <v>200</v>
      </c>
      <c r="J58">
        <f t="shared" si="1"/>
        <v>90.718474000000001</v>
      </c>
      <c r="K58">
        <v>0.35799999999999998</v>
      </c>
      <c r="L58">
        <f t="shared" si="2"/>
        <v>32.477213691999999</v>
      </c>
    </row>
    <row r="59" spans="1:12" x14ac:dyDescent="0.2">
      <c r="A59" s="4">
        <v>43500</v>
      </c>
      <c r="B59" t="s">
        <v>538</v>
      </c>
      <c r="C59">
        <v>3</v>
      </c>
      <c r="D59">
        <v>1</v>
      </c>
      <c r="E59">
        <v>50</v>
      </c>
      <c r="F59" t="s">
        <v>431</v>
      </c>
      <c r="G59" t="s">
        <v>863</v>
      </c>
      <c r="H59" s="9" t="s">
        <v>1071</v>
      </c>
      <c r="I59">
        <f t="shared" si="0"/>
        <v>150</v>
      </c>
      <c r="J59">
        <f t="shared" si="1"/>
        <v>68.038855500000011</v>
      </c>
      <c r="K59">
        <v>0.35799999999999998</v>
      </c>
      <c r="L59">
        <f t="shared" si="2"/>
        <v>24.357910269000001</v>
      </c>
    </row>
    <row r="60" spans="1:12" x14ac:dyDescent="0.2">
      <c r="A60" s="4">
        <v>43503</v>
      </c>
      <c r="B60" t="s">
        <v>538</v>
      </c>
      <c r="C60">
        <v>2</v>
      </c>
      <c r="D60">
        <v>1</v>
      </c>
      <c r="E60">
        <v>50</v>
      </c>
      <c r="F60" t="s">
        <v>431</v>
      </c>
      <c r="G60" t="s">
        <v>863</v>
      </c>
      <c r="H60" s="9" t="s">
        <v>1071</v>
      </c>
      <c r="I60">
        <f t="shared" si="0"/>
        <v>100</v>
      </c>
      <c r="J60">
        <f t="shared" si="1"/>
        <v>45.359237</v>
      </c>
      <c r="K60">
        <v>0.35799999999999998</v>
      </c>
      <c r="L60">
        <f t="shared" si="2"/>
        <v>16.238606846</v>
      </c>
    </row>
    <row r="61" spans="1:12" x14ac:dyDescent="0.2">
      <c r="A61" s="4">
        <v>43497</v>
      </c>
      <c r="B61" t="s">
        <v>538</v>
      </c>
      <c r="C61">
        <v>1</v>
      </c>
      <c r="D61">
        <v>6</v>
      </c>
      <c r="E61">
        <v>5</v>
      </c>
      <c r="F61" t="s">
        <v>571</v>
      </c>
      <c r="G61" t="s">
        <v>878</v>
      </c>
      <c r="H61" s="9" t="s">
        <v>1071</v>
      </c>
      <c r="I61">
        <f t="shared" si="0"/>
        <v>30</v>
      </c>
      <c r="J61">
        <f t="shared" si="1"/>
        <v>13.607771100000001</v>
      </c>
      <c r="K61">
        <v>2.44</v>
      </c>
      <c r="L61">
        <f t="shared" si="2"/>
        <v>33.202961483999999</v>
      </c>
    </row>
    <row r="62" spans="1:12" x14ac:dyDescent="0.2">
      <c r="A62" s="4">
        <v>43500</v>
      </c>
      <c r="B62" t="s">
        <v>538</v>
      </c>
      <c r="C62">
        <v>1</v>
      </c>
      <c r="D62">
        <v>6</v>
      </c>
      <c r="E62">
        <v>5</v>
      </c>
      <c r="F62" t="s">
        <v>571</v>
      </c>
      <c r="G62" t="s">
        <v>878</v>
      </c>
      <c r="H62" s="9" t="s">
        <v>1071</v>
      </c>
      <c r="I62">
        <f t="shared" si="0"/>
        <v>30</v>
      </c>
      <c r="J62">
        <f t="shared" si="1"/>
        <v>13.607771100000001</v>
      </c>
      <c r="K62">
        <v>2.44</v>
      </c>
      <c r="L62">
        <f t="shared" si="2"/>
        <v>33.202961483999999</v>
      </c>
    </row>
    <row r="63" spans="1:12" x14ac:dyDescent="0.2">
      <c r="A63" s="4">
        <v>43497</v>
      </c>
      <c r="B63" t="s">
        <v>538</v>
      </c>
      <c r="C63">
        <v>1</v>
      </c>
      <c r="D63">
        <v>6</v>
      </c>
      <c r="E63">
        <v>4</v>
      </c>
      <c r="F63" t="s">
        <v>438</v>
      </c>
      <c r="G63" t="s">
        <v>1049</v>
      </c>
      <c r="H63" s="9" t="s">
        <v>1071</v>
      </c>
      <c r="I63">
        <f t="shared" si="0"/>
        <v>24</v>
      </c>
      <c r="J63">
        <f t="shared" si="1"/>
        <v>10.886216880000001</v>
      </c>
      <c r="K63">
        <v>3.25</v>
      </c>
      <c r="L63">
        <f t="shared" si="2"/>
        <v>35.380204860000006</v>
      </c>
    </row>
    <row r="64" spans="1:12" x14ac:dyDescent="0.2">
      <c r="A64" s="4">
        <v>43503</v>
      </c>
      <c r="B64" t="s">
        <v>538</v>
      </c>
      <c r="C64">
        <v>1</v>
      </c>
      <c r="D64">
        <v>6</v>
      </c>
      <c r="E64">
        <v>4</v>
      </c>
      <c r="F64" t="s">
        <v>438</v>
      </c>
      <c r="G64" t="s">
        <v>1049</v>
      </c>
      <c r="H64" s="9" t="s">
        <v>1071</v>
      </c>
      <c r="I64">
        <f t="shared" si="0"/>
        <v>24</v>
      </c>
      <c r="J64">
        <f t="shared" si="1"/>
        <v>10.886216880000001</v>
      </c>
      <c r="K64">
        <v>3.25</v>
      </c>
      <c r="L64">
        <f t="shared" si="2"/>
        <v>35.380204860000006</v>
      </c>
    </row>
    <row r="65" spans="1:12" x14ac:dyDescent="0.2">
      <c r="A65" s="4">
        <v>43497</v>
      </c>
      <c r="B65" t="s">
        <v>538</v>
      </c>
      <c r="C65">
        <v>1</v>
      </c>
      <c r="D65">
        <v>1</v>
      </c>
      <c r="E65">
        <v>20</v>
      </c>
      <c r="F65" t="s">
        <v>656</v>
      </c>
      <c r="G65" t="s">
        <v>973</v>
      </c>
      <c r="H65" s="9" t="s">
        <v>1071</v>
      </c>
      <c r="I65">
        <f t="shared" si="0"/>
        <v>20</v>
      </c>
      <c r="J65">
        <f t="shared" si="1"/>
        <v>9.0718474000000011</v>
      </c>
      <c r="K65">
        <v>1.88</v>
      </c>
      <c r="L65">
        <f t="shared" si="2"/>
        <v>17.055073112000002</v>
      </c>
    </row>
    <row r="66" spans="1:12" x14ac:dyDescent="0.2">
      <c r="A66" s="4">
        <v>43497</v>
      </c>
      <c r="B66" t="s">
        <v>538</v>
      </c>
      <c r="C66">
        <v>1</v>
      </c>
      <c r="D66">
        <v>4</v>
      </c>
      <c r="E66">
        <v>11.89</v>
      </c>
      <c r="F66" t="s">
        <v>547</v>
      </c>
      <c r="G66" t="s">
        <v>1048</v>
      </c>
      <c r="H66" s="9" t="s">
        <v>1071</v>
      </c>
      <c r="I66">
        <f t="shared" si="0"/>
        <v>47.56</v>
      </c>
      <c r="J66">
        <f t="shared" si="1"/>
        <v>21.572853117200001</v>
      </c>
      <c r="K66">
        <v>0.48799999999999999</v>
      </c>
      <c r="L66">
        <f t="shared" si="2"/>
        <v>10.5275523211936</v>
      </c>
    </row>
    <row r="67" spans="1:12" x14ac:dyDescent="0.2">
      <c r="A67" s="4">
        <v>43500</v>
      </c>
      <c r="B67" t="s">
        <v>538</v>
      </c>
      <c r="C67">
        <v>1</v>
      </c>
      <c r="D67">
        <v>4</v>
      </c>
      <c r="E67">
        <v>11.89</v>
      </c>
      <c r="F67" t="s">
        <v>547</v>
      </c>
      <c r="G67" t="s">
        <v>1048</v>
      </c>
      <c r="H67" s="9" t="s">
        <v>1071</v>
      </c>
      <c r="I67">
        <f t="shared" ref="I67:I130" si="3">C67*D67*E67</f>
        <v>47.56</v>
      </c>
      <c r="J67">
        <f t="shared" ref="J67:J130" si="4">CONVERT(I67,"lbm","kg")</f>
        <v>21.572853117200001</v>
      </c>
      <c r="K67">
        <v>0.48799999999999999</v>
      </c>
      <c r="L67">
        <f t="shared" ref="L67:L130" si="5">J67*K67</f>
        <v>10.5275523211936</v>
      </c>
    </row>
    <row r="68" spans="1:12" x14ac:dyDescent="0.2">
      <c r="A68" s="4">
        <v>43497</v>
      </c>
      <c r="B68" t="s">
        <v>538</v>
      </c>
      <c r="C68">
        <v>3</v>
      </c>
      <c r="D68">
        <v>4</v>
      </c>
      <c r="E68">
        <v>5</v>
      </c>
      <c r="F68" t="s">
        <v>586</v>
      </c>
      <c r="G68" s="6" t="s">
        <v>876</v>
      </c>
      <c r="H68" s="9" t="s">
        <v>1071</v>
      </c>
      <c r="I68">
        <f t="shared" si="3"/>
        <v>60</v>
      </c>
      <c r="J68">
        <f t="shared" si="4"/>
        <v>27.215542200000002</v>
      </c>
      <c r="K68">
        <v>5.99</v>
      </c>
      <c r="L68">
        <f t="shared" si="5"/>
        <v>163.02109777800001</v>
      </c>
    </row>
    <row r="69" spans="1:12" x14ac:dyDescent="0.2">
      <c r="A69" s="4">
        <v>43497</v>
      </c>
      <c r="B69" t="s">
        <v>538</v>
      </c>
      <c r="C69">
        <v>1</v>
      </c>
      <c r="D69">
        <v>6</v>
      </c>
      <c r="E69">
        <v>10</v>
      </c>
      <c r="F69" t="s">
        <v>445</v>
      </c>
      <c r="G69" t="s">
        <v>883</v>
      </c>
      <c r="H69" s="9" t="s">
        <v>1071</v>
      </c>
      <c r="I69">
        <f t="shared" si="3"/>
        <v>60</v>
      </c>
      <c r="J69">
        <f t="shared" si="4"/>
        <v>27.215542200000002</v>
      </c>
      <c r="K69">
        <v>0.48199999999999998</v>
      </c>
      <c r="L69">
        <f t="shared" si="5"/>
        <v>13.1178913404</v>
      </c>
    </row>
    <row r="70" spans="1:12" x14ac:dyDescent="0.2">
      <c r="A70" s="4">
        <v>43497</v>
      </c>
      <c r="B70" t="s">
        <v>538</v>
      </c>
      <c r="C70">
        <v>1</v>
      </c>
      <c r="D70">
        <v>6</v>
      </c>
      <c r="E70">
        <v>7.9</v>
      </c>
      <c r="F70" t="s">
        <v>736</v>
      </c>
      <c r="G70" t="s">
        <v>1046</v>
      </c>
      <c r="H70" s="9" t="s">
        <v>1071</v>
      </c>
      <c r="I70">
        <f t="shared" si="3"/>
        <v>47.400000000000006</v>
      </c>
      <c r="J70">
        <f t="shared" si="4"/>
        <v>21.500278338000005</v>
      </c>
      <c r="K70">
        <v>3.206</v>
      </c>
      <c r="L70">
        <f t="shared" si="5"/>
        <v>68.929892351628013</v>
      </c>
    </row>
    <row r="71" spans="1:12" x14ac:dyDescent="0.2">
      <c r="A71" s="4">
        <v>43503</v>
      </c>
      <c r="B71" t="s">
        <v>538</v>
      </c>
      <c r="C71">
        <v>1</v>
      </c>
      <c r="D71">
        <v>6</v>
      </c>
      <c r="E71">
        <v>10</v>
      </c>
      <c r="F71" t="s">
        <v>445</v>
      </c>
      <c r="G71" t="s">
        <v>1060</v>
      </c>
      <c r="H71" s="9" t="s">
        <v>1071</v>
      </c>
      <c r="I71">
        <f t="shared" si="3"/>
        <v>60</v>
      </c>
      <c r="J71">
        <f t="shared" si="4"/>
        <v>27.215542200000002</v>
      </c>
      <c r="K71">
        <v>0.48199999999999998</v>
      </c>
      <c r="L71">
        <f t="shared" si="5"/>
        <v>13.1178913404</v>
      </c>
    </row>
    <row r="72" spans="1:12" x14ac:dyDescent="0.2">
      <c r="A72" s="4">
        <v>43500</v>
      </c>
      <c r="B72" t="s">
        <v>538</v>
      </c>
      <c r="C72">
        <v>4</v>
      </c>
      <c r="D72">
        <v>6</v>
      </c>
      <c r="E72">
        <v>5</v>
      </c>
      <c r="F72" t="s">
        <v>439</v>
      </c>
      <c r="G72" s="14" t="s">
        <v>976</v>
      </c>
      <c r="H72" s="9" t="s">
        <v>1071</v>
      </c>
      <c r="I72">
        <f t="shared" si="3"/>
        <v>120</v>
      </c>
      <c r="J72">
        <f t="shared" si="4"/>
        <v>54.431084400000003</v>
      </c>
      <c r="L72">
        <f t="shared" si="5"/>
        <v>0</v>
      </c>
    </row>
    <row r="73" spans="1:12" x14ac:dyDescent="0.2">
      <c r="A73" s="4">
        <v>43497</v>
      </c>
      <c r="B73" t="s">
        <v>538</v>
      </c>
      <c r="C73">
        <v>1</v>
      </c>
      <c r="D73">
        <v>2</v>
      </c>
      <c r="E73">
        <v>5</v>
      </c>
      <c r="F73" t="s">
        <v>739</v>
      </c>
      <c r="G73" s="6" t="s">
        <v>875</v>
      </c>
      <c r="H73" s="9" t="s">
        <v>1071</v>
      </c>
      <c r="I73">
        <f t="shared" si="3"/>
        <v>10</v>
      </c>
      <c r="J73">
        <f t="shared" si="4"/>
        <v>4.5359237000000006</v>
      </c>
      <c r="K73">
        <v>5.99</v>
      </c>
      <c r="L73">
        <f t="shared" si="5"/>
        <v>27.170182963000006</v>
      </c>
    </row>
    <row r="74" spans="1:12" x14ac:dyDescent="0.2">
      <c r="A74" s="4">
        <v>43497</v>
      </c>
      <c r="B74" t="s">
        <v>538</v>
      </c>
      <c r="C74">
        <v>4</v>
      </c>
      <c r="D74">
        <v>2</v>
      </c>
      <c r="E74">
        <v>10</v>
      </c>
      <c r="F74" t="s">
        <v>458</v>
      </c>
      <c r="G74" t="s">
        <v>875</v>
      </c>
      <c r="H74" s="9" t="s">
        <v>1071</v>
      </c>
      <c r="I74">
        <f t="shared" si="3"/>
        <v>80</v>
      </c>
      <c r="J74">
        <f t="shared" si="4"/>
        <v>36.287389600000004</v>
      </c>
      <c r="K74">
        <v>5.99</v>
      </c>
      <c r="L74">
        <f t="shared" si="5"/>
        <v>217.36146370400004</v>
      </c>
    </row>
    <row r="75" spans="1:12" x14ac:dyDescent="0.2">
      <c r="A75" s="4">
        <v>43497</v>
      </c>
      <c r="B75" t="s">
        <v>538</v>
      </c>
      <c r="C75">
        <v>4</v>
      </c>
      <c r="D75">
        <v>2</v>
      </c>
      <c r="E75">
        <v>10</v>
      </c>
      <c r="F75" t="s">
        <v>461</v>
      </c>
      <c r="G75" t="s">
        <v>875</v>
      </c>
      <c r="H75" s="9" t="s">
        <v>1071</v>
      </c>
      <c r="I75">
        <f t="shared" si="3"/>
        <v>80</v>
      </c>
      <c r="J75">
        <f t="shared" si="4"/>
        <v>36.287389600000004</v>
      </c>
      <c r="K75">
        <v>5.99</v>
      </c>
      <c r="L75">
        <f t="shared" si="5"/>
        <v>217.36146370400004</v>
      </c>
    </row>
    <row r="76" spans="1:12" x14ac:dyDescent="0.2">
      <c r="A76" s="4">
        <v>43497</v>
      </c>
      <c r="B76" t="s">
        <v>538</v>
      </c>
      <c r="C76">
        <v>4</v>
      </c>
      <c r="D76">
        <v>2</v>
      </c>
      <c r="E76">
        <v>10</v>
      </c>
      <c r="F76" t="s">
        <v>462</v>
      </c>
      <c r="G76" t="s">
        <v>875</v>
      </c>
      <c r="H76" s="9" t="s">
        <v>1071</v>
      </c>
      <c r="I76">
        <f t="shared" si="3"/>
        <v>80</v>
      </c>
      <c r="J76">
        <f t="shared" si="4"/>
        <v>36.287389600000004</v>
      </c>
      <c r="K76">
        <v>5.99</v>
      </c>
      <c r="L76">
        <f t="shared" si="5"/>
        <v>217.36146370400004</v>
      </c>
    </row>
    <row r="77" spans="1:12" x14ac:dyDescent="0.2">
      <c r="A77" s="4">
        <v>43497</v>
      </c>
      <c r="B77" t="s">
        <v>538</v>
      </c>
      <c r="C77">
        <v>2</v>
      </c>
      <c r="D77">
        <v>2</v>
      </c>
      <c r="E77">
        <v>10</v>
      </c>
      <c r="F77" t="s">
        <v>566</v>
      </c>
      <c r="G77" t="s">
        <v>875</v>
      </c>
      <c r="H77" s="9" t="s">
        <v>1071</v>
      </c>
      <c r="I77">
        <f t="shared" si="3"/>
        <v>40</v>
      </c>
      <c r="J77">
        <f t="shared" si="4"/>
        <v>18.143694800000002</v>
      </c>
      <c r="K77">
        <v>5.99</v>
      </c>
      <c r="L77">
        <f t="shared" si="5"/>
        <v>108.68073185200002</v>
      </c>
    </row>
    <row r="78" spans="1:12" x14ac:dyDescent="0.2">
      <c r="A78" s="4">
        <v>43500</v>
      </c>
      <c r="B78" t="s">
        <v>538</v>
      </c>
      <c r="C78">
        <v>4</v>
      </c>
      <c r="D78">
        <v>8</v>
      </c>
      <c r="E78">
        <v>10.125</v>
      </c>
      <c r="F78" t="s">
        <v>670</v>
      </c>
      <c r="G78" s="6" t="s">
        <v>875</v>
      </c>
      <c r="H78" s="9" t="s">
        <v>1071</v>
      </c>
      <c r="I78">
        <f t="shared" si="3"/>
        <v>324</v>
      </c>
      <c r="J78">
        <f t="shared" si="4"/>
        <v>146.96392788</v>
      </c>
      <c r="K78">
        <v>5.99</v>
      </c>
      <c r="L78">
        <f t="shared" si="5"/>
        <v>880.3139280012</v>
      </c>
    </row>
    <row r="79" spans="1:12" x14ac:dyDescent="0.2">
      <c r="A79" s="4">
        <v>43500</v>
      </c>
      <c r="B79" t="s">
        <v>538</v>
      </c>
      <c r="C79">
        <v>4</v>
      </c>
      <c r="D79">
        <v>2</v>
      </c>
      <c r="E79">
        <v>10</v>
      </c>
      <c r="F79" t="s">
        <v>462</v>
      </c>
      <c r="G79" s="6" t="s">
        <v>875</v>
      </c>
      <c r="H79" s="9" t="s">
        <v>1071</v>
      </c>
      <c r="I79">
        <f t="shared" si="3"/>
        <v>80</v>
      </c>
      <c r="J79">
        <f t="shared" si="4"/>
        <v>36.287389600000004</v>
      </c>
      <c r="K79">
        <v>5.99</v>
      </c>
      <c r="L79">
        <f t="shared" si="5"/>
        <v>217.36146370400004</v>
      </c>
    </row>
    <row r="80" spans="1:12" x14ac:dyDescent="0.2">
      <c r="A80" s="4">
        <v>43500</v>
      </c>
      <c r="B80" t="s">
        <v>538</v>
      </c>
      <c r="C80">
        <v>3</v>
      </c>
      <c r="D80">
        <v>2</v>
      </c>
      <c r="E80">
        <v>10</v>
      </c>
      <c r="F80" t="s">
        <v>566</v>
      </c>
      <c r="G80" s="6" t="s">
        <v>875</v>
      </c>
      <c r="H80" s="9" t="s">
        <v>1071</v>
      </c>
      <c r="I80">
        <f t="shared" si="3"/>
        <v>60</v>
      </c>
      <c r="J80">
        <f t="shared" si="4"/>
        <v>27.215542200000002</v>
      </c>
      <c r="K80">
        <v>5.99</v>
      </c>
      <c r="L80">
        <f t="shared" si="5"/>
        <v>163.02109777800001</v>
      </c>
    </row>
    <row r="81" spans="1:12" x14ac:dyDescent="0.2">
      <c r="A81" s="4">
        <v>43503</v>
      </c>
      <c r="B81" t="s">
        <v>538</v>
      </c>
      <c r="C81">
        <v>3</v>
      </c>
      <c r="D81">
        <v>2</v>
      </c>
      <c r="E81">
        <v>10</v>
      </c>
      <c r="F81" t="s">
        <v>458</v>
      </c>
      <c r="G81" s="6" t="s">
        <v>875</v>
      </c>
      <c r="H81" s="9" t="s">
        <v>1071</v>
      </c>
      <c r="I81">
        <f t="shared" si="3"/>
        <v>60</v>
      </c>
      <c r="J81">
        <f t="shared" si="4"/>
        <v>27.215542200000002</v>
      </c>
      <c r="K81">
        <v>5.99</v>
      </c>
      <c r="L81">
        <f t="shared" si="5"/>
        <v>163.02109777800001</v>
      </c>
    </row>
    <row r="82" spans="1:12" x14ac:dyDescent="0.2">
      <c r="A82" s="4">
        <v>43500</v>
      </c>
      <c r="B82" t="s">
        <v>538</v>
      </c>
      <c r="C82">
        <v>1</v>
      </c>
      <c r="D82">
        <v>4</v>
      </c>
      <c r="E82">
        <v>8.4700000000000006</v>
      </c>
      <c r="F82" t="s">
        <v>541</v>
      </c>
      <c r="G82" t="s">
        <v>937</v>
      </c>
      <c r="H82" s="9" t="s">
        <v>1071</v>
      </c>
      <c r="I82">
        <f t="shared" si="3"/>
        <v>33.880000000000003</v>
      </c>
      <c r="J82">
        <f t="shared" si="4"/>
        <v>15.367709495600002</v>
      </c>
      <c r="K82">
        <v>0.79900000000000004</v>
      </c>
      <c r="L82">
        <f t="shared" si="5"/>
        <v>12.278799886984402</v>
      </c>
    </row>
    <row r="83" spans="1:12" x14ac:dyDescent="0.2">
      <c r="A83" s="4">
        <v>43497</v>
      </c>
      <c r="B83" t="s">
        <v>538</v>
      </c>
      <c r="C83">
        <v>2</v>
      </c>
      <c r="D83">
        <v>1</v>
      </c>
      <c r="E83">
        <v>25</v>
      </c>
      <c r="F83" t="s">
        <v>424</v>
      </c>
      <c r="G83" t="s">
        <v>859</v>
      </c>
      <c r="H83" s="9" t="s">
        <v>1071</v>
      </c>
      <c r="I83">
        <f t="shared" si="3"/>
        <v>50</v>
      </c>
      <c r="J83">
        <f t="shared" si="4"/>
        <v>22.6796185</v>
      </c>
      <c r="K83">
        <v>1.5409999999999999</v>
      </c>
      <c r="L83">
        <f t="shared" si="5"/>
        <v>34.949292108499996</v>
      </c>
    </row>
    <row r="84" spans="1:12" x14ac:dyDescent="0.2">
      <c r="A84" s="4">
        <v>43497</v>
      </c>
      <c r="B84" t="s">
        <v>538</v>
      </c>
      <c r="C84">
        <v>3</v>
      </c>
      <c r="D84">
        <v>2</v>
      </c>
      <c r="E84">
        <v>5</v>
      </c>
      <c r="F84" t="s">
        <v>429</v>
      </c>
      <c r="G84" t="s">
        <v>859</v>
      </c>
      <c r="H84" s="9" t="s">
        <v>1071</v>
      </c>
      <c r="I84">
        <f t="shared" si="3"/>
        <v>30</v>
      </c>
      <c r="J84">
        <f t="shared" si="4"/>
        <v>13.607771100000001</v>
      </c>
      <c r="K84">
        <v>1.5409999999999999</v>
      </c>
      <c r="L84">
        <f t="shared" si="5"/>
        <v>20.969575265100001</v>
      </c>
    </row>
    <row r="85" spans="1:12" x14ac:dyDescent="0.2">
      <c r="A85" s="4">
        <v>43497</v>
      </c>
      <c r="B85" t="s">
        <v>538</v>
      </c>
      <c r="C85">
        <v>3</v>
      </c>
      <c r="D85">
        <v>2</v>
      </c>
      <c r="E85">
        <v>5</v>
      </c>
      <c r="F85" t="s">
        <v>564</v>
      </c>
      <c r="G85" t="s">
        <v>859</v>
      </c>
      <c r="H85" s="9" t="s">
        <v>1071</v>
      </c>
      <c r="I85">
        <f t="shared" si="3"/>
        <v>30</v>
      </c>
      <c r="J85">
        <f t="shared" si="4"/>
        <v>13.607771100000001</v>
      </c>
      <c r="K85">
        <v>1.5409999999999999</v>
      </c>
      <c r="L85">
        <f t="shared" si="5"/>
        <v>20.969575265100001</v>
      </c>
    </row>
    <row r="86" spans="1:12" x14ac:dyDescent="0.2">
      <c r="A86" s="4">
        <v>43497</v>
      </c>
      <c r="B86" t="s">
        <v>538</v>
      </c>
      <c r="C86">
        <v>1</v>
      </c>
      <c r="D86">
        <v>1</v>
      </c>
      <c r="E86">
        <v>50</v>
      </c>
      <c r="F86" t="s">
        <v>459</v>
      </c>
      <c r="G86" t="s">
        <v>859</v>
      </c>
      <c r="H86" s="9" t="s">
        <v>1071</v>
      </c>
      <c r="I86">
        <f t="shared" si="3"/>
        <v>50</v>
      </c>
      <c r="J86">
        <f t="shared" si="4"/>
        <v>22.6796185</v>
      </c>
      <c r="K86">
        <v>1.5409999999999999</v>
      </c>
      <c r="L86">
        <f t="shared" si="5"/>
        <v>34.949292108499996</v>
      </c>
    </row>
    <row r="87" spans="1:12" x14ac:dyDescent="0.2">
      <c r="A87" s="4">
        <v>43500</v>
      </c>
      <c r="B87" t="s">
        <v>538</v>
      </c>
      <c r="C87">
        <v>4</v>
      </c>
      <c r="D87">
        <v>1</v>
      </c>
      <c r="E87">
        <v>25</v>
      </c>
      <c r="F87" t="s">
        <v>424</v>
      </c>
      <c r="G87" t="s">
        <v>859</v>
      </c>
      <c r="H87" s="9" t="s">
        <v>1071</v>
      </c>
      <c r="I87">
        <f t="shared" si="3"/>
        <v>100</v>
      </c>
      <c r="J87">
        <f t="shared" si="4"/>
        <v>45.359237</v>
      </c>
      <c r="K87">
        <v>1.5409999999999999</v>
      </c>
      <c r="L87">
        <f t="shared" si="5"/>
        <v>69.898584216999993</v>
      </c>
    </row>
    <row r="88" spans="1:12" x14ac:dyDescent="0.2">
      <c r="A88" s="4">
        <v>43500</v>
      </c>
      <c r="B88" t="s">
        <v>538</v>
      </c>
      <c r="C88">
        <v>2</v>
      </c>
      <c r="D88">
        <v>2</v>
      </c>
      <c r="E88">
        <v>5</v>
      </c>
      <c r="F88" t="s">
        <v>429</v>
      </c>
      <c r="G88" t="s">
        <v>859</v>
      </c>
      <c r="H88" s="9" t="s">
        <v>1071</v>
      </c>
      <c r="I88">
        <f t="shared" si="3"/>
        <v>20</v>
      </c>
      <c r="J88">
        <f t="shared" si="4"/>
        <v>9.0718474000000011</v>
      </c>
      <c r="K88">
        <v>1.5409999999999999</v>
      </c>
      <c r="L88">
        <f t="shared" si="5"/>
        <v>13.9797168434</v>
      </c>
    </row>
    <row r="89" spans="1:12" x14ac:dyDescent="0.2">
      <c r="A89" s="4">
        <v>43500</v>
      </c>
      <c r="B89" t="s">
        <v>538</v>
      </c>
      <c r="C89">
        <v>2</v>
      </c>
      <c r="D89">
        <v>2</v>
      </c>
      <c r="E89">
        <v>5</v>
      </c>
      <c r="F89" t="s">
        <v>564</v>
      </c>
      <c r="G89" t="s">
        <v>859</v>
      </c>
      <c r="H89" s="9" t="s">
        <v>1071</v>
      </c>
      <c r="I89">
        <f t="shared" si="3"/>
        <v>20</v>
      </c>
      <c r="J89">
        <f t="shared" si="4"/>
        <v>9.0718474000000011</v>
      </c>
      <c r="K89">
        <v>1.5409999999999999</v>
      </c>
      <c r="L89">
        <f t="shared" si="5"/>
        <v>13.9797168434</v>
      </c>
    </row>
    <row r="90" spans="1:12" x14ac:dyDescent="0.2">
      <c r="A90" s="4">
        <v>43500</v>
      </c>
      <c r="B90" t="s">
        <v>538</v>
      </c>
      <c r="C90">
        <v>2</v>
      </c>
      <c r="D90">
        <v>1</v>
      </c>
      <c r="E90">
        <v>50</v>
      </c>
      <c r="F90" t="s">
        <v>459</v>
      </c>
      <c r="G90" t="s">
        <v>859</v>
      </c>
      <c r="H90" s="9" t="s">
        <v>1071</v>
      </c>
      <c r="I90">
        <f t="shared" si="3"/>
        <v>100</v>
      </c>
      <c r="J90">
        <f t="shared" si="4"/>
        <v>45.359237</v>
      </c>
      <c r="K90">
        <v>1.5409999999999999</v>
      </c>
      <c r="L90">
        <f t="shared" si="5"/>
        <v>69.898584216999993</v>
      </c>
    </row>
    <row r="91" spans="1:12" x14ac:dyDescent="0.2">
      <c r="A91" s="4">
        <v>43503</v>
      </c>
      <c r="B91" t="s">
        <v>538</v>
      </c>
      <c r="C91">
        <v>2</v>
      </c>
      <c r="D91">
        <v>1</v>
      </c>
      <c r="E91">
        <v>25</v>
      </c>
      <c r="F91" t="s">
        <v>452</v>
      </c>
      <c r="G91" t="s">
        <v>859</v>
      </c>
      <c r="H91" s="9" t="s">
        <v>1071</v>
      </c>
      <c r="I91">
        <f t="shared" si="3"/>
        <v>50</v>
      </c>
      <c r="J91">
        <f t="shared" si="4"/>
        <v>22.6796185</v>
      </c>
      <c r="K91">
        <v>1.5409999999999999</v>
      </c>
      <c r="L91">
        <f t="shared" si="5"/>
        <v>34.949292108499996</v>
      </c>
    </row>
    <row r="92" spans="1:12" x14ac:dyDescent="0.2">
      <c r="A92" s="4">
        <v>43500</v>
      </c>
      <c r="B92" t="s">
        <v>538</v>
      </c>
      <c r="C92">
        <v>2</v>
      </c>
      <c r="D92">
        <v>4</v>
      </c>
      <c r="E92">
        <v>11.68</v>
      </c>
      <c r="F92" t="s">
        <v>585</v>
      </c>
      <c r="G92" t="s">
        <v>980</v>
      </c>
      <c r="H92" s="9" t="s">
        <v>1071</v>
      </c>
      <c r="I92">
        <f t="shared" si="3"/>
        <v>93.44</v>
      </c>
      <c r="J92">
        <f t="shared" si="4"/>
        <v>42.383671052800004</v>
      </c>
      <c r="K92">
        <v>3.33</v>
      </c>
      <c r="L92">
        <f t="shared" si="5"/>
        <v>141.13762460582402</v>
      </c>
    </row>
    <row r="93" spans="1:12" x14ac:dyDescent="0.2">
      <c r="A93" s="4">
        <v>43497</v>
      </c>
      <c r="B93" t="s">
        <v>538</v>
      </c>
      <c r="C93">
        <v>2</v>
      </c>
      <c r="D93">
        <v>6</v>
      </c>
      <c r="E93">
        <v>10.5</v>
      </c>
      <c r="F93" t="s">
        <v>597</v>
      </c>
      <c r="G93" t="s">
        <v>869</v>
      </c>
      <c r="H93" s="9" t="s">
        <v>1071</v>
      </c>
      <c r="I93">
        <f t="shared" si="3"/>
        <v>126</v>
      </c>
      <c r="J93">
        <f t="shared" si="4"/>
        <v>57.152638620000005</v>
      </c>
      <c r="K93">
        <v>0.87</v>
      </c>
      <c r="L93">
        <f t="shared" si="5"/>
        <v>49.722795599400001</v>
      </c>
    </row>
    <row r="94" spans="1:12" x14ac:dyDescent="0.2">
      <c r="A94" s="4">
        <v>43497</v>
      </c>
      <c r="B94" t="s">
        <v>538</v>
      </c>
      <c r="C94">
        <v>1</v>
      </c>
      <c r="D94">
        <v>3</v>
      </c>
      <c r="E94">
        <v>4.75</v>
      </c>
      <c r="F94" t="s">
        <v>740</v>
      </c>
      <c r="G94" t="s">
        <v>869</v>
      </c>
      <c r="H94" s="9" t="s">
        <v>1071</v>
      </c>
      <c r="I94">
        <f t="shared" si="3"/>
        <v>14.25</v>
      </c>
      <c r="J94">
        <f t="shared" si="4"/>
        <v>6.4636912725000002</v>
      </c>
      <c r="K94">
        <v>0.87</v>
      </c>
      <c r="L94">
        <f t="shared" si="5"/>
        <v>5.6234114070750003</v>
      </c>
    </row>
    <row r="95" spans="1:12" x14ac:dyDescent="0.2">
      <c r="A95" s="4">
        <v>43497</v>
      </c>
      <c r="B95" t="s">
        <v>538</v>
      </c>
      <c r="C95">
        <v>3</v>
      </c>
      <c r="D95">
        <v>6</v>
      </c>
      <c r="E95">
        <v>0.875</v>
      </c>
      <c r="F95" t="s">
        <v>741</v>
      </c>
      <c r="G95" t="s">
        <v>869</v>
      </c>
      <c r="H95" s="9" t="s">
        <v>1071</v>
      </c>
      <c r="I95">
        <f t="shared" si="3"/>
        <v>15.75</v>
      </c>
      <c r="J95">
        <f t="shared" si="4"/>
        <v>7.1440798275000006</v>
      </c>
      <c r="K95">
        <v>0.87</v>
      </c>
      <c r="L95">
        <f t="shared" si="5"/>
        <v>6.2153494499250002</v>
      </c>
    </row>
    <row r="96" spans="1:12" x14ac:dyDescent="0.2">
      <c r="A96" s="4">
        <v>43497</v>
      </c>
      <c r="B96" t="s">
        <v>538</v>
      </c>
      <c r="C96">
        <v>2</v>
      </c>
      <c r="D96">
        <v>6</v>
      </c>
      <c r="E96">
        <v>0.875</v>
      </c>
      <c r="F96" t="s">
        <v>581</v>
      </c>
      <c r="G96" t="s">
        <v>869</v>
      </c>
      <c r="H96" s="9" t="s">
        <v>1071</v>
      </c>
      <c r="I96">
        <f t="shared" si="3"/>
        <v>10.5</v>
      </c>
      <c r="J96">
        <f t="shared" si="4"/>
        <v>4.7627198850000001</v>
      </c>
      <c r="K96">
        <v>0.87</v>
      </c>
      <c r="L96">
        <f t="shared" si="5"/>
        <v>4.1435662999499998</v>
      </c>
    </row>
    <row r="97" spans="1:12" x14ac:dyDescent="0.2">
      <c r="A97" s="4">
        <v>43497</v>
      </c>
      <c r="B97" t="s">
        <v>538</v>
      </c>
      <c r="C97">
        <v>1</v>
      </c>
      <c r="D97">
        <v>3</v>
      </c>
      <c r="E97">
        <v>7.25</v>
      </c>
      <c r="F97" t="s">
        <v>554</v>
      </c>
      <c r="G97" t="s">
        <v>869</v>
      </c>
      <c r="H97" s="9" t="s">
        <v>1071</v>
      </c>
      <c r="I97">
        <f t="shared" si="3"/>
        <v>21.75</v>
      </c>
      <c r="J97">
        <f t="shared" si="4"/>
        <v>9.8656340475000004</v>
      </c>
      <c r="K97">
        <v>0.87</v>
      </c>
      <c r="L97">
        <f t="shared" si="5"/>
        <v>8.5831016213249995</v>
      </c>
    </row>
    <row r="98" spans="1:12" x14ac:dyDescent="0.2">
      <c r="A98" s="4">
        <v>43497</v>
      </c>
      <c r="B98" t="s">
        <v>538</v>
      </c>
      <c r="C98">
        <v>2</v>
      </c>
      <c r="D98">
        <v>6</v>
      </c>
      <c r="E98">
        <v>1.25</v>
      </c>
      <c r="F98" t="s">
        <v>598</v>
      </c>
      <c r="G98" t="s">
        <v>869</v>
      </c>
      <c r="H98" s="9" t="s">
        <v>1071</v>
      </c>
      <c r="I98">
        <f t="shared" si="3"/>
        <v>15</v>
      </c>
      <c r="J98">
        <f t="shared" si="4"/>
        <v>6.8038855500000004</v>
      </c>
      <c r="K98">
        <v>0.87</v>
      </c>
      <c r="L98">
        <f t="shared" si="5"/>
        <v>5.9193804285000002</v>
      </c>
    </row>
    <row r="99" spans="1:12" x14ac:dyDescent="0.2">
      <c r="A99" s="4">
        <v>43497</v>
      </c>
      <c r="B99" t="s">
        <v>538</v>
      </c>
      <c r="C99">
        <v>2</v>
      </c>
      <c r="D99">
        <v>6</v>
      </c>
      <c r="E99">
        <v>1</v>
      </c>
      <c r="F99" t="s">
        <v>582</v>
      </c>
      <c r="G99" t="s">
        <v>869</v>
      </c>
      <c r="H99" s="9" t="s">
        <v>1071</v>
      </c>
      <c r="I99">
        <f t="shared" si="3"/>
        <v>12</v>
      </c>
      <c r="J99">
        <f t="shared" si="4"/>
        <v>5.4431084400000005</v>
      </c>
      <c r="K99">
        <v>0.87</v>
      </c>
      <c r="L99">
        <f t="shared" si="5"/>
        <v>4.7355043428000005</v>
      </c>
    </row>
    <row r="100" spans="1:12" x14ac:dyDescent="0.2">
      <c r="A100" s="4">
        <v>43497</v>
      </c>
      <c r="B100" t="s">
        <v>538</v>
      </c>
      <c r="C100">
        <v>1</v>
      </c>
      <c r="D100">
        <v>6</v>
      </c>
      <c r="E100">
        <v>1</v>
      </c>
      <c r="F100" t="s">
        <v>742</v>
      </c>
      <c r="G100" t="s">
        <v>869</v>
      </c>
      <c r="H100" s="9" t="s">
        <v>1071</v>
      </c>
      <c r="I100">
        <f t="shared" si="3"/>
        <v>6</v>
      </c>
      <c r="J100">
        <f t="shared" si="4"/>
        <v>2.7215542200000002</v>
      </c>
      <c r="K100">
        <v>0.87</v>
      </c>
      <c r="L100">
        <f t="shared" si="5"/>
        <v>2.3677521714000003</v>
      </c>
    </row>
    <row r="101" spans="1:12" x14ac:dyDescent="0.2">
      <c r="A101" s="4">
        <v>43497</v>
      </c>
      <c r="B101" t="s">
        <v>538</v>
      </c>
      <c r="C101">
        <v>2</v>
      </c>
      <c r="D101">
        <v>6</v>
      </c>
      <c r="E101">
        <v>10.5</v>
      </c>
      <c r="F101" t="s">
        <v>583</v>
      </c>
      <c r="G101" t="s">
        <v>987</v>
      </c>
      <c r="H101" s="9" t="s">
        <v>1071</v>
      </c>
      <c r="I101">
        <f t="shared" si="3"/>
        <v>126</v>
      </c>
      <c r="J101">
        <f t="shared" si="4"/>
        <v>57.152638620000005</v>
      </c>
      <c r="K101">
        <v>0.87</v>
      </c>
      <c r="L101">
        <f t="shared" si="5"/>
        <v>49.722795599400001</v>
      </c>
    </row>
    <row r="102" spans="1:12" x14ac:dyDescent="0.2">
      <c r="A102" s="4">
        <v>43500</v>
      </c>
      <c r="B102" t="s">
        <v>538</v>
      </c>
      <c r="C102">
        <v>1</v>
      </c>
      <c r="D102">
        <v>3</v>
      </c>
      <c r="E102">
        <v>7.25</v>
      </c>
      <c r="F102" t="s">
        <v>554</v>
      </c>
      <c r="G102" t="s">
        <v>869</v>
      </c>
      <c r="H102" s="9" t="s">
        <v>1071</v>
      </c>
      <c r="I102">
        <f t="shared" si="3"/>
        <v>21.75</v>
      </c>
      <c r="J102">
        <f t="shared" si="4"/>
        <v>9.8656340475000004</v>
      </c>
      <c r="K102">
        <v>0.87</v>
      </c>
      <c r="L102">
        <f t="shared" si="5"/>
        <v>8.5831016213249995</v>
      </c>
    </row>
    <row r="103" spans="1:12" x14ac:dyDescent="0.2">
      <c r="A103" s="4">
        <v>43500</v>
      </c>
      <c r="B103" t="s">
        <v>538</v>
      </c>
      <c r="C103">
        <v>1</v>
      </c>
      <c r="D103">
        <v>6</v>
      </c>
      <c r="E103">
        <v>1.25</v>
      </c>
      <c r="F103" t="s">
        <v>598</v>
      </c>
      <c r="G103" t="s">
        <v>869</v>
      </c>
      <c r="H103" s="9" t="s">
        <v>1071</v>
      </c>
      <c r="I103">
        <f t="shared" si="3"/>
        <v>7.5</v>
      </c>
      <c r="J103">
        <f t="shared" si="4"/>
        <v>3.4019427750000002</v>
      </c>
      <c r="K103">
        <v>0.87</v>
      </c>
      <c r="L103">
        <f t="shared" si="5"/>
        <v>2.9596902142500001</v>
      </c>
    </row>
    <row r="104" spans="1:12" x14ac:dyDescent="0.2">
      <c r="A104" s="4">
        <v>43500</v>
      </c>
      <c r="B104" t="s">
        <v>538</v>
      </c>
      <c r="C104">
        <v>1</v>
      </c>
      <c r="D104">
        <v>6</v>
      </c>
      <c r="E104">
        <v>1</v>
      </c>
      <c r="F104" t="s">
        <v>582</v>
      </c>
      <c r="G104" t="s">
        <v>869</v>
      </c>
      <c r="H104" s="9" t="s">
        <v>1071</v>
      </c>
      <c r="I104">
        <f t="shared" si="3"/>
        <v>6</v>
      </c>
      <c r="J104">
        <f t="shared" si="4"/>
        <v>2.7215542200000002</v>
      </c>
      <c r="K104">
        <v>0.87</v>
      </c>
      <c r="L104">
        <f t="shared" si="5"/>
        <v>2.3677521714000003</v>
      </c>
    </row>
    <row r="105" spans="1:12" x14ac:dyDescent="0.2">
      <c r="A105" s="4">
        <v>43500</v>
      </c>
      <c r="B105" t="s">
        <v>538</v>
      </c>
      <c r="C105">
        <v>2</v>
      </c>
      <c r="D105">
        <v>3</v>
      </c>
      <c r="E105">
        <v>7.5</v>
      </c>
      <c r="F105" t="s">
        <v>748</v>
      </c>
      <c r="G105" t="s">
        <v>869</v>
      </c>
      <c r="H105" s="9" t="s">
        <v>1071</v>
      </c>
      <c r="I105">
        <f t="shared" si="3"/>
        <v>45</v>
      </c>
      <c r="J105">
        <f t="shared" si="4"/>
        <v>20.411656650000001</v>
      </c>
      <c r="K105">
        <v>0.87</v>
      </c>
      <c r="L105">
        <f t="shared" si="5"/>
        <v>17.758141285500002</v>
      </c>
    </row>
    <row r="106" spans="1:12" x14ac:dyDescent="0.2">
      <c r="A106" s="4">
        <v>43500</v>
      </c>
      <c r="B106" t="s">
        <v>538</v>
      </c>
      <c r="C106">
        <v>1</v>
      </c>
      <c r="D106">
        <v>3</v>
      </c>
      <c r="E106">
        <v>5</v>
      </c>
      <c r="F106" t="s">
        <v>556</v>
      </c>
      <c r="G106" t="s">
        <v>869</v>
      </c>
      <c r="H106" s="9" t="s">
        <v>1071</v>
      </c>
      <c r="I106">
        <f t="shared" si="3"/>
        <v>15</v>
      </c>
      <c r="J106">
        <f t="shared" si="4"/>
        <v>6.8038855500000004</v>
      </c>
      <c r="K106">
        <v>0.87</v>
      </c>
      <c r="L106">
        <f t="shared" si="5"/>
        <v>5.9193804285000002</v>
      </c>
    </row>
    <row r="107" spans="1:12" x14ac:dyDescent="0.2">
      <c r="A107" s="4">
        <v>43500</v>
      </c>
      <c r="B107" t="s">
        <v>538</v>
      </c>
      <c r="C107">
        <v>2</v>
      </c>
      <c r="D107">
        <v>6</v>
      </c>
      <c r="E107">
        <v>20.0625</v>
      </c>
      <c r="F107" t="s">
        <v>750</v>
      </c>
      <c r="G107" t="s">
        <v>869</v>
      </c>
      <c r="H107" s="9" t="s">
        <v>1071</v>
      </c>
      <c r="I107">
        <f t="shared" si="3"/>
        <v>240.75</v>
      </c>
      <c r="J107">
        <f t="shared" si="4"/>
        <v>109.20236307750001</v>
      </c>
      <c r="K107">
        <v>0.87</v>
      </c>
      <c r="L107">
        <f t="shared" si="5"/>
        <v>95.006055877425013</v>
      </c>
    </row>
    <row r="108" spans="1:12" x14ac:dyDescent="0.2">
      <c r="A108" s="4">
        <v>43497</v>
      </c>
      <c r="B108" t="s">
        <v>538</v>
      </c>
      <c r="C108">
        <v>2</v>
      </c>
      <c r="D108">
        <v>6</v>
      </c>
      <c r="E108">
        <v>10.5</v>
      </c>
      <c r="F108" t="s">
        <v>552</v>
      </c>
      <c r="G108" t="s">
        <v>1039</v>
      </c>
      <c r="H108" s="9" t="s">
        <v>1071</v>
      </c>
      <c r="I108">
        <f t="shared" si="3"/>
        <v>126</v>
      </c>
      <c r="J108">
        <f t="shared" si="4"/>
        <v>57.152638620000005</v>
      </c>
      <c r="K108">
        <v>0.87</v>
      </c>
      <c r="L108">
        <f t="shared" si="5"/>
        <v>49.722795599400001</v>
      </c>
    </row>
    <row r="109" spans="1:12" x14ac:dyDescent="0.2">
      <c r="A109" s="4">
        <v>43497</v>
      </c>
      <c r="B109" t="s">
        <v>538</v>
      </c>
      <c r="C109">
        <v>1</v>
      </c>
      <c r="D109">
        <v>18</v>
      </c>
      <c r="E109">
        <v>2.25</v>
      </c>
      <c r="F109" t="s">
        <v>457</v>
      </c>
      <c r="G109" t="s">
        <v>1039</v>
      </c>
      <c r="H109" s="9" t="s">
        <v>1071</v>
      </c>
      <c r="I109">
        <f t="shared" si="3"/>
        <v>40.5</v>
      </c>
      <c r="J109">
        <f t="shared" si="4"/>
        <v>18.370490985</v>
      </c>
      <c r="K109">
        <v>0.87</v>
      </c>
      <c r="L109">
        <f t="shared" si="5"/>
        <v>15.982327156949999</v>
      </c>
    </row>
    <row r="110" spans="1:12" x14ac:dyDescent="0.2">
      <c r="A110" s="4">
        <v>43500</v>
      </c>
      <c r="B110" t="s">
        <v>538</v>
      </c>
      <c r="C110">
        <v>0</v>
      </c>
      <c r="D110">
        <v>12</v>
      </c>
      <c r="E110">
        <v>3</v>
      </c>
      <c r="F110" t="s">
        <v>451</v>
      </c>
      <c r="G110" t="s">
        <v>1039</v>
      </c>
      <c r="H110" s="9" t="s">
        <v>1071</v>
      </c>
      <c r="I110">
        <f t="shared" si="3"/>
        <v>0</v>
      </c>
      <c r="J110">
        <f t="shared" si="4"/>
        <v>0</v>
      </c>
      <c r="K110">
        <v>0.87</v>
      </c>
      <c r="L110">
        <f t="shared" si="5"/>
        <v>0</v>
      </c>
    </row>
    <row r="111" spans="1:12" x14ac:dyDescent="0.2">
      <c r="A111" s="4">
        <v>43500</v>
      </c>
      <c r="B111" t="s">
        <v>538</v>
      </c>
      <c r="C111">
        <v>0</v>
      </c>
      <c r="D111">
        <v>6</v>
      </c>
      <c r="E111">
        <v>20.125</v>
      </c>
      <c r="F111" t="s">
        <v>749</v>
      </c>
      <c r="G111" t="s">
        <v>1039</v>
      </c>
      <c r="H111" s="9" t="s">
        <v>1071</v>
      </c>
      <c r="I111">
        <f t="shared" si="3"/>
        <v>0</v>
      </c>
      <c r="J111">
        <f t="shared" si="4"/>
        <v>0</v>
      </c>
      <c r="K111">
        <v>0.87</v>
      </c>
      <c r="L111">
        <f t="shared" si="5"/>
        <v>0</v>
      </c>
    </row>
    <row r="112" spans="1:12" x14ac:dyDescent="0.2">
      <c r="A112" s="4">
        <v>43500</v>
      </c>
      <c r="B112" t="s">
        <v>538</v>
      </c>
      <c r="C112">
        <v>1</v>
      </c>
      <c r="D112">
        <v>12</v>
      </c>
      <c r="E112">
        <v>3</v>
      </c>
      <c r="F112" t="s">
        <v>451</v>
      </c>
      <c r="G112" t="s">
        <v>1039</v>
      </c>
      <c r="H112" s="9" t="s">
        <v>1071</v>
      </c>
      <c r="I112">
        <f t="shared" si="3"/>
        <v>36</v>
      </c>
      <c r="J112">
        <f t="shared" si="4"/>
        <v>16.329325319999999</v>
      </c>
      <c r="K112">
        <v>0.87</v>
      </c>
      <c r="L112">
        <f t="shared" si="5"/>
        <v>14.206513028399998</v>
      </c>
    </row>
    <row r="113" spans="1:12" x14ac:dyDescent="0.2">
      <c r="A113" s="4">
        <v>43500</v>
      </c>
      <c r="B113" t="s">
        <v>538</v>
      </c>
      <c r="C113">
        <v>1</v>
      </c>
      <c r="D113">
        <v>1</v>
      </c>
      <c r="E113">
        <v>50</v>
      </c>
      <c r="F113" t="s">
        <v>425</v>
      </c>
      <c r="G113" t="s">
        <v>860</v>
      </c>
      <c r="H113" s="9" t="s">
        <v>1071</v>
      </c>
      <c r="I113">
        <f t="shared" si="3"/>
        <v>50</v>
      </c>
      <c r="J113">
        <f t="shared" si="4"/>
        <v>22.6796185</v>
      </c>
      <c r="K113">
        <v>0.7</v>
      </c>
      <c r="L113">
        <f t="shared" si="5"/>
        <v>15.87573295</v>
      </c>
    </row>
    <row r="114" spans="1:12" x14ac:dyDescent="0.2">
      <c r="A114" s="4">
        <v>43500</v>
      </c>
      <c r="B114" t="s">
        <v>538</v>
      </c>
      <c r="C114">
        <v>3</v>
      </c>
      <c r="D114">
        <v>1</v>
      </c>
      <c r="E114">
        <v>50</v>
      </c>
      <c r="F114" t="s">
        <v>434</v>
      </c>
      <c r="G114" t="s">
        <v>860</v>
      </c>
      <c r="H114" s="9" t="s">
        <v>1071</v>
      </c>
      <c r="I114">
        <f t="shared" si="3"/>
        <v>150</v>
      </c>
      <c r="J114">
        <f t="shared" si="4"/>
        <v>68.038855500000011</v>
      </c>
      <c r="K114">
        <v>0.7</v>
      </c>
      <c r="L114">
        <f t="shared" si="5"/>
        <v>47.627198850000006</v>
      </c>
    </row>
    <row r="115" spans="1:12" x14ac:dyDescent="0.2">
      <c r="A115" s="4">
        <v>43503</v>
      </c>
      <c r="B115" t="s">
        <v>538</v>
      </c>
      <c r="C115">
        <v>1</v>
      </c>
      <c r="D115">
        <v>1</v>
      </c>
      <c r="E115">
        <v>50</v>
      </c>
      <c r="F115" t="s">
        <v>425</v>
      </c>
      <c r="G115" t="s">
        <v>1055</v>
      </c>
      <c r="H115" s="9" t="s">
        <v>1071</v>
      </c>
      <c r="I115">
        <f t="shared" si="3"/>
        <v>50</v>
      </c>
      <c r="J115">
        <f t="shared" si="4"/>
        <v>22.6796185</v>
      </c>
      <c r="K115">
        <v>0.7</v>
      </c>
      <c r="L115">
        <f t="shared" si="5"/>
        <v>15.87573295</v>
      </c>
    </row>
    <row r="116" spans="1:12" x14ac:dyDescent="0.2">
      <c r="A116" s="4">
        <v>43497</v>
      </c>
      <c r="B116" t="s">
        <v>538</v>
      </c>
      <c r="C116">
        <v>8</v>
      </c>
      <c r="D116">
        <v>4</v>
      </c>
      <c r="E116">
        <v>7.9</v>
      </c>
      <c r="F116" t="s">
        <v>737</v>
      </c>
      <c r="G116" t="s">
        <v>989</v>
      </c>
      <c r="H116" s="9" t="s">
        <v>1071</v>
      </c>
      <c r="I116">
        <f t="shared" si="3"/>
        <v>252.8</v>
      </c>
      <c r="J116">
        <f t="shared" si="4"/>
        <v>114.66815113600002</v>
      </c>
      <c r="K116">
        <v>2.6459999999999999</v>
      </c>
      <c r="L116">
        <f t="shared" si="5"/>
        <v>303.41192790585603</v>
      </c>
    </row>
    <row r="117" spans="1:12" x14ac:dyDescent="0.2">
      <c r="A117" s="4">
        <v>43497</v>
      </c>
      <c r="B117" t="s">
        <v>538</v>
      </c>
      <c r="C117">
        <v>3</v>
      </c>
      <c r="D117">
        <v>1</v>
      </c>
      <c r="E117">
        <v>35</v>
      </c>
      <c r="F117" t="s">
        <v>441</v>
      </c>
      <c r="G117" t="s">
        <v>989</v>
      </c>
      <c r="H117" s="9" t="s">
        <v>1071</v>
      </c>
      <c r="I117">
        <f t="shared" si="3"/>
        <v>105</v>
      </c>
      <c r="J117">
        <f t="shared" si="4"/>
        <v>47.627198849999999</v>
      </c>
      <c r="K117">
        <v>2.6459999999999999</v>
      </c>
      <c r="L117">
        <f t="shared" si="5"/>
        <v>126.02156815709999</v>
      </c>
    </row>
    <row r="118" spans="1:12" x14ac:dyDescent="0.2">
      <c r="A118" s="4">
        <v>43500</v>
      </c>
      <c r="B118" t="s">
        <v>538</v>
      </c>
      <c r="C118">
        <v>8</v>
      </c>
      <c r="D118">
        <v>4</v>
      </c>
      <c r="E118">
        <v>7.9</v>
      </c>
      <c r="F118" t="s">
        <v>737</v>
      </c>
      <c r="G118" t="s">
        <v>989</v>
      </c>
      <c r="H118" s="9" t="s">
        <v>1071</v>
      </c>
      <c r="I118">
        <f t="shared" si="3"/>
        <v>252.8</v>
      </c>
      <c r="J118">
        <f t="shared" si="4"/>
        <v>114.66815113600002</v>
      </c>
      <c r="K118">
        <v>2.6459999999999999</v>
      </c>
      <c r="L118">
        <f t="shared" si="5"/>
        <v>303.41192790585603</v>
      </c>
    </row>
    <row r="119" spans="1:12" x14ac:dyDescent="0.2">
      <c r="A119" s="4">
        <v>43500</v>
      </c>
      <c r="B119" t="s">
        <v>538</v>
      </c>
      <c r="C119">
        <v>3</v>
      </c>
      <c r="D119">
        <v>1</v>
      </c>
      <c r="E119">
        <v>35</v>
      </c>
      <c r="F119" t="s">
        <v>441</v>
      </c>
      <c r="G119" t="s">
        <v>989</v>
      </c>
      <c r="H119" s="9" t="s">
        <v>1071</v>
      </c>
      <c r="I119">
        <f t="shared" si="3"/>
        <v>105</v>
      </c>
      <c r="J119">
        <f t="shared" si="4"/>
        <v>47.627198849999999</v>
      </c>
      <c r="K119">
        <v>2.6459999999999999</v>
      </c>
      <c r="L119">
        <f t="shared" si="5"/>
        <v>126.02156815709999</v>
      </c>
    </row>
    <row r="120" spans="1:12" x14ac:dyDescent="0.2">
      <c r="A120" s="4">
        <v>43503</v>
      </c>
      <c r="B120" t="s">
        <v>538</v>
      </c>
      <c r="C120">
        <v>1</v>
      </c>
      <c r="D120">
        <v>3</v>
      </c>
      <c r="E120">
        <v>2</v>
      </c>
      <c r="F120" t="s">
        <v>660</v>
      </c>
      <c r="G120" t="s">
        <v>977</v>
      </c>
      <c r="H120" s="9" t="s">
        <v>1071</v>
      </c>
      <c r="I120">
        <f t="shared" si="3"/>
        <v>6</v>
      </c>
      <c r="J120">
        <f t="shared" si="4"/>
        <v>2.7215542200000002</v>
      </c>
      <c r="K120">
        <v>2.6459999999999999</v>
      </c>
      <c r="L120">
        <f t="shared" si="5"/>
        <v>7.2012324661200005</v>
      </c>
    </row>
    <row r="121" spans="1:12" x14ac:dyDescent="0.2">
      <c r="A121" s="4">
        <v>43503</v>
      </c>
      <c r="B121" t="s">
        <v>538</v>
      </c>
      <c r="C121">
        <v>3</v>
      </c>
      <c r="D121">
        <v>1</v>
      </c>
      <c r="E121">
        <v>35</v>
      </c>
      <c r="F121" t="s">
        <v>441</v>
      </c>
      <c r="G121" t="s">
        <v>977</v>
      </c>
      <c r="H121" s="9" t="s">
        <v>1071</v>
      </c>
      <c r="I121">
        <f t="shared" si="3"/>
        <v>105</v>
      </c>
      <c r="J121">
        <f t="shared" si="4"/>
        <v>47.627198849999999</v>
      </c>
      <c r="K121">
        <v>2.6459999999999999</v>
      </c>
      <c r="L121">
        <f t="shared" si="5"/>
        <v>126.02156815709999</v>
      </c>
    </row>
    <row r="122" spans="1:12" x14ac:dyDescent="0.2">
      <c r="A122" s="4">
        <v>43503</v>
      </c>
      <c r="B122" t="s">
        <v>538</v>
      </c>
      <c r="C122">
        <v>3</v>
      </c>
      <c r="D122">
        <v>4</v>
      </c>
      <c r="E122">
        <v>7.9</v>
      </c>
      <c r="F122" t="s">
        <v>455</v>
      </c>
      <c r="G122" t="s">
        <v>989</v>
      </c>
      <c r="H122" s="9" t="s">
        <v>1071</v>
      </c>
      <c r="I122">
        <f t="shared" si="3"/>
        <v>94.800000000000011</v>
      </c>
      <c r="J122">
        <f t="shared" si="4"/>
        <v>43.000556676000009</v>
      </c>
      <c r="K122">
        <v>2.6459999999999999</v>
      </c>
      <c r="L122">
        <f t="shared" si="5"/>
        <v>113.77947296469603</v>
      </c>
    </row>
    <row r="123" spans="1:12" x14ac:dyDescent="0.2">
      <c r="A123" s="4">
        <v>43497</v>
      </c>
      <c r="B123" t="s">
        <v>538</v>
      </c>
      <c r="C123">
        <v>1</v>
      </c>
      <c r="D123">
        <v>3</v>
      </c>
      <c r="E123">
        <v>2</v>
      </c>
      <c r="F123" t="s">
        <v>660</v>
      </c>
      <c r="G123" t="s">
        <v>1050</v>
      </c>
      <c r="H123" s="9" t="s">
        <v>1071</v>
      </c>
      <c r="I123">
        <f t="shared" si="3"/>
        <v>6</v>
      </c>
      <c r="J123">
        <f t="shared" si="4"/>
        <v>2.7215542200000002</v>
      </c>
      <c r="K123">
        <v>0.84799999999999998</v>
      </c>
      <c r="L123">
        <f t="shared" si="5"/>
        <v>2.3078779785600001</v>
      </c>
    </row>
    <row r="124" spans="1:12" x14ac:dyDescent="0.2">
      <c r="A124" s="4">
        <v>43497</v>
      </c>
      <c r="B124" t="s">
        <v>538</v>
      </c>
      <c r="C124">
        <v>2</v>
      </c>
      <c r="D124">
        <v>4</v>
      </c>
      <c r="E124">
        <v>11.01</v>
      </c>
      <c r="F124" t="s">
        <v>435</v>
      </c>
      <c r="G124" t="s">
        <v>991</v>
      </c>
      <c r="H124" s="9" t="s">
        <v>1071</v>
      </c>
      <c r="I124">
        <f t="shared" si="3"/>
        <v>88.08</v>
      </c>
      <c r="J124">
        <f t="shared" si="4"/>
        <v>39.952415949600002</v>
      </c>
      <c r="K124">
        <v>6.7539999999999996</v>
      </c>
      <c r="L124">
        <f t="shared" si="5"/>
        <v>269.83861732359838</v>
      </c>
    </row>
    <row r="125" spans="1:12" x14ac:dyDescent="0.2">
      <c r="A125" s="4">
        <v>43497</v>
      </c>
      <c r="B125" t="s">
        <v>538</v>
      </c>
      <c r="C125">
        <v>4</v>
      </c>
      <c r="D125">
        <v>6</v>
      </c>
      <c r="E125">
        <v>10</v>
      </c>
      <c r="F125" t="s">
        <v>432</v>
      </c>
      <c r="G125" t="s">
        <v>857</v>
      </c>
      <c r="H125" s="9" t="s">
        <v>1071</v>
      </c>
      <c r="I125">
        <f t="shared" si="3"/>
        <v>240</v>
      </c>
      <c r="J125">
        <f t="shared" si="4"/>
        <v>108.86216880000001</v>
      </c>
      <c r="K125">
        <v>0.47</v>
      </c>
      <c r="L125">
        <f t="shared" si="5"/>
        <v>51.165219336</v>
      </c>
    </row>
    <row r="126" spans="1:12" x14ac:dyDescent="0.2">
      <c r="A126" s="4">
        <v>43497</v>
      </c>
      <c r="B126" t="s">
        <v>538</v>
      </c>
      <c r="C126">
        <v>2</v>
      </c>
      <c r="D126">
        <v>6</v>
      </c>
      <c r="E126">
        <v>10</v>
      </c>
      <c r="F126" t="s">
        <v>546</v>
      </c>
      <c r="G126" t="s">
        <v>857</v>
      </c>
      <c r="H126" s="9" t="s">
        <v>1071</v>
      </c>
      <c r="I126">
        <f t="shared" si="3"/>
        <v>120</v>
      </c>
      <c r="J126">
        <f t="shared" si="4"/>
        <v>54.431084400000003</v>
      </c>
      <c r="K126">
        <v>0.47</v>
      </c>
      <c r="L126">
        <f t="shared" si="5"/>
        <v>25.582609668</v>
      </c>
    </row>
    <row r="127" spans="1:12" x14ac:dyDescent="0.2">
      <c r="A127" s="4">
        <v>43500</v>
      </c>
      <c r="B127" t="s">
        <v>538</v>
      </c>
      <c r="C127">
        <v>6</v>
      </c>
      <c r="D127">
        <v>6</v>
      </c>
      <c r="E127">
        <v>10</v>
      </c>
      <c r="F127" t="s">
        <v>544</v>
      </c>
      <c r="G127" t="s">
        <v>857</v>
      </c>
      <c r="H127" s="9" t="s">
        <v>1071</v>
      </c>
      <c r="I127">
        <f t="shared" si="3"/>
        <v>360</v>
      </c>
      <c r="J127">
        <f t="shared" si="4"/>
        <v>163.29325320000001</v>
      </c>
      <c r="K127">
        <v>0.47</v>
      </c>
      <c r="L127">
        <f t="shared" si="5"/>
        <v>76.747829003999996</v>
      </c>
    </row>
    <row r="128" spans="1:12" x14ac:dyDescent="0.2">
      <c r="A128" s="4">
        <v>43500</v>
      </c>
      <c r="B128" t="s">
        <v>538</v>
      </c>
      <c r="C128">
        <v>4</v>
      </c>
      <c r="D128">
        <v>6</v>
      </c>
      <c r="E128">
        <v>10</v>
      </c>
      <c r="F128" t="s">
        <v>432</v>
      </c>
      <c r="G128" t="s">
        <v>857</v>
      </c>
      <c r="H128" s="9" t="s">
        <v>1071</v>
      </c>
      <c r="I128">
        <f t="shared" si="3"/>
        <v>240</v>
      </c>
      <c r="J128">
        <f t="shared" si="4"/>
        <v>108.86216880000001</v>
      </c>
      <c r="K128">
        <v>0.47</v>
      </c>
      <c r="L128">
        <f t="shared" si="5"/>
        <v>51.165219336</v>
      </c>
    </row>
    <row r="129" spans="1:12" x14ac:dyDescent="0.2">
      <c r="A129" s="4">
        <v>43500</v>
      </c>
      <c r="B129" t="s">
        <v>538</v>
      </c>
      <c r="C129">
        <v>6</v>
      </c>
      <c r="D129">
        <v>6</v>
      </c>
      <c r="E129">
        <v>10</v>
      </c>
      <c r="F129" t="s">
        <v>546</v>
      </c>
      <c r="G129" t="s">
        <v>857</v>
      </c>
      <c r="H129" s="9" t="s">
        <v>1071</v>
      </c>
      <c r="I129">
        <f t="shared" si="3"/>
        <v>360</v>
      </c>
      <c r="J129">
        <f t="shared" si="4"/>
        <v>163.29325320000001</v>
      </c>
      <c r="K129">
        <v>0.47</v>
      </c>
      <c r="L129">
        <f t="shared" si="5"/>
        <v>76.747829003999996</v>
      </c>
    </row>
    <row r="130" spans="1:12" x14ac:dyDescent="0.2">
      <c r="A130" s="4">
        <v>43497</v>
      </c>
      <c r="B130" t="s">
        <v>538</v>
      </c>
      <c r="C130">
        <v>2</v>
      </c>
      <c r="D130">
        <v>6</v>
      </c>
      <c r="E130">
        <v>4.15625</v>
      </c>
      <c r="F130" t="s">
        <v>427</v>
      </c>
      <c r="G130" t="s">
        <v>862</v>
      </c>
      <c r="H130" s="9" t="s">
        <v>1072</v>
      </c>
      <c r="I130">
        <f t="shared" si="3"/>
        <v>49.875</v>
      </c>
      <c r="J130">
        <f t="shared" si="4"/>
        <v>22.622919453750001</v>
      </c>
      <c r="K130">
        <v>2.1480000000000001</v>
      </c>
      <c r="L130">
        <f t="shared" si="5"/>
        <v>48.594030986655007</v>
      </c>
    </row>
    <row r="131" spans="1:12" x14ac:dyDescent="0.2">
      <c r="A131" s="4">
        <v>43503</v>
      </c>
      <c r="B131" t="s">
        <v>538</v>
      </c>
      <c r="C131">
        <v>1</v>
      </c>
      <c r="D131">
        <v>6</v>
      </c>
      <c r="E131">
        <v>4.15625</v>
      </c>
      <c r="F131" t="s">
        <v>427</v>
      </c>
      <c r="G131" t="s">
        <v>862</v>
      </c>
      <c r="H131" s="9" t="s">
        <v>1072</v>
      </c>
      <c r="I131">
        <f t="shared" ref="I131:I192" si="6">C131*D131*E131</f>
        <v>24.9375</v>
      </c>
      <c r="J131">
        <f t="shared" ref="J131:J194" si="7">CONVERT(I131,"lbm","kg")</f>
        <v>11.311459726875</v>
      </c>
      <c r="K131">
        <v>2.1480000000000001</v>
      </c>
      <c r="L131">
        <f t="shared" ref="L131:L194" si="8">J131*K131</f>
        <v>24.297015493327503</v>
      </c>
    </row>
    <row r="132" spans="1:12" x14ac:dyDescent="0.2">
      <c r="A132" s="4">
        <v>43497</v>
      </c>
      <c r="B132" t="s">
        <v>538</v>
      </c>
      <c r="C132">
        <v>1</v>
      </c>
      <c r="D132">
        <v>4</v>
      </c>
      <c r="E132">
        <v>8.41</v>
      </c>
      <c r="F132" t="s">
        <v>558</v>
      </c>
      <c r="G132" t="s">
        <v>872</v>
      </c>
      <c r="H132" s="9" t="s">
        <v>1071</v>
      </c>
      <c r="I132">
        <f t="shared" si="6"/>
        <v>33.64</v>
      </c>
      <c r="J132">
        <f t="shared" si="7"/>
        <v>15.258847326800002</v>
      </c>
      <c r="K132">
        <v>0.34</v>
      </c>
      <c r="L132">
        <f t="shared" si="8"/>
        <v>5.1880080911120006</v>
      </c>
    </row>
    <row r="133" spans="1:12" x14ac:dyDescent="0.2">
      <c r="A133" s="4">
        <v>43497</v>
      </c>
      <c r="B133" t="s">
        <v>538</v>
      </c>
      <c r="C133">
        <v>1</v>
      </c>
      <c r="D133">
        <v>2</v>
      </c>
      <c r="E133">
        <f>5*2.39</f>
        <v>11.950000000000001</v>
      </c>
      <c r="F133" t="s">
        <v>667</v>
      </c>
      <c r="G133" t="s">
        <v>872</v>
      </c>
      <c r="H133" s="9" t="s">
        <v>1071</v>
      </c>
      <c r="I133">
        <f t="shared" si="6"/>
        <v>23.900000000000002</v>
      </c>
      <c r="J133">
        <f t="shared" si="7"/>
        <v>10.840857643000001</v>
      </c>
      <c r="K133">
        <v>0.34</v>
      </c>
      <c r="L133">
        <f t="shared" si="8"/>
        <v>3.6858915986200009</v>
      </c>
    </row>
    <row r="134" spans="1:12" x14ac:dyDescent="0.2">
      <c r="A134" s="4">
        <v>43500</v>
      </c>
      <c r="B134" t="s">
        <v>538</v>
      </c>
      <c r="C134">
        <v>1</v>
      </c>
      <c r="D134">
        <v>2</v>
      </c>
      <c r="E134">
        <f>5*2.39</f>
        <v>11.950000000000001</v>
      </c>
      <c r="F134" t="s">
        <v>667</v>
      </c>
      <c r="G134" t="s">
        <v>872</v>
      </c>
      <c r="H134" s="9" t="s">
        <v>1071</v>
      </c>
      <c r="I134">
        <f t="shared" si="6"/>
        <v>23.900000000000002</v>
      </c>
      <c r="J134">
        <f t="shared" si="7"/>
        <v>10.840857643000001</v>
      </c>
      <c r="K134">
        <v>0.34</v>
      </c>
      <c r="L134">
        <f t="shared" si="8"/>
        <v>3.6858915986200009</v>
      </c>
    </row>
    <row r="135" spans="1:12" x14ac:dyDescent="0.2">
      <c r="A135" s="4">
        <v>43497</v>
      </c>
      <c r="B135" t="s">
        <v>538</v>
      </c>
      <c r="C135">
        <v>2</v>
      </c>
      <c r="D135">
        <v>6</v>
      </c>
      <c r="E135">
        <v>2</v>
      </c>
      <c r="F135" t="s">
        <v>421</v>
      </c>
      <c r="G135" t="s">
        <v>985</v>
      </c>
      <c r="H135" s="9" t="s">
        <v>1071</v>
      </c>
      <c r="I135">
        <f t="shared" si="6"/>
        <v>24</v>
      </c>
      <c r="J135">
        <f t="shared" si="7"/>
        <v>10.886216880000001</v>
      </c>
      <c r="K135">
        <v>0.34699999999999998</v>
      </c>
      <c r="L135">
        <f t="shared" si="8"/>
        <v>3.77751725736</v>
      </c>
    </row>
    <row r="136" spans="1:12" x14ac:dyDescent="0.2">
      <c r="A136" s="4">
        <v>43497</v>
      </c>
      <c r="B136" t="s">
        <v>538</v>
      </c>
      <c r="C136">
        <v>2</v>
      </c>
      <c r="D136">
        <v>6</v>
      </c>
      <c r="E136">
        <v>2</v>
      </c>
      <c r="F136" t="s">
        <v>570</v>
      </c>
      <c r="G136" t="s">
        <v>985</v>
      </c>
      <c r="H136" s="9" t="s">
        <v>1071</v>
      </c>
      <c r="I136">
        <f t="shared" si="6"/>
        <v>24</v>
      </c>
      <c r="J136">
        <f t="shared" si="7"/>
        <v>10.886216880000001</v>
      </c>
      <c r="K136">
        <v>0.34699999999999998</v>
      </c>
      <c r="L136">
        <f t="shared" si="8"/>
        <v>3.77751725736</v>
      </c>
    </row>
    <row r="137" spans="1:12" x14ac:dyDescent="0.2">
      <c r="A137" s="4">
        <v>43497</v>
      </c>
      <c r="B137" t="s">
        <v>538</v>
      </c>
      <c r="C137">
        <v>2</v>
      </c>
      <c r="D137">
        <v>1</v>
      </c>
      <c r="E137">
        <v>10</v>
      </c>
      <c r="F137" t="s">
        <v>428</v>
      </c>
      <c r="G137" t="s">
        <v>985</v>
      </c>
      <c r="H137" s="9" t="s">
        <v>1071</v>
      </c>
      <c r="I137">
        <f t="shared" si="6"/>
        <v>20</v>
      </c>
      <c r="J137">
        <f t="shared" si="7"/>
        <v>9.0718474000000011</v>
      </c>
      <c r="K137">
        <v>0.34699999999999998</v>
      </c>
      <c r="L137">
        <f t="shared" si="8"/>
        <v>3.1479310478000002</v>
      </c>
    </row>
    <row r="138" spans="1:12" x14ac:dyDescent="0.2">
      <c r="A138" s="4">
        <v>43500</v>
      </c>
      <c r="B138" t="s">
        <v>538</v>
      </c>
      <c r="C138">
        <v>2</v>
      </c>
      <c r="D138">
        <v>6</v>
      </c>
      <c r="E138">
        <v>2</v>
      </c>
      <c r="F138" t="s">
        <v>421</v>
      </c>
      <c r="G138" t="s">
        <v>985</v>
      </c>
      <c r="H138" s="9" t="s">
        <v>1071</v>
      </c>
      <c r="I138">
        <f t="shared" si="6"/>
        <v>24</v>
      </c>
      <c r="J138">
        <f t="shared" si="7"/>
        <v>10.886216880000001</v>
      </c>
      <c r="K138">
        <v>0.34699999999999998</v>
      </c>
      <c r="L138">
        <f t="shared" si="8"/>
        <v>3.77751725736</v>
      </c>
    </row>
    <row r="139" spans="1:12" x14ac:dyDescent="0.2">
      <c r="A139" s="4">
        <v>43500</v>
      </c>
      <c r="B139" t="s">
        <v>538</v>
      </c>
      <c r="C139">
        <v>2</v>
      </c>
      <c r="D139">
        <v>6</v>
      </c>
      <c r="E139">
        <v>2</v>
      </c>
      <c r="F139" t="s">
        <v>570</v>
      </c>
      <c r="G139" t="s">
        <v>985</v>
      </c>
      <c r="H139" s="9" t="s">
        <v>1071</v>
      </c>
      <c r="I139">
        <f t="shared" si="6"/>
        <v>24</v>
      </c>
      <c r="J139">
        <f t="shared" si="7"/>
        <v>10.886216880000001</v>
      </c>
      <c r="K139">
        <v>0.34699999999999998</v>
      </c>
      <c r="L139">
        <f t="shared" si="8"/>
        <v>3.77751725736</v>
      </c>
    </row>
    <row r="140" spans="1:12" x14ac:dyDescent="0.2">
      <c r="A140" s="4">
        <v>43503</v>
      </c>
      <c r="B140" t="s">
        <v>538</v>
      </c>
      <c r="C140">
        <v>1</v>
      </c>
      <c r="D140">
        <v>12</v>
      </c>
      <c r="E140">
        <v>2</v>
      </c>
      <c r="F140" t="s">
        <v>557</v>
      </c>
      <c r="G140" s="14" t="s">
        <v>871</v>
      </c>
      <c r="H140" s="9" t="s">
        <v>1071</v>
      </c>
      <c r="I140">
        <f t="shared" si="6"/>
        <v>24</v>
      </c>
      <c r="J140">
        <f t="shared" si="7"/>
        <v>10.886216880000001</v>
      </c>
      <c r="L140">
        <f t="shared" si="8"/>
        <v>0</v>
      </c>
    </row>
    <row r="141" spans="1:12" x14ac:dyDescent="0.2">
      <c r="A141" s="4">
        <v>43497</v>
      </c>
      <c r="B141" t="s">
        <v>517</v>
      </c>
      <c r="C141">
        <v>1</v>
      </c>
      <c r="D141">
        <v>36</v>
      </c>
      <c r="E141">
        <v>1</v>
      </c>
      <c r="F141" t="s">
        <v>382</v>
      </c>
      <c r="G141" t="s">
        <v>845</v>
      </c>
      <c r="H141" t="s">
        <v>1073</v>
      </c>
      <c r="I141">
        <f t="shared" si="6"/>
        <v>36</v>
      </c>
      <c r="J141">
        <f t="shared" si="7"/>
        <v>16.329325319999999</v>
      </c>
      <c r="K141">
        <v>11.52</v>
      </c>
      <c r="L141">
        <f t="shared" si="8"/>
        <v>188.11382768639999</v>
      </c>
    </row>
    <row r="142" spans="1:12" x14ac:dyDescent="0.2">
      <c r="A142" s="4">
        <v>43500</v>
      </c>
      <c r="B142" t="s">
        <v>517</v>
      </c>
      <c r="C142">
        <v>1</v>
      </c>
      <c r="D142">
        <v>36</v>
      </c>
      <c r="E142">
        <v>1</v>
      </c>
      <c r="F142" t="s">
        <v>382</v>
      </c>
      <c r="G142" t="s">
        <v>845</v>
      </c>
      <c r="H142" t="s">
        <v>1073</v>
      </c>
      <c r="I142">
        <f t="shared" si="6"/>
        <v>36</v>
      </c>
      <c r="J142">
        <f t="shared" si="7"/>
        <v>16.329325319999999</v>
      </c>
      <c r="K142">
        <v>11.52</v>
      </c>
      <c r="L142">
        <f t="shared" si="8"/>
        <v>188.11382768639999</v>
      </c>
    </row>
    <row r="143" spans="1:12" x14ac:dyDescent="0.2">
      <c r="A143" s="4">
        <v>43497</v>
      </c>
      <c r="B143" t="s">
        <v>517</v>
      </c>
      <c r="C143">
        <v>1</v>
      </c>
      <c r="D143">
        <v>6</v>
      </c>
      <c r="E143">
        <v>1</v>
      </c>
      <c r="F143" t="s">
        <v>519</v>
      </c>
      <c r="G143" t="s">
        <v>847</v>
      </c>
      <c r="H143" t="s">
        <v>1073</v>
      </c>
      <c r="I143">
        <f t="shared" si="6"/>
        <v>6</v>
      </c>
      <c r="J143">
        <f t="shared" si="7"/>
        <v>2.7215542200000002</v>
      </c>
      <c r="K143">
        <v>9.9740000000000002</v>
      </c>
      <c r="L143">
        <f t="shared" si="8"/>
        <v>27.144781790280003</v>
      </c>
    </row>
    <row r="144" spans="1:12" x14ac:dyDescent="0.2">
      <c r="A144" s="4">
        <v>43497</v>
      </c>
      <c r="B144" t="s">
        <v>517</v>
      </c>
      <c r="C144">
        <v>2</v>
      </c>
      <c r="D144">
        <v>6</v>
      </c>
      <c r="E144">
        <v>3</v>
      </c>
      <c r="F144" t="s">
        <v>387</v>
      </c>
      <c r="G144" t="s">
        <v>847</v>
      </c>
      <c r="H144" t="s">
        <v>1073</v>
      </c>
      <c r="I144">
        <f t="shared" si="6"/>
        <v>36</v>
      </c>
      <c r="J144">
        <f t="shared" si="7"/>
        <v>16.329325319999999</v>
      </c>
      <c r="K144">
        <v>9.9740000000000002</v>
      </c>
      <c r="L144">
        <f t="shared" si="8"/>
        <v>162.86869074167998</v>
      </c>
    </row>
    <row r="145" spans="1:12" x14ac:dyDescent="0.2">
      <c r="A145" s="4">
        <v>43497</v>
      </c>
      <c r="B145" t="s">
        <v>517</v>
      </c>
      <c r="C145">
        <v>2</v>
      </c>
      <c r="D145">
        <v>6</v>
      </c>
      <c r="E145">
        <v>3</v>
      </c>
      <c r="F145" t="s">
        <v>387</v>
      </c>
      <c r="G145" t="s">
        <v>847</v>
      </c>
      <c r="H145" t="s">
        <v>1073</v>
      </c>
      <c r="I145">
        <f t="shared" si="6"/>
        <v>36</v>
      </c>
      <c r="J145">
        <f t="shared" si="7"/>
        <v>16.329325319999999</v>
      </c>
      <c r="K145">
        <v>9.9740000000000002</v>
      </c>
      <c r="L145">
        <f t="shared" si="8"/>
        <v>162.86869074167998</v>
      </c>
    </row>
    <row r="146" spans="1:12" x14ac:dyDescent="0.2">
      <c r="A146" s="4">
        <v>43497</v>
      </c>
      <c r="B146" t="s">
        <v>517</v>
      </c>
      <c r="C146">
        <v>2</v>
      </c>
      <c r="D146">
        <v>6</v>
      </c>
      <c r="E146">
        <v>0.6875</v>
      </c>
      <c r="F146" t="s">
        <v>388</v>
      </c>
      <c r="G146" t="s">
        <v>847</v>
      </c>
      <c r="H146" t="s">
        <v>1073</v>
      </c>
      <c r="I146">
        <f t="shared" si="6"/>
        <v>8.25</v>
      </c>
      <c r="J146">
        <f t="shared" si="7"/>
        <v>3.7421370525000004</v>
      </c>
      <c r="K146">
        <v>9.9740000000000002</v>
      </c>
      <c r="L146">
        <f t="shared" si="8"/>
        <v>37.324074961635006</v>
      </c>
    </row>
    <row r="147" spans="1:12" x14ac:dyDescent="0.2">
      <c r="A147" s="4">
        <v>43497</v>
      </c>
      <c r="B147" t="s">
        <v>517</v>
      </c>
      <c r="C147">
        <v>3</v>
      </c>
      <c r="D147">
        <v>2</v>
      </c>
      <c r="E147">
        <v>5</v>
      </c>
      <c r="F147" t="s">
        <v>389</v>
      </c>
      <c r="G147" t="s">
        <v>847</v>
      </c>
      <c r="H147" t="s">
        <v>1073</v>
      </c>
      <c r="I147">
        <f t="shared" si="6"/>
        <v>30</v>
      </c>
      <c r="J147">
        <f t="shared" si="7"/>
        <v>13.607771100000001</v>
      </c>
      <c r="K147">
        <v>9.9740000000000002</v>
      </c>
      <c r="L147">
        <f t="shared" si="8"/>
        <v>135.72390895140001</v>
      </c>
    </row>
    <row r="148" spans="1:12" x14ac:dyDescent="0.2">
      <c r="A148" s="4">
        <v>43497</v>
      </c>
      <c r="B148" t="s">
        <v>517</v>
      </c>
      <c r="C148">
        <v>1</v>
      </c>
      <c r="D148">
        <v>4</v>
      </c>
      <c r="E148">
        <v>5</v>
      </c>
      <c r="F148" t="s">
        <v>390</v>
      </c>
      <c r="G148" t="s">
        <v>847</v>
      </c>
      <c r="H148" t="s">
        <v>1073</v>
      </c>
      <c r="I148">
        <f t="shared" si="6"/>
        <v>20</v>
      </c>
      <c r="J148">
        <f t="shared" si="7"/>
        <v>9.0718474000000011</v>
      </c>
      <c r="K148">
        <v>9.9740000000000002</v>
      </c>
      <c r="L148">
        <f t="shared" si="8"/>
        <v>90.482605967600009</v>
      </c>
    </row>
    <row r="149" spans="1:12" x14ac:dyDescent="0.2">
      <c r="A149" s="4">
        <v>43497</v>
      </c>
      <c r="B149" t="s">
        <v>517</v>
      </c>
      <c r="C149">
        <v>5</v>
      </c>
      <c r="D149">
        <v>4</v>
      </c>
      <c r="E149">
        <v>5</v>
      </c>
      <c r="F149" t="s">
        <v>391</v>
      </c>
      <c r="G149" t="s">
        <v>847</v>
      </c>
      <c r="H149" t="s">
        <v>1073</v>
      </c>
      <c r="I149">
        <f t="shared" si="6"/>
        <v>100</v>
      </c>
      <c r="J149">
        <f t="shared" si="7"/>
        <v>45.359237</v>
      </c>
      <c r="K149">
        <v>9.9740000000000002</v>
      </c>
      <c r="L149">
        <f t="shared" si="8"/>
        <v>452.413029838</v>
      </c>
    </row>
    <row r="150" spans="1:12" x14ac:dyDescent="0.2">
      <c r="A150" s="4">
        <v>43497</v>
      </c>
      <c r="B150" t="s">
        <v>517</v>
      </c>
      <c r="C150">
        <v>8</v>
      </c>
      <c r="D150">
        <v>4</v>
      </c>
      <c r="E150">
        <v>5</v>
      </c>
      <c r="F150" t="s">
        <v>392</v>
      </c>
      <c r="G150" t="s">
        <v>847</v>
      </c>
      <c r="H150" t="s">
        <v>1073</v>
      </c>
      <c r="I150">
        <f t="shared" si="6"/>
        <v>160</v>
      </c>
      <c r="J150">
        <f t="shared" si="7"/>
        <v>72.574779200000009</v>
      </c>
      <c r="K150">
        <v>9.9740000000000002</v>
      </c>
      <c r="L150">
        <f t="shared" si="8"/>
        <v>723.86084774080007</v>
      </c>
    </row>
    <row r="151" spans="1:12" x14ac:dyDescent="0.2">
      <c r="A151" s="4">
        <v>43497</v>
      </c>
      <c r="B151" t="s">
        <v>517</v>
      </c>
      <c r="C151">
        <v>1</v>
      </c>
      <c r="D151">
        <v>2</v>
      </c>
      <c r="E151">
        <v>5</v>
      </c>
      <c r="F151" t="s">
        <v>732</v>
      </c>
      <c r="G151" t="s">
        <v>847</v>
      </c>
      <c r="H151" t="s">
        <v>1073</v>
      </c>
      <c r="I151">
        <f t="shared" si="6"/>
        <v>10</v>
      </c>
      <c r="J151">
        <f t="shared" si="7"/>
        <v>4.5359237000000006</v>
      </c>
      <c r="K151">
        <v>9.9740000000000002</v>
      </c>
      <c r="L151">
        <f t="shared" si="8"/>
        <v>45.241302983800004</v>
      </c>
    </row>
    <row r="152" spans="1:12" x14ac:dyDescent="0.2">
      <c r="A152" s="4">
        <v>43497</v>
      </c>
      <c r="B152" t="s">
        <v>517</v>
      </c>
      <c r="C152">
        <v>2</v>
      </c>
      <c r="D152">
        <v>4</v>
      </c>
      <c r="E152">
        <v>2.5</v>
      </c>
      <c r="F152" t="s">
        <v>1009</v>
      </c>
      <c r="G152" t="s">
        <v>847</v>
      </c>
      <c r="H152" t="s">
        <v>1073</v>
      </c>
      <c r="I152">
        <f t="shared" si="6"/>
        <v>20</v>
      </c>
      <c r="J152">
        <f t="shared" si="7"/>
        <v>9.0718474000000011</v>
      </c>
      <c r="K152">
        <v>9.9740000000000002</v>
      </c>
      <c r="L152">
        <f t="shared" si="8"/>
        <v>90.482605967600009</v>
      </c>
    </row>
    <row r="153" spans="1:12" x14ac:dyDescent="0.2">
      <c r="A153" s="4">
        <v>43497</v>
      </c>
      <c r="B153" t="s">
        <v>517</v>
      </c>
      <c r="C153">
        <v>1</v>
      </c>
      <c r="D153">
        <v>8</v>
      </c>
      <c r="E153">
        <v>1.25</v>
      </c>
      <c r="F153" t="s">
        <v>1010</v>
      </c>
      <c r="G153" t="s">
        <v>847</v>
      </c>
      <c r="H153" t="s">
        <v>1073</v>
      </c>
      <c r="I153">
        <f t="shared" si="6"/>
        <v>10</v>
      </c>
      <c r="J153">
        <f t="shared" si="7"/>
        <v>4.5359237000000006</v>
      </c>
      <c r="K153">
        <v>9.9740000000000002</v>
      </c>
      <c r="L153">
        <f t="shared" si="8"/>
        <v>45.241302983800004</v>
      </c>
    </row>
    <row r="154" spans="1:12" x14ac:dyDescent="0.2">
      <c r="A154" s="4">
        <v>43497</v>
      </c>
      <c r="B154" t="s">
        <v>517</v>
      </c>
      <c r="C154">
        <v>1</v>
      </c>
      <c r="D154">
        <v>4</v>
      </c>
      <c r="E154">
        <v>2.5</v>
      </c>
      <c r="F154" t="s">
        <v>1011</v>
      </c>
      <c r="G154" t="s">
        <v>847</v>
      </c>
      <c r="H154" t="s">
        <v>1073</v>
      </c>
      <c r="I154">
        <f t="shared" si="6"/>
        <v>10</v>
      </c>
      <c r="J154">
        <f t="shared" si="7"/>
        <v>4.5359237000000006</v>
      </c>
      <c r="K154">
        <v>9.9740000000000002</v>
      </c>
      <c r="L154">
        <f t="shared" si="8"/>
        <v>45.241302983800004</v>
      </c>
    </row>
    <row r="155" spans="1:12" x14ac:dyDescent="0.2">
      <c r="A155" s="4">
        <v>43497</v>
      </c>
      <c r="B155" t="s">
        <v>517</v>
      </c>
      <c r="C155">
        <v>2</v>
      </c>
      <c r="D155">
        <v>2</v>
      </c>
      <c r="E155">
        <v>5</v>
      </c>
      <c r="F155" t="s">
        <v>393</v>
      </c>
      <c r="G155" t="s">
        <v>847</v>
      </c>
      <c r="H155" t="s">
        <v>1073</v>
      </c>
      <c r="I155">
        <f t="shared" si="6"/>
        <v>20</v>
      </c>
      <c r="J155">
        <f t="shared" si="7"/>
        <v>9.0718474000000011</v>
      </c>
      <c r="K155">
        <v>9.9740000000000002</v>
      </c>
      <c r="L155">
        <f t="shared" si="8"/>
        <v>90.482605967600009</v>
      </c>
    </row>
    <row r="156" spans="1:12" x14ac:dyDescent="0.2">
      <c r="A156" s="4">
        <v>43500</v>
      </c>
      <c r="B156" t="s">
        <v>517</v>
      </c>
      <c r="C156">
        <v>2</v>
      </c>
      <c r="D156">
        <v>6</v>
      </c>
      <c r="E156">
        <v>3</v>
      </c>
      <c r="F156" t="s">
        <v>387</v>
      </c>
      <c r="G156" t="s">
        <v>847</v>
      </c>
      <c r="H156" t="s">
        <v>1073</v>
      </c>
      <c r="I156">
        <f t="shared" si="6"/>
        <v>36</v>
      </c>
      <c r="J156">
        <f t="shared" si="7"/>
        <v>16.329325319999999</v>
      </c>
      <c r="K156">
        <v>9.9740000000000002</v>
      </c>
      <c r="L156">
        <f t="shared" si="8"/>
        <v>162.86869074167998</v>
      </c>
    </row>
    <row r="157" spans="1:12" x14ac:dyDescent="0.2">
      <c r="A157" s="4">
        <v>43500</v>
      </c>
      <c r="B157" t="s">
        <v>517</v>
      </c>
      <c r="C157">
        <v>1</v>
      </c>
      <c r="D157">
        <v>6</v>
      </c>
      <c r="E157">
        <v>0.6875</v>
      </c>
      <c r="F157" t="s">
        <v>388</v>
      </c>
      <c r="G157" t="s">
        <v>847</v>
      </c>
      <c r="H157" t="s">
        <v>1073</v>
      </c>
      <c r="I157">
        <f t="shared" si="6"/>
        <v>4.125</v>
      </c>
      <c r="J157">
        <f t="shared" si="7"/>
        <v>1.8710685262500002</v>
      </c>
      <c r="K157">
        <v>9.9740000000000002</v>
      </c>
      <c r="L157">
        <f t="shared" si="8"/>
        <v>18.662037480817503</v>
      </c>
    </row>
    <row r="158" spans="1:12" x14ac:dyDescent="0.2">
      <c r="A158" s="4">
        <v>43500</v>
      </c>
      <c r="B158" t="s">
        <v>517</v>
      </c>
      <c r="C158">
        <v>2</v>
      </c>
      <c r="D158">
        <v>2</v>
      </c>
      <c r="E158">
        <v>5</v>
      </c>
      <c r="F158" t="s">
        <v>389</v>
      </c>
      <c r="G158" t="s">
        <v>847</v>
      </c>
      <c r="H158" t="s">
        <v>1073</v>
      </c>
      <c r="I158">
        <f t="shared" si="6"/>
        <v>20</v>
      </c>
      <c r="J158">
        <f t="shared" si="7"/>
        <v>9.0718474000000011</v>
      </c>
      <c r="K158">
        <v>9.9740000000000002</v>
      </c>
      <c r="L158">
        <f t="shared" si="8"/>
        <v>90.482605967600009</v>
      </c>
    </row>
    <row r="159" spans="1:12" x14ac:dyDescent="0.2">
      <c r="A159" s="4">
        <v>43500</v>
      </c>
      <c r="B159" t="s">
        <v>517</v>
      </c>
      <c r="C159">
        <v>1</v>
      </c>
      <c r="D159">
        <v>4</v>
      </c>
      <c r="E159">
        <v>5</v>
      </c>
      <c r="F159" t="s">
        <v>390</v>
      </c>
      <c r="G159" t="s">
        <v>847</v>
      </c>
      <c r="H159" t="s">
        <v>1073</v>
      </c>
      <c r="I159">
        <f t="shared" si="6"/>
        <v>20</v>
      </c>
      <c r="J159">
        <f t="shared" si="7"/>
        <v>9.0718474000000011</v>
      </c>
      <c r="K159">
        <v>9.9740000000000002</v>
      </c>
      <c r="L159">
        <f t="shared" si="8"/>
        <v>90.482605967600009</v>
      </c>
    </row>
    <row r="160" spans="1:12" x14ac:dyDescent="0.2">
      <c r="A160" s="4">
        <v>43500</v>
      </c>
      <c r="B160" t="s">
        <v>517</v>
      </c>
      <c r="C160">
        <v>4</v>
      </c>
      <c r="D160">
        <v>4</v>
      </c>
      <c r="E160">
        <v>5</v>
      </c>
      <c r="F160" t="s">
        <v>391</v>
      </c>
      <c r="G160" t="s">
        <v>847</v>
      </c>
      <c r="H160" t="s">
        <v>1073</v>
      </c>
      <c r="I160">
        <f t="shared" si="6"/>
        <v>80</v>
      </c>
      <c r="J160">
        <f t="shared" si="7"/>
        <v>36.287389600000004</v>
      </c>
      <c r="K160">
        <v>9.9740000000000002</v>
      </c>
      <c r="L160">
        <f t="shared" si="8"/>
        <v>361.93042387040003</v>
      </c>
    </row>
    <row r="161" spans="1:12" x14ac:dyDescent="0.2">
      <c r="A161" s="4">
        <v>43500</v>
      </c>
      <c r="B161" t="s">
        <v>517</v>
      </c>
      <c r="C161">
        <v>12</v>
      </c>
      <c r="D161">
        <v>4</v>
      </c>
      <c r="E161">
        <v>5</v>
      </c>
      <c r="F161" t="s">
        <v>392</v>
      </c>
      <c r="G161" t="s">
        <v>847</v>
      </c>
      <c r="H161" t="s">
        <v>1073</v>
      </c>
      <c r="I161">
        <f t="shared" si="6"/>
        <v>240</v>
      </c>
      <c r="J161">
        <f t="shared" si="7"/>
        <v>108.86216880000001</v>
      </c>
      <c r="K161">
        <v>9.9740000000000002</v>
      </c>
      <c r="L161">
        <f t="shared" si="8"/>
        <v>1085.7912716112</v>
      </c>
    </row>
    <row r="162" spans="1:12" x14ac:dyDescent="0.2">
      <c r="A162" s="4">
        <v>43500</v>
      </c>
      <c r="B162" t="s">
        <v>517</v>
      </c>
      <c r="C162">
        <v>1</v>
      </c>
      <c r="D162">
        <v>4</v>
      </c>
      <c r="E162">
        <v>2.5</v>
      </c>
      <c r="F162" t="s">
        <v>1008</v>
      </c>
      <c r="G162" t="s">
        <v>847</v>
      </c>
      <c r="H162" t="s">
        <v>1073</v>
      </c>
      <c r="I162">
        <f t="shared" si="6"/>
        <v>10</v>
      </c>
      <c r="J162">
        <f t="shared" si="7"/>
        <v>4.5359237000000006</v>
      </c>
      <c r="K162">
        <v>9.9740000000000002</v>
      </c>
      <c r="L162">
        <f t="shared" si="8"/>
        <v>45.241302983800004</v>
      </c>
    </row>
    <row r="163" spans="1:12" x14ac:dyDescent="0.2">
      <c r="A163" s="4">
        <v>43500</v>
      </c>
      <c r="B163" t="s">
        <v>517</v>
      </c>
      <c r="C163">
        <v>1</v>
      </c>
      <c r="D163">
        <v>8</v>
      </c>
      <c r="E163">
        <v>1.25</v>
      </c>
      <c r="F163" t="s">
        <v>1010</v>
      </c>
      <c r="G163" t="s">
        <v>847</v>
      </c>
      <c r="H163" t="s">
        <v>1073</v>
      </c>
      <c r="I163">
        <f t="shared" si="6"/>
        <v>10</v>
      </c>
      <c r="J163">
        <f t="shared" si="7"/>
        <v>4.5359237000000006</v>
      </c>
      <c r="K163">
        <v>9.9740000000000002</v>
      </c>
      <c r="L163">
        <f t="shared" si="8"/>
        <v>45.241302983800004</v>
      </c>
    </row>
    <row r="164" spans="1:12" x14ac:dyDescent="0.2">
      <c r="A164" s="4">
        <v>43500</v>
      </c>
      <c r="B164" t="s">
        <v>517</v>
      </c>
      <c r="C164">
        <v>1</v>
      </c>
      <c r="D164">
        <v>4</v>
      </c>
      <c r="E164">
        <v>2.5</v>
      </c>
      <c r="F164" t="s">
        <v>1011</v>
      </c>
      <c r="G164" t="s">
        <v>847</v>
      </c>
      <c r="H164" t="s">
        <v>1073</v>
      </c>
      <c r="I164">
        <f t="shared" si="6"/>
        <v>10</v>
      </c>
      <c r="J164">
        <f t="shared" si="7"/>
        <v>4.5359237000000006</v>
      </c>
      <c r="K164">
        <v>9.9740000000000002</v>
      </c>
      <c r="L164">
        <f t="shared" si="8"/>
        <v>45.241302983800004</v>
      </c>
    </row>
    <row r="165" spans="1:12" x14ac:dyDescent="0.2">
      <c r="A165" s="4">
        <v>43500</v>
      </c>
      <c r="B165" t="s">
        <v>517</v>
      </c>
      <c r="C165">
        <v>2</v>
      </c>
      <c r="D165">
        <v>2</v>
      </c>
      <c r="E165">
        <v>5</v>
      </c>
      <c r="F165" t="s">
        <v>393</v>
      </c>
      <c r="G165" t="s">
        <v>847</v>
      </c>
      <c r="H165" t="s">
        <v>1073</v>
      </c>
      <c r="I165">
        <f t="shared" si="6"/>
        <v>20</v>
      </c>
      <c r="J165">
        <f t="shared" si="7"/>
        <v>9.0718474000000011</v>
      </c>
      <c r="K165">
        <v>9.9740000000000002</v>
      </c>
      <c r="L165">
        <f t="shared" si="8"/>
        <v>90.482605967600009</v>
      </c>
    </row>
    <row r="166" spans="1:12" x14ac:dyDescent="0.2">
      <c r="A166" s="4">
        <v>43500</v>
      </c>
      <c r="B166" t="s">
        <v>517</v>
      </c>
      <c r="C166">
        <v>1</v>
      </c>
      <c r="D166">
        <v>6</v>
      </c>
      <c r="E166">
        <v>3</v>
      </c>
      <c r="F166" t="s">
        <v>744</v>
      </c>
      <c r="G166" t="s">
        <v>847</v>
      </c>
      <c r="H166" t="s">
        <v>1073</v>
      </c>
      <c r="I166">
        <f t="shared" si="6"/>
        <v>18</v>
      </c>
      <c r="J166">
        <f t="shared" si="7"/>
        <v>8.1646626599999994</v>
      </c>
      <c r="K166">
        <v>9.9740000000000002</v>
      </c>
      <c r="L166">
        <f t="shared" si="8"/>
        <v>81.434345370839992</v>
      </c>
    </row>
    <row r="167" spans="1:12" x14ac:dyDescent="0.2">
      <c r="A167" s="4">
        <v>43500</v>
      </c>
      <c r="B167" t="s">
        <v>517</v>
      </c>
      <c r="C167">
        <v>2</v>
      </c>
      <c r="D167">
        <v>6</v>
      </c>
      <c r="E167">
        <v>3</v>
      </c>
      <c r="F167" t="s">
        <v>387</v>
      </c>
      <c r="G167" t="s">
        <v>847</v>
      </c>
      <c r="H167" t="s">
        <v>1073</v>
      </c>
      <c r="I167">
        <f t="shared" si="6"/>
        <v>36</v>
      </c>
      <c r="J167">
        <f t="shared" si="7"/>
        <v>16.329325319999999</v>
      </c>
      <c r="K167">
        <v>9.9740000000000002</v>
      </c>
      <c r="L167">
        <f t="shared" si="8"/>
        <v>162.86869074167998</v>
      </c>
    </row>
    <row r="168" spans="1:12" x14ac:dyDescent="0.2">
      <c r="A168" s="4">
        <v>43503</v>
      </c>
      <c r="B168" t="s">
        <v>517</v>
      </c>
      <c r="C168">
        <v>2</v>
      </c>
      <c r="D168">
        <v>4</v>
      </c>
      <c r="E168">
        <v>5</v>
      </c>
      <c r="F168" t="s">
        <v>521</v>
      </c>
      <c r="G168" t="s">
        <v>847</v>
      </c>
      <c r="H168" t="s">
        <v>1073</v>
      </c>
      <c r="I168">
        <f t="shared" si="6"/>
        <v>40</v>
      </c>
      <c r="J168">
        <f t="shared" si="7"/>
        <v>18.143694800000002</v>
      </c>
      <c r="K168">
        <v>9.9740000000000002</v>
      </c>
      <c r="L168">
        <f t="shared" si="8"/>
        <v>180.96521193520002</v>
      </c>
    </row>
    <row r="169" spans="1:12" x14ac:dyDescent="0.2">
      <c r="A169" s="4">
        <v>43503</v>
      </c>
      <c r="B169" t="s">
        <v>517</v>
      </c>
      <c r="C169">
        <v>1</v>
      </c>
      <c r="D169">
        <v>4</v>
      </c>
      <c r="E169">
        <v>2.5</v>
      </c>
      <c r="F169" t="s">
        <v>1008</v>
      </c>
      <c r="G169" t="s">
        <v>847</v>
      </c>
      <c r="H169" t="s">
        <v>1073</v>
      </c>
      <c r="I169">
        <f t="shared" si="6"/>
        <v>10</v>
      </c>
      <c r="J169">
        <f t="shared" si="7"/>
        <v>4.5359237000000006</v>
      </c>
      <c r="K169">
        <v>9.9740000000000002</v>
      </c>
      <c r="L169">
        <f t="shared" si="8"/>
        <v>45.241302983800004</v>
      </c>
    </row>
    <row r="170" spans="1:12" x14ac:dyDescent="0.2">
      <c r="A170" s="4">
        <v>43503</v>
      </c>
      <c r="B170" t="s">
        <v>517</v>
      </c>
      <c r="C170">
        <v>1</v>
      </c>
      <c r="D170">
        <v>4</v>
      </c>
      <c r="E170">
        <v>2.5</v>
      </c>
      <c r="F170" t="s">
        <v>1011</v>
      </c>
      <c r="G170" t="s">
        <v>847</v>
      </c>
      <c r="H170" t="s">
        <v>1073</v>
      </c>
      <c r="I170">
        <f t="shared" si="6"/>
        <v>10</v>
      </c>
      <c r="J170">
        <f t="shared" si="7"/>
        <v>4.5359237000000006</v>
      </c>
      <c r="K170">
        <v>9.9740000000000002</v>
      </c>
      <c r="L170">
        <f t="shared" si="8"/>
        <v>45.241302983800004</v>
      </c>
    </row>
    <row r="171" spans="1:12" x14ac:dyDescent="0.2">
      <c r="A171" s="4">
        <v>43497</v>
      </c>
      <c r="B171" t="s">
        <v>517</v>
      </c>
      <c r="C171">
        <v>2</v>
      </c>
      <c r="D171">
        <v>1</v>
      </c>
      <c r="E171">
        <v>2</v>
      </c>
      <c r="F171" t="s">
        <v>380</v>
      </c>
      <c r="G171" t="s">
        <v>841</v>
      </c>
      <c r="H171" s="9" t="s">
        <v>1073</v>
      </c>
      <c r="I171">
        <f t="shared" si="6"/>
        <v>4</v>
      </c>
      <c r="J171">
        <f t="shared" si="7"/>
        <v>1.8143694800000001</v>
      </c>
      <c r="K171">
        <v>5.2</v>
      </c>
      <c r="L171">
        <f t="shared" si="8"/>
        <v>9.4347212960000011</v>
      </c>
    </row>
    <row r="172" spans="1:12" x14ac:dyDescent="0.2">
      <c r="A172" s="4">
        <v>43497</v>
      </c>
      <c r="B172" t="s">
        <v>517</v>
      </c>
      <c r="C172">
        <v>18</v>
      </c>
      <c r="D172">
        <v>2</v>
      </c>
      <c r="E172">
        <v>20</v>
      </c>
      <c r="F172" t="s">
        <v>381</v>
      </c>
      <c r="G172" t="s">
        <v>843</v>
      </c>
      <c r="H172" s="9" t="s">
        <v>1073</v>
      </c>
      <c r="I172">
        <f t="shared" si="6"/>
        <v>720</v>
      </c>
      <c r="J172">
        <f t="shared" si="7"/>
        <v>326.58650640000002</v>
      </c>
      <c r="K172">
        <v>3.754</v>
      </c>
      <c r="L172">
        <f t="shared" si="8"/>
        <v>1226.0057450256002</v>
      </c>
    </row>
    <row r="173" spans="1:12" x14ac:dyDescent="0.2">
      <c r="A173" s="4">
        <v>43497</v>
      </c>
      <c r="B173" t="s">
        <v>517</v>
      </c>
      <c r="C173">
        <v>2</v>
      </c>
      <c r="D173">
        <v>15</v>
      </c>
      <c r="E173">
        <v>2</v>
      </c>
      <c r="F173" t="s">
        <v>385</v>
      </c>
      <c r="G173" t="s">
        <v>843</v>
      </c>
      <c r="H173" s="9" t="s">
        <v>1073</v>
      </c>
      <c r="I173">
        <f t="shared" si="6"/>
        <v>60</v>
      </c>
      <c r="J173">
        <f t="shared" si="7"/>
        <v>27.215542200000002</v>
      </c>
      <c r="K173">
        <v>3.754</v>
      </c>
      <c r="L173">
        <f t="shared" si="8"/>
        <v>102.1671454188</v>
      </c>
    </row>
    <row r="174" spans="1:12" x14ac:dyDescent="0.2">
      <c r="A174" s="4">
        <v>43497</v>
      </c>
      <c r="B174" t="s">
        <v>517</v>
      </c>
      <c r="C174">
        <v>3</v>
      </c>
      <c r="D174">
        <v>1</v>
      </c>
      <c r="E174">
        <f>15*(24/16)</f>
        <v>22.5</v>
      </c>
      <c r="F174" t="s">
        <v>731</v>
      </c>
      <c r="G174" t="s">
        <v>843</v>
      </c>
      <c r="H174" s="9" t="s">
        <v>1073</v>
      </c>
      <c r="I174">
        <f t="shared" si="6"/>
        <v>67.5</v>
      </c>
      <c r="J174">
        <f t="shared" si="7"/>
        <v>30.617484975</v>
      </c>
      <c r="K174">
        <v>3.754</v>
      </c>
      <c r="L174">
        <f t="shared" si="8"/>
        <v>114.93803859614999</v>
      </c>
    </row>
    <row r="175" spans="1:12" x14ac:dyDescent="0.2">
      <c r="A175" s="4">
        <v>43500</v>
      </c>
      <c r="B175" t="s">
        <v>517</v>
      </c>
      <c r="C175">
        <v>8</v>
      </c>
      <c r="D175">
        <v>2</v>
      </c>
      <c r="E175">
        <v>20</v>
      </c>
      <c r="F175" t="s">
        <v>381</v>
      </c>
      <c r="G175" t="s">
        <v>843</v>
      </c>
      <c r="H175" s="9" t="s">
        <v>1073</v>
      </c>
      <c r="I175">
        <f t="shared" si="6"/>
        <v>320</v>
      </c>
      <c r="J175">
        <f t="shared" si="7"/>
        <v>145.14955840000002</v>
      </c>
      <c r="K175">
        <v>3.754</v>
      </c>
      <c r="L175">
        <f t="shared" si="8"/>
        <v>544.89144223360006</v>
      </c>
    </row>
    <row r="176" spans="1:12" x14ac:dyDescent="0.2">
      <c r="A176" s="4">
        <v>43500</v>
      </c>
      <c r="B176" t="s">
        <v>517</v>
      </c>
      <c r="C176">
        <v>2</v>
      </c>
      <c r="D176">
        <v>15</v>
      </c>
      <c r="E176">
        <v>2</v>
      </c>
      <c r="F176" t="s">
        <v>385</v>
      </c>
      <c r="G176" t="s">
        <v>843</v>
      </c>
      <c r="H176" s="9" t="s">
        <v>1073</v>
      </c>
      <c r="I176">
        <f t="shared" si="6"/>
        <v>60</v>
      </c>
      <c r="J176">
        <f t="shared" si="7"/>
        <v>27.215542200000002</v>
      </c>
      <c r="K176">
        <v>3.754</v>
      </c>
      <c r="L176">
        <f t="shared" si="8"/>
        <v>102.1671454188</v>
      </c>
    </row>
    <row r="177" spans="1:12" x14ac:dyDescent="0.2">
      <c r="A177" s="4">
        <v>43500</v>
      </c>
      <c r="B177" t="s">
        <v>517</v>
      </c>
      <c r="C177">
        <v>2</v>
      </c>
      <c r="D177">
        <v>15</v>
      </c>
      <c r="E177">
        <f>24/16</f>
        <v>1.5</v>
      </c>
      <c r="F177" t="s">
        <v>386</v>
      </c>
      <c r="G177" t="s">
        <v>843</v>
      </c>
      <c r="H177" s="9" t="s">
        <v>1073</v>
      </c>
      <c r="I177">
        <f t="shared" si="6"/>
        <v>45</v>
      </c>
      <c r="J177">
        <f t="shared" si="7"/>
        <v>20.411656650000001</v>
      </c>
      <c r="K177">
        <v>3.754</v>
      </c>
      <c r="L177">
        <f t="shared" si="8"/>
        <v>76.62535906410001</v>
      </c>
    </row>
    <row r="178" spans="1:12" x14ac:dyDescent="0.2">
      <c r="A178" s="4">
        <v>43503</v>
      </c>
      <c r="B178" t="s">
        <v>517</v>
      </c>
      <c r="C178">
        <v>3</v>
      </c>
      <c r="D178">
        <v>2</v>
      </c>
      <c r="E178">
        <v>20</v>
      </c>
      <c r="F178" t="s">
        <v>381</v>
      </c>
      <c r="G178" t="s">
        <v>843</v>
      </c>
      <c r="H178" s="9" t="s">
        <v>1073</v>
      </c>
      <c r="I178">
        <f t="shared" si="6"/>
        <v>120</v>
      </c>
      <c r="J178">
        <f t="shared" si="7"/>
        <v>54.431084400000003</v>
      </c>
      <c r="K178">
        <v>3.754</v>
      </c>
      <c r="L178">
        <f t="shared" si="8"/>
        <v>204.33429083760001</v>
      </c>
    </row>
    <row r="179" spans="1:12" x14ac:dyDescent="0.2">
      <c r="A179" s="4">
        <v>43503</v>
      </c>
      <c r="B179" t="s">
        <v>517</v>
      </c>
      <c r="C179">
        <v>2</v>
      </c>
      <c r="D179">
        <v>12</v>
      </c>
      <c r="E179">
        <v>2.0499999999999998</v>
      </c>
      <c r="F179" t="s">
        <v>752</v>
      </c>
      <c r="G179" t="s">
        <v>957</v>
      </c>
      <c r="H179" s="9" t="s">
        <v>1073</v>
      </c>
      <c r="I179">
        <f t="shared" si="6"/>
        <v>49.199999999999996</v>
      </c>
      <c r="J179">
        <f t="shared" si="7"/>
        <v>22.316744604</v>
      </c>
      <c r="K179">
        <f>(0.5*1.323)+(0.5*5.2)</f>
        <v>3.2614999999999998</v>
      </c>
      <c r="L179">
        <f t="shared" si="8"/>
        <v>72.786062525945994</v>
      </c>
    </row>
    <row r="180" spans="1:12" x14ac:dyDescent="0.2">
      <c r="A180" s="4">
        <v>43503</v>
      </c>
      <c r="B180" t="s">
        <v>517</v>
      </c>
      <c r="C180">
        <v>1</v>
      </c>
      <c r="D180">
        <v>12</v>
      </c>
      <c r="E180">
        <v>0.125</v>
      </c>
      <c r="F180" t="s">
        <v>668</v>
      </c>
      <c r="G180" t="s">
        <v>698</v>
      </c>
      <c r="H180" s="9" t="s">
        <v>1073</v>
      </c>
      <c r="I180">
        <f t="shared" si="6"/>
        <v>1.5</v>
      </c>
      <c r="J180">
        <f t="shared" si="7"/>
        <v>0.68038855500000006</v>
      </c>
      <c r="K180">
        <v>5.32</v>
      </c>
      <c r="L180">
        <f t="shared" si="8"/>
        <v>3.6196671126000006</v>
      </c>
    </row>
    <row r="181" spans="1:12" x14ac:dyDescent="0.2">
      <c r="A181" s="4">
        <v>43497</v>
      </c>
      <c r="B181" t="s">
        <v>517</v>
      </c>
      <c r="C181">
        <v>1</v>
      </c>
      <c r="D181">
        <v>6</v>
      </c>
      <c r="E181">
        <v>5</v>
      </c>
      <c r="F181" t="s">
        <v>646</v>
      </c>
      <c r="G181" s="14" t="s">
        <v>926</v>
      </c>
      <c r="H181" s="9" t="s">
        <v>1071</v>
      </c>
      <c r="I181">
        <f t="shared" si="6"/>
        <v>30</v>
      </c>
      <c r="J181">
        <f t="shared" si="7"/>
        <v>13.607771100000001</v>
      </c>
      <c r="L181">
        <f t="shared" si="8"/>
        <v>0</v>
      </c>
    </row>
    <row r="182" spans="1:12" x14ac:dyDescent="0.2">
      <c r="A182" s="4">
        <v>43500</v>
      </c>
      <c r="B182" t="s">
        <v>517</v>
      </c>
      <c r="C182">
        <v>1</v>
      </c>
      <c r="D182">
        <v>6</v>
      </c>
      <c r="E182">
        <v>5</v>
      </c>
      <c r="F182" t="s">
        <v>646</v>
      </c>
      <c r="G182" s="14" t="s">
        <v>926</v>
      </c>
      <c r="H182" s="9" t="s">
        <v>1071</v>
      </c>
      <c r="I182">
        <f t="shared" si="6"/>
        <v>30</v>
      </c>
      <c r="J182">
        <f t="shared" si="7"/>
        <v>13.607771100000001</v>
      </c>
      <c r="L182">
        <f t="shared" si="8"/>
        <v>0</v>
      </c>
    </row>
    <row r="183" spans="1:12" x14ac:dyDescent="0.2">
      <c r="A183" s="4">
        <v>43497</v>
      </c>
      <c r="B183" t="s">
        <v>517</v>
      </c>
      <c r="C183">
        <v>2</v>
      </c>
      <c r="D183">
        <v>20</v>
      </c>
      <c r="E183">
        <v>0.5</v>
      </c>
      <c r="F183" t="s">
        <v>465</v>
      </c>
      <c r="G183" t="s">
        <v>842</v>
      </c>
      <c r="H183" s="9" t="s">
        <v>1073</v>
      </c>
      <c r="I183">
        <f t="shared" si="6"/>
        <v>20</v>
      </c>
      <c r="J183">
        <f t="shared" si="7"/>
        <v>9.0718474000000011</v>
      </c>
      <c r="K183">
        <v>1.23</v>
      </c>
      <c r="L183">
        <f t="shared" si="8"/>
        <v>11.158372302000002</v>
      </c>
    </row>
    <row r="184" spans="1:12" x14ac:dyDescent="0.2">
      <c r="A184" s="4">
        <v>43500</v>
      </c>
      <c r="B184" t="s">
        <v>517</v>
      </c>
      <c r="C184">
        <v>2</v>
      </c>
      <c r="D184">
        <v>12</v>
      </c>
      <c r="E184">
        <v>0.125</v>
      </c>
      <c r="F184" t="s">
        <v>520</v>
      </c>
      <c r="G184" t="s">
        <v>933</v>
      </c>
      <c r="H184" s="9" t="s">
        <v>1071</v>
      </c>
      <c r="I184">
        <f t="shared" si="6"/>
        <v>3</v>
      </c>
      <c r="J184">
        <f t="shared" si="7"/>
        <v>1.3607771100000001</v>
      </c>
      <c r="K184">
        <v>0.25800000000000001</v>
      </c>
      <c r="L184">
        <f t="shared" si="8"/>
        <v>0.35108049438000005</v>
      </c>
    </row>
    <row r="185" spans="1:12" x14ac:dyDescent="0.2">
      <c r="A185" s="4">
        <v>43500</v>
      </c>
      <c r="B185" t="s">
        <v>517</v>
      </c>
      <c r="C185">
        <v>2</v>
      </c>
      <c r="D185">
        <v>20</v>
      </c>
      <c r="E185">
        <v>0.5</v>
      </c>
      <c r="F185" t="s">
        <v>465</v>
      </c>
      <c r="G185" t="s">
        <v>842</v>
      </c>
      <c r="H185" s="9" t="s">
        <v>1073</v>
      </c>
      <c r="I185">
        <f t="shared" si="6"/>
        <v>20</v>
      </c>
      <c r="J185">
        <f t="shared" si="7"/>
        <v>9.0718474000000011</v>
      </c>
      <c r="K185">
        <v>1.23</v>
      </c>
      <c r="L185">
        <f t="shared" si="8"/>
        <v>11.158372302000002</v>
      </c>
    </row>
    <row r="186" spans="1:12" x14ac:dyDescent="0.2">
      <c r="A186" s="4">
        <v>43503</v>
      </c>
      <c r="B186" t="s">
        <v>517</v>
      </c>
      <c r="C186">
        <v>2</v>
      </c>
      <c r="D186">
        <v>20</v>
      </c>
      <c r="E186">
        <v>0.5</v>
      </c>
      <c r="F186" t="s">
        <v>465</v>
      </c>
      <c r="G186" t="s">
        <v>842</v>
      </c>
      <c r="H186" s="9" t="s">
        <v>1073</v>
      </c>
      <c r="I186">
        <f t="shared" si="6"/>
        <v>20</v>
      </c>
      <c r="J186">
        <f t="shared" si="7"/>
        <v>9.0718474000000011</v>
      </c>
      <c r="K186">
        <v>1.23</v>
      </c>
      <c r="L186">
        <f t="shared" si="8"/>
        <v>11.158372302000002</v>
      </c>
    </row>
    <row r="187" spans="1:12" x14ac:dyDescent="0.2">
      <c r="A187" s="4">
        <v>43497</v>
      </c>
      <c r="B187" t="s">
        <v>517</v>
      </c>
      <c r="C187">
        <v>3</v>
      </c>
      <c r="D187">
        <v>1</v>
      </c>
      <c r="E187">
        <f t="shared" ref="E187:E192" si="9">2.5*8.6</f>
        <v>21.5</v>
      </c>
      <c r="F187" t="s">
        <v>463</v>
      </c>
      <c r="G187" t="s">
        <v>965</v>
      </c>
      <c r="H187" s="9" t="s">
        <v>1071</v>
      </c>
      <c r="I187">
        <f t="shared" si="6"/>
        <v>64.5</v>
      </c>
      <c r="J187">
        <f t="shared" si="7"/>
        <v>29.256707864999999</v>
      </c>
      <c r="K187">
        <v>0.25800000000000001</v>
      </c>
      <c r="L187">
        <f t="shared" si="8"/>
        <v>7.5482306291699999</v>
      </c>
    </row>
    <row r="188" spans="1:12" x14ac:dyDescent="0.2">
      <c r="A188" s="4">
        <v>43497</v>
      </c>
      <c r="B188" t="s">
        <v>517</v>
      </c>
      <c r="C188">
        <v>3</v>
      </c>
      <c r="D188">
        <v>1</v>
      </c>
      <c r="E188">
        <f t="shared" si="9"/>
        <v>21.5</v>
      </c>
      <c r="F188" t="s">
        <v>464</v>
      </c>
      <c r="G188" t="s">
        <v>965</v>
      </c>
      <c r="H188" s="9" t="s">
        <v>1071</v>
      </c>
      <c r="I188">
        <f t="shared" si="6"/>
        <v>64.5</v>
      </c>
      <c r="J188">
        <f t="shared" si="7"/>
        <v>29.256707864999999</v>
      </c>
      <c r="K188">
        <v>0.25800000000000001</v>
      </c>
      <c r="L188">
        <f t="shared" si="8"/>
        <v>7.5482306291699999</v>
      </c>
    </row>
    <row r="189" spans="1:12" x14ac:dyDescent="0.2">
      <c r="A189" s="4">
        <v>43500</v>
      </c>
      <c r="B189" t="s">
        <v>517</v>
      </c>
      <c r="C189">
        <v>3</v>
      </c>
      <c r="D189">
        <v>1</v>
      </c>
      <c r="E189">
        <f t="shared" si="9"/>
        <v>21.5</v>
      </c>
      <c r="F189" t="s">
        <v>463</v>
      </c>
      <c r="G189" t="s">
        <v>965</v>
      </c>
      <c r="H189" s="9" t="s">
        <v>1071</v>
      </c>
      <c r="I189">
        <f t="shared" si="6"/>
        <v>64.5</v>
      </c>
      <c r="J189">
        <f t="shared" si="7"/>
        <v>29.256707864999999</v>
      </c>
      <c r="K189">
        <v>0.25800000000000001</v>
      </c>
      <c r="L189">
        <f t="shared" si="8"/>
        <v>7.5482306291699999</v>
      </c>
    </row>
    <row r="190" spans="1:12" x14ac:dyDescent="0.2">
      <c r="A190" s="4">
        <v>43500</v>
      </c>
      <c r="B190" t="s">
        <v>517</v>
      </c>
      <c r="C190">
        <v>3</v>
      </c>
      <c r="D190">
        <v>1</v>
      </c>
      <c r="E190">
        <f t="shared" si="9"/>
        <v>21.5</v>
      </c>
      <c r="F190" t="s">
        <v>464</v>
      </c>
      <c r="G190" t="s">
        <v>965</v>
      </c>
      <c r="H190" s="9" t="s">
        <v>1071</v>
      </c>
      <c r="I190">
        <f t="shared" si="6"/>
        <v>64.5</v>
      </c>
      <c r="J190">
        <f t="shared" si="7"/>
        <v>29.256707864999999</v>
      </c>
      <c r="K190">
        <v>0.25800000000000001</v>
      </c>
      <c r="L190">
        <f t="shared" si="8"/>
        <v>7.5482306291699999</v>
      </c>
    </row>
    <row r="191" spans="1:12" x14ac:dyDescent="0.2">
      <c r="A191" s="4">
        <v>43503</v>
      </c>
      <c r="B191" t="s">
        <v>517</v>
      </c>
      <c r="C191">
        <v>3</v>
      </c>
      <c r="D191">
        <v>1</v>
      </c>
      <c r="E191">
        <f t="shared" si="9"/>
        <v>21.5</v>
      </c>
      <c r="F191" t="s">
        <v>463</v>
      </c>
      <c r="G191" t="s">
        <v>965</v>
      </c>
      <c r="H191" s="9" t="s">
        <v>1071</v>
      </c>
      <c r="I191">
        <f t="shared" si="6"/>
        <v>64.5</v>
      </c>
      <c r="J191">
        <f t="shared" si="7"/>
        <v>29.256707864999999</v>
      </c>
      <c r="K191">
        <v>0.25800000000000001</v>
      </c>
      <c r="L191">
        <f t="shared" si="8"/>
        <v>7.5482306291699999</v>
      </c>
    </row>
    <row r="192" spans="1:12" x14ac:dyDescent="0.2">
      <c r="A192" s="4">
        <v>43503</v>
      </c>
      <c r="B192" t="s">
        <v>517</v>
      </c>
      <c r="C192">
        <v>1</v>
      </c>
      <c r="D192">
        <v>1</v>
      </c>
      <c r="E192">
        <f t="shared" si="9"/>
        <v>21.5</v>
      </c>
      <c r="F192" t="s">
        <v>464</v>
      </c>
      <c r="G192" t="s">
        <v>965</v>
      </c>
      <c r="H192" s="9" t="s">
        <v>1071</v>
      </c>
      <c r="I192">
        <f t="shared" si="6"/>
        <v>21.5</v>
      </c>
      <c r="J192">
        <f t="shared" si="7"/>
        <v>9.7522359549999997</v>
      </c>
      <c r="K192">
        <v>0.25800000000000001</v>
      </c>
      <c r="L192">
        <f t="shared" si="8"/>
        <v>2.5160768763900001</v>
      </c>
    </row>
    <row r="193" spans="1:12" x14ac:dyDescent="0.2">
      <c r="A193" s="4">
        <v>43497</v>
      </c>
      <c r="B193" t="s">
        <v>517</v>
      </c>
      <c r="C193">
        <v>5</v>
      </c>
      <c r="D193">
        <v>2</v>
      </c>
      <c r="E193">
        <v>6</v>
      </c>
      <c r="F193" t="s">
        <v>383</v>
      </c>
      <c r="G193" t="s">
        <v>846</v>
      </c>
      <c r="H193" s="9" t="s">
        <v>1073</v>
      </c>
      <c r="I193">
        <f t="shared" ref="I193:I241" si="10">C193*D193*E193</f>
        <v>60</v>
      </c>
      <c r="J193">
        <f t="shared" si="7"/>
        <v>27.215542200000002</v>
      </c>
      <c r="K193">
        <v>1.33</v>
      </c>
      <c r="L193">
        <f t="shared" si="8"/>
        <v>36.196671126000005</v>
      </c>
    </row>
    <row r="194" spans="1:12" x14ac:dyDescent="0.2">
      <c r="A194" s="4">
        <v>43497</v>
      </c>
      <c r="B194" t="s">
        <v>517</v>
      </c>
      <c r="C194">
        <v>5</v>
      </c>
      <c r="D194">
        <v>2</v>
      </c>
      <c r="E194">
        <v>6</v>
      </c>
      <c r="F194" t="s">
        <v>384</v>
      </c>
      <c r="G194" t="s">
        <v>846</v>
      </c>
      <c r="H194" s="9" t="s">
        <v>1073</v>
      </c>
      <c r="I194">
        <f t="shared" si="10"/>
        <v>60</v>
      </c>
      <c r="J194">
        <f t="shared" si="7"/>
        <v>27.215542200000002</v>
      </c>
      <c r="K194">
        <v>1.33</v>
      </c>
      <c r="L194">
        <f t="shared" si="8"/>
        <v>36.196671126000005</v>
      </c>
    </row>
    <row r="195" spans="1:12" x14ac:dyDescent="0.2">
      <c r="A195" s="4">
        <v>43500</v>
      </c>
      <c r="B195" t="s">
        <v>517</v>
      </c>
      <c r="C195">
        <v>5</v>
      </c>
      <c r="D195">
        <v>2</v>
      </c>
      <c r="E195">
        <v>6</v>
      </c>
      <c r="F195" t="s">
        <v>383</v>
      </c>
      <c r="G195" t="s">
        <v>846</v>
      </c>
      <c r="H195" s="9" t="s">
        <v>1073</v>
      </c>
      <c r="I195">
        <f t="shared" si="10"/>
        <v>60</v>
      </c>
      <c r="J195">
        <f t="shared" ref="J195:J241" si="11">CONVERT(I195,"lbm","kg")</f>
        <v>27.215542200000002</v>
      </c>
      <c r="K195">
        <v>1.33</v>
      </c>
      <c r="L195">
        <f t="shared" ref="L195:L241" si="12">J195*K195</f>
        <v>36.196671126000005</v>
      </c>
    </row>
    <row r="196" spans="1:12" x14ac:dyDescent="0.2">
      <c r="A196" s="4">
        <v>43500</v>
      </c>
      <c r="B196" t="s">
        <v>517</v>
      </c>
      <c r="C196">
        <v>5</v>
      </c>
      <c r="D196">
        <v>2</v>
      </c>
      <c r="E196">
        <v>6</v>
      </c>
      <c r="F196" t="s">
        <v>384</v>
      </c>
      <c r="G196" t="s">
        <v>846</v>
      </c>
      <c r="H196" s="9" t="s">
        <v>1073</v>
      </c>
      <c r="I196">
        <f t="shared" si="10"/>
        <v>60</v>
      </c>
      <c r="J196">
        <f t="shared" si="11"/>
        <v>27.215542200000002</v>
      </c>
      <c r="K196">
        <v>1.33</v>
      </c>
      <c r="L196">
        <f t="shared" si="12"/>
        <v>36.196671126000005</v>
      </c>
    </row>
    <row r="197" spans="1:12" x14ac:dyDescent="0.2">
      <c r="A197" s="4">
        <v>43503</v>
      </c>
      <c r="B197" t="s">
        <v>517</v>
      </c>
      <c r="C197">
        <v>2</v>
      </c>
      <c r="D197">
        <v>2</v>
      </c>
      <c r="E197">
        <v>6</v>
      </c>
      <c r="F197" t="s">
        <v>383</v>
      </c>
      <c r="G197" t="s">
        <v>846</v>
      </c>
      <c r="H197" s="9" t="s">
        <v>1073</v>
      </c>
      <c r="I197">
        <f t="shared" si="10"/>
        <v>24</v>
      </c>
      <c r="J197">
        <f t="shared" si="11"/>
        <v>10.886216880000001</v>
      </c>
      <c r="K197">
        <v>1.33</v>
      </c>
      <c r="L197">
        <f t="shared" si="12"/>
        <v>14.478668450400002</v>
      </c>
    </row>
    <row r="198" spans="1:12" x14ac:dyDescent="0.2">
      <c r="A198" s="4">
        <v>43503</v>
      </c>
      <c r="B198" t="s">
        <v>517</v>
      </c>
      <c r="C198">
        <v>1</v>
      </c>
      <c r="D198">
        <v>2</v>
      </c>
      <c r="E198">
        <v>6</v>
      </c>
      <c r="F198" t="s">
        <v>384</v>
      </c>
      <c r="G198" t="s">
        <v>846</v>
      </c>
      <c r="H198" s="9" t="s">
        <v>1073</v>
      </c>
      <c r="I198">
        <f t="shared" si="10"/>
        <v>12</v>
      </c>
      <c r="J198">
        <f t="shared" si="11"/>
        <v>5.4431084400000005</v>
      </c>
      <c r="K198">
        <v>1.33</v>
      </c>
      <c r="L198">
        <f t="shared" si="12"/>
        <v>7.2393342252000012</v>
      </c>
    </row>
    <row r="199" spans="1:12" x14ac:dyDescent="0.2">
      <c r="A199" s="4">
        <v>43497</v>
      </c>
      <c r="B199" t="s">
        <v>531</v>
      </c>
      <c r="C199">
        <v>5</v>
      </c>
      <c r="D199">
        <v>4</v>
      </c>
      <c r="E199">
        <v>6</v>
      </c>
      <c r="F199" t="s">
        <v>537</v>
      </c>
      <c r="G199" t="s">
        <v>858</v>
      </c>
      <c r="H199" t="s">
        <v>1071</v>
      </c>
      <c r="I199">
        <f t="shared" si="10"/>
        <v>120</v>
      </c>
      <c r="J199">
        <f t="shared" si="11"/>
        <v>54.431084400000003</v>
      </c>
      <c r="K199">
        <v>0.374</v>
      </c>
      <c r="L199">
        <f t="shared" si="12"/>
        <v>20.3572255656</v>
      </c>
    </row>
    <row r="200" spans="1:12" x14ac:dyDescent="0.2">
      <c r="A200" s="4">
        <v>43497</v>
      </c>
      <c r="B200" t="s">
        <v>531</v>
      </c>
      <c r="C200">
        <v>4</v>
      </c>
      <c r="D200">
        <v>40</v>
      </c>
      <c r="E200">
        <f>4/16</f>
        <v>0.25</v>
      </c>
      <c r="F200" t="s">
        <v>536</v>
      </c>
      <c r="G200" s="6" t="s">
        <v>983</v>
      </c>
      <c r="H200" t="s">
        <v>1071</v>
      </c>
      <c r="I200">
        <f t="shared" si="10"/>
        <v>40</v>
      </c>
      <c r="J200">
        <f t="shared" si="11"/>
        <v>18.143694800000002</v>
      </c>
      <c r="K200">
        <v>3.5270000000000001</v>
      </c>
      <c r="L200">
        <f t="shared" si="12"/>
        <v>63.992811559600007</v>
      </c>
    </row>
    <row r="201" spans="1:12" x14ac:dyDescent="0.2">
      <c r="A201" s="4">
        <v>43500</v>
      </c>
      <c r="B201" t="s">
        <v>531</v>
      </c>
      <c r="C201">
        <v>3</v>
      </c>
      <c r="D201">
        <v>48</v>
      </c>
      <c r="E201">
        <v>0.18124999999999999</v>
      </c>
      <c r="F201" t="s">
        <v>417</v>
      </c>
      <c r="G201" t="s">
        <v>895</v>
      </c>
      <c r="H201" t="s">
        <v>1071</v>
      </c>
      <c r="I201">
        <f t="shared" si="10"/>
        <v>26.099999999999998</v>
      </c>
      <c r="J201">
        <f t="shared" si="11"/>
        <v>11.838760856999999</v>
      </c>
      <c r="K201" s="38">
        <v>6.87</v>
      </c>
      <c r="L201">
        <f t="shared" si="12"/>
        <v>81.332287087589989</v>
      </c>
    </row>
    <row r="202" spans="1:12" x14ac:dyDescent="0.2">
      <c r="A202" s="4">
        <v>43503</v>
      </c>
      <c r="B202" t="s">
        <v>531</v>
      </c>
      <c r="C202">
        <v>1</v>
      </c>
      <c r="D202">
        <v>12</v>
      </c>
      <c r="E202">
        <f>10*0.177</f>
        <v>1.77</v>
      </c>
      <c r="F202" t="s">
        <v>651</v>
      </c>
      <c r="G202" s="6" t="s">
        <v>868</v>
      </c>
      <c r="H202" t="s">
        <v>1071</v>
      </c>
      <c r="I202">
        <f t="shared" si="10"/>
        <v>21.240000000000002</v>
      </c>
      <c r="J202">
        <f t="shared" si="11"/>
        <v>9.634301938800002</v>
      </c>
      <c r="K202">
        <v>1.2</v>
      </c>
      <c r="L202">
        <f t="shared" si="12"/>
        <v>11.561162326560002</v>
      </c>
    </row>
    <row r="203" spans="1:12" x14ac:dyDescent="0.2">
      <c r="A203" s="4">
        <v>43497</v>
      </c>
      <c r="B203" t="s">
        <v>531</v>
      </c>
      <c r="C203">
        <v>1</v>
      </c>
      <c r="D203">
        <v>12</v>
      </c>
      <c r="E203">
        <f>6*3.5</f>
        <v>21</v>
      </c>
      <c r="F203" t="s">
        <v>589</v>
      </c>
      <c r="G203" s="6" t="s">
        <v>880</v>
      </c>
      <c r="H203" t="s">
        <v>1071</v>
      </c>
      <c r="I203">
        <f t="shared" si="10"/>
        <v>252</v>
      </c>
      <c r="J203">
        <f t="shared" si="11"/>
        <v>114.30527724000001</v>
      </c>
      <c r="K203">
        <v>1.2</v>
      </c>
      <c r="L203">
        <f t="shared" si="12"/>
        <v>137.16633268800001</v>
      </c>
    </row>
    <row r="204" spans="1:12" x14ac:dyDescent="0.2">
      <c r="A204" s="4">
        <v>43500</v>
      </c>
      <c r="B204" t="s">
        <v>531</v>
      </c>
      <c r="C204">
        <v>6</v>
      </c>
      <c r="D204">
        <v>72</v>
      </c>
      <c r="E204">
        <f>3/16</f>
        <v>0.1875</v>
      </c>
      <c r="F204" t="s">
        <v>751</v>
      </c>
      <c r="G204" s="6" t="s">
        <v>1000</v>
      </c>
      <c r="H204" s="9" t="s">
        <v>1071</v>
      </c>
      <c r="I204">
        <f t="shared" si="10"/>
        <v>81</v>
      </c>
      <c r="J204">
        <f t="shared" si="11"/>
        <v>36.74098197</v>
      </c>
      <c r="K204">
        <v>3.46</v>
      </c>
      <c r="L204">
        <f t="shared" si="12"/>
        <v>127.12379761619999</v>
      </c>
    </row>
    <row r="205" spans="1:12" x14ac:dyDescent="0.2">
      <c r="A205" s="4">
        <v>43497</v>
      </c>
      <c r="B205" t="s">
        <v>531</v>
      </c>
      <c r="C205">
        <v>1</v>
      </c>
      <c r="D205">
        <v>2</v>
      </c>
      <c r="E205">
        <v>5</v>
      </c>
      <c r="F205" t="s">
        <v>735</v>
      </c>
      <c r="G205" t="s">
        <v>997</v>
      </c>
      <c r="H205" s="9" t="s">
        <v>1071</v>
      </c>
      <c r="I205">
        <f t="shared" si="10"/>
        <v>10</v>
      </c>
      <c r="J205">
        <f t="shared" si="11"/>
        <v>4.5359237000000006</v>
      </c>
      <c r="K205">
        <v>0.63900000000000001</v>
      </c>
      <c r="L205">
        <f t="shared" si="12"/>
        <v>2.8984552443000005</v>
      </c>
    </row>
    <row r="206" spans="1:12" x14ac:dyDescent="0.2">
      <c r="A206" s="4">
        <v>43497</v>
      </c>
      <c r="B206" t="s">
        <v>531</v>
      </c>
      <c r="C206">
        <v>4</v>
      </c>
      <c r="D206">
        <v>4</v>
      </c>
      <c r="E206">
        <v>5</v>
      </c>
      <c r="F206" t="s">
        <v>418</v>
      </c>
      <c r="G206" s="6" t="s">
        <v>876</v>
      </c>
      <c r="H206" s="9" t="s">
        <v>1071</v>
      </c>
      <c r="I206">
        <f t="shared" si="10"/>
        <v>80</v>
      </c>
      <c r="J206">
        <f t="shared" si="11"/>
        <v>36.287389600000004</v>
      </c>
      <c r="K206">
        <v>5.99</v>
      </c>
      <c r="L206">
        <f t="shared" si="12"/>
        <v>217.36146370400004</v>
      </c>
    </row>
    <row r="207" spans="1:12" x14ac:dyDescent="0.2">
      <c r="A207" s="4">
        <v>43497</v>
      </c>
      <c r="B207" t="s">
        <v>531</v>
      </c>
      <c r="C207">
        <v>2</v>
      </c>
      <c r="D207">
        <v>12</v>
      </c>
      <c r="E207">
        <v>2.5</v>
      </c>
      <c r="F207" t="s">
        <v>405</v>
      </c>
      <c r="G207" t="s">
        <v>1045</v>
      </c>
      <c r="H207" s="9" t="s">
        <v>1071</v>
      </c>
      <c r="I207">
        <f t="shared" si="10"/>
        <v>60</v>
      </c>
      <c r="J207">
        <f t="shared" si="11"/>
        <v>27.215542200000002</v>
      </c>
      <c r="K207">
        <v>0.61699999999999999</v>
      </c>
      <c r="L207">
        <f t="shared" si="12"/>
        <v>16.791989537399999</v>
      </c>
    </row>
    <row r="208" spans="1:12" x14ac:dyDescent="0.2">
      <c r="A208" s="4">
        <v>43497</v>
      </c>
      <c r="B208" t="s">
        <v>531</v>
      </c>
      <c r="C208">
        <v>5</v>
      </c>
      <c r="D208">
        <v>6</v>
      </c>
      <c r="E208">
        <v>5</v>
      </c>
      <c r="F208" t="s">
        <v>650</v>
      </c>
      <c r="G208" t="s">
        <v>854</v>
      </c>
      <c r="H208" s="9" t="s">
        <v>1071</v>
      </c>
      <c r="I208">
        <f t="shared" si="10"/>
        <v>150</v>
      </c>
      <c r="J208">
        <f t="shared" si="11"/>
        <v>68.038855500000011</v>
      </c>
      <c r="K208">
        <v>0.217</v>
      </c>
      <c r="L208">
        <f t="shared" si="12"/>
        <v>14.764431643500002</v>
      </c>
    </row>
    <row r="209" spans="1:12" x14ac:dyDescent="0.2">
      <c r="A209" s="4">
        <v>43497</v>
      </c>
      <c r="B209" t="s">
        <v>531</v>
      </c>
      <c r="C209">
        <v>4</v>
      </c>
      <c r="D209">
        <v>6</v>
      </c>
      <c r="E209">
        <v>6</v>
      </c>
      <c r="F209" t="s">
        <v>533</v>
      </c>
      <c r="G209" t="s">
        <v>854</v>
      </c>
      <c r="H209" s="9" t="s">
        <v>1071</v>
      </c>
      <c r="I209">
        <f t="shared" si="10"/>
        <v>144</v>
      </c>
      <c r="J209">
        <f t="shared" si="11"/>
        <v>65.317301279999995</v>
      </c>
      <c r="K209">
        <v>0.217</v>
      </c>
      <c r="L209">
        <f t="shared" si="12"/>
        <v>14.17385437776</v>
      </c>
    </row>
    <row r="210" spans="1:12" x14ac:dyDescent="0.2">
      <c r="A210" s="4">
        <v>43497</v>
      </c>
      <c r="B210" t="s">
        <v>531</v>
      </c>
      <c r="C210">
        <v>4</v>
      </c>
      <c r="D210">
        <v>6</v>
      </c>
      <c r="E210">
        <v>5</v>
      </c>
      <c r="F210" t="s">
        <v>406</v>
      </c>
      <c r="G210" t="s">
        <v>854</v>
      </c>
      <c r="H210" s="9" t="s">
        <v>1071</v>
      </c>
      <c r="I210">
        <f t="shared" si="10"/>
        <v>120</v>
      </c>
      <c r="J210">
        <f t="shared" si="11"/>
        <v>54.431084400000003</v>
      </c>
      <c r="K210">
        <v>0.217</v>
      </c>
      <c r="L210">
        <f t="shared" si="12"/>
        <v>11.8115453148</v>
      </c>
    </row>
    <row r="211" spans="1:12" x14ac:dyDescent="0.2">
      <c r="A211" s="4">
        <v>43497</v>
      </c>
      <c r="B211" t="s">
        <v>531</v>
      </c>
      <c r="C211">
        <v>2</v>
      </c>
      <c r="D211">
        <v>6</v>
      </c>
      <c r="E211">
        <v>5</v>
      </c>
      <c r="F211" t="s">
        <v>412</v>
      </c>
      <c r="G211" t="s">
        <v>854</v>
      </c>
      <c r="H211" s="9" t="s">
        <v>1071</v>
      </c>
      <c r="I211">
        <f t="shared" si="10"/>
        <v>60</v>
      </c>
      <c r="J211">
        <f t="shared" si="11"/>
        <v>27.215542200000002</v>
      </c>
      <c r="K211">
        <v>0.217</v>
      </c>
      <c r="L211">
        <f t="shared" si="12"/>
        <v>5.9057726574</v>
      </c>
    </row>
    <row r="212" spans="1:12" x14ac:dyDescent="0.2">
      <c r="A212" s="4">
        <v>43497</v>
      </c>
      <c r="B212" t="s">
        <v>531</v>
      </c>
      <c r="C212">
        <v>5</v>
      </c>
      <c r="D212">
        <v>6</v>
      </c>
      <c r="E212">
        <v>5</v>
      </c>
      <c r="F212" t="s">
        <v>419</v>
      </c>
      <c r="G212" t="s">
        <v>854</v>
      </c>
      <c r="H212" s="9" t="s">
        <v>1071</v>
      </c>
      <c r="I212">
        <f t="shared" si="10"/>
        <v>150</v>
      </c>
      <c r="J212">
        <f t="shared" si="11"/>
        <v>68.038855500000011</v>
      </c>
      <c r="K212">
        <v>0.217</v>
      </c>
      <c r="L212">
        <f t="shared" si="12"/>
        <v>14.764431643500002</v>
      </c>
    </row>
    <row r="213" spans="1:12" x14ac:dyDescent="0.2">
      <c r="A213" s="4">
        <v>43500</v>
      </c>
      <c r="B213" t="s">
        <v>531</v>
      </c>
      <c r="C213">
        <v>6</v>
      </c>
      <c r="D213">
        <v>6</v>
      </c>
      <c r="E213">
        <v>5</v>
      </c>
      <c r="F213" t="s">
        <v>419</v>
      </c>
      <c r="G213" t="s">
        <v>854</v>
      </c>
      <c r="H213" s="9" t="s">
        <v>1071</v>
      </c>
      <c r="I213">
        <f t="shared" si="10"/>
        <v>180</v>
      </c>
      <c r="J213">
        <f t="shared" si="11"/>
        <v>81.646626600000005</v>
      </c>
      <c r="K213">
        <v>0.217</v>
      </c>
      <c r="L213">
        <f t="shared" si="12"/>
        <v>17.7173179722</v>
      </c>
    </row>
    <row r="214" spans="1:12" x14ac:dyDescent="0.2">
      <c r="A214" s="4">
        <v>43503</v>
      </c>
      <c r="B214" t="s">
        <v>531</v>
      </c>
      <c r="C214">
        <v>3</v>
      </c>
      <c r="D214">
        <v>6</v>
      </c>
      <c r="E214">
        <v>6</v>
      </c>
      <c r="F214" t="s">
        <v>533</v>
      </c>
      <c r="G214" t="s">
        <v>854</v>
      </c>
      <c r="H214" s="9" t="s">
        <v>1071</v>
      </c>
      <c r="I214">
        <f t="shared" si="10"/>
        <v>108</v>
      </c>
      <c r="J214">
        <f t="shared" si="11"/>
        <v>48.987975960000007</v>
      </c>
      <c r="K214">
        <v>0.217</v>
      </c>
      <c r="L214">
        <f t="shared" si="12"/>
        <v>10.630390783320001</v>
      </c>
    </row>
    <row r="215" spans="1:12" x14ac:dyDescent="0.2">
      <c r="A215" s="4">
        <v>43503</v>
      </c>
      <c r="B215" t="s">
        <v>531</v>
      </c>
      <c r="C215">
        <v>3</v>
      </c>
      <c r="D215">
        <v>6</v>
      </c>
      <c r="E215">
        <v>3</v>
      </c>
      <c r="F215" t="s">
        <v>404</v>
      </c>
      <c r="G215" t="s">
        <v>854</v>
      </c>
      <c r="H215" s="9" t="s">
        <v>1071</v>
      </c>
      <c r="I215">
        <f t="shared" si="10"/>
        <v>54</v>
      </c>
      <c r="J215">
        <f t="shared" si="11"/>
        <v>24.493987980000004</v>
      </c>
      <c r="K215">
        <v>0.217</v>
      </c>
      <c r="L215">
        <f t="shared" si="12"/>
        <v>5.3151953916600005</v>
      </c>
    </row>
    <row r="216" spans="1:12" x14ac:dyDescent="0.2">
      <c r="A216" s="4">
        <v>43503</v>
      </c>
      <c r="B216" t="s">
        <v>531</v>
      </c>
      <c r="C216">
        <v>2</v>
      </c>
      <c r="D216">
        <v>6</v>
      </c>
      <c r="E216">
        <v>5</v>
      </c>
      <c r="F216" t="s">
        <v>406</v>
      </c>
      <c r="G216" t="s">
        <v>854</v>
      </c>
      <c r="H216" s="9" t="s">
        <v>1071</v>
      </c>
      <c r="I216">
        <f t="shared" si="10"/>
        <v>60</v>
      </c>
      <c r="J216">
        <f t="shared" si="11"/>
        <v>27.215542200000002</v>
      </c>
      <c r="K216">
        <v>0.217</v>
      </c>
      <c r="L216">
        <f t="shared" si="12"/>
        <v>5.9057726574</v>
      </c>
    </row>
    <row r="217" spans="1:12" x14ac:dyDescent="0.2">
      <c r="A217" s="4">
        <v>43503</v>
      </c>
      <c r="B217" t="s">
        <v>531</v>
      </c>
      <c r="C217">
        <v>1</v>
      </c>
      <c r="D217">
        <v>6</v>
      </c>
      <c r="E217">
        <v>5</v>
      </c>
      <c r="F217" t="s">
        <v>412</v>
      </c>
      <c r="G217" t="s">
        <v>854</v>
      </c>
      <c r="H217" s="9" t="s">
        <v>1071</v>
      </c>
      <c r="I217">
        <f t="shared" si="10"/>
        <v>30</v>
      </c>
      <c r="J217">
        <f t="shared" si="11"/>
        <v>13.607771100000001</v>
      </c>
      <c r="K217">
        <v>0.217</v>
      </c>
      <c r="L217">
        <f t="shared" si="12"/>
        <v>2.9528863287</v>
      </c>
    </row>
    <row r="218" spans="1:12" x14ac:dyDescent="0.2">
      <c r="A218" s="4">
        <v>43503</v>
      </c>
      <c r="B218" t="s">
        <v>531</v>
      </c>
      <c r="C218">
        <v>2</v>
      </c>
      <c r="D218">
        <v>6</v>
      </c>
      <c r="E218">
        <v>5</v>
      </c>
      <c r="F218" t="s">
        <v>419</v>
      </c>
      <c r="G218" t="s">
        <v>854</v>
      </c>
      <c r="H218" s="9" t="s">
        <v>1071</v>
      </c>
      <c r="I218">
        <f t="shared" si="10"/>
        <v>60</v>
      </c>
      <c r="J218">
        <f t="shared" si="11"/>
        <v>27.215542200000002</v>
      </c>
      <c r="K218">
        <v>0.217</v>
      </c>
      <c r="L218">
        <f t="shared" si="12"/>
        <v>5.9057726574</v>
      </c>
    </row>
    <row r="219" spans="1:12" x14ac:dyDescent="0.2">
      <c r="A219" s="4">
        <v>43500</v>
      </c>
      <c r="B219" t="s">
        <v>531</v>
      </c>
      <c r="C219">
        <v>2</v>
      </c>
      <c r="D219">
        <v>48</v>
      </c>
      <c r="E219" s="14" t="s">
        <v>1014</v>
      </c>
      <c r="F219" t="s">
        <v>745</v>
      </c>
      <c r="G219" s="14" t="s">
        <v>999</v>
      </c>
      <c r="H219" s="9" t="s">
        <v>1071</v>
      </c>
      <c r="I219">
        <v>0</v>
      </c>
      <c r="J219">
        <f t="shared" si="11"/>
        <v>0</v>
      </c>
      <c r="K219">
        <v>1.28</v>
      </c>
      <c r="L219">
        <f t="shared" si="12"/>
        <v>0</v>
      </c>
    </row>
    <row r="220" spans="1:12" x14ac:dyDescent="0.2">
      <c r="A220" s="4">
        <v>43497</v>
      </c>
      <c r="B220" t="s">
        <v>531</v>
      </c>
      <c r="C220">
        <v>2</v>
      </c>
      <c r="D220">
        <v>12</v>
      </c>
      <c r="E220">
        <v>2</v>
      </c>
      <c r="F220" t="s">
        <v>734</v>
      </c>
      <c r="G220" t="s">
        <v>996</v>
      </c>
      <c r="H220" s="9" t="s">
        <v>1071</v>
      </c>
      <c r="I220">
        <f t="shared" si="10"/>
        <v>48</v>
      </c>
      <c r="J220">
        <f t="shared" si="11"/>
        <v>21.772433760000002</v>
      </c>
      <c r="K220">
        <v>0.307</v>
      </c>
      <c r="L220">
        <f t="shared" si="12"/>
        <v>6.6841371643200009</v>
      </c>
    </row>
    <row r="221" spans="1:12" x14ac:dyDescent="0.2">
      <c r="A221" s="4">
        <v>43503</v>
      </c>
      <c r="B221" t="s">
        <v>531</v>
      </c>
      <c r="C221">
        <v>1</v>
      </c>
      <c r="D221">
        <v>24</v>
      </c>
      <c r="E221">
        <f>12*0.0661387</f>
        <v>0.79366439999999994</v>
      </c>
      <c r="F221" t="s">
        <v>408</v>
      </c>
      <c r="G221" t="s">
        <v>913</v>
      </c>
      <c r="H221" s="9" t="s">
        <v>1071</v>
      </c>
      <c r="I221">
        <f t="shared" si="10"/>
        <v>19.047945599999998</v>
      </c>
      <c r="J221">
        <f t="shared" si="11"/>
        <v>8.6400027883350727</v>
      </c>
      <c r="K221">
        <v>1.28</v>
      </c>
      <c r="L221">
        <f t="shared" si="12"/>
        <v>11.059203569068893</v>
      </c>
    </row>
    <row r="222" spans="1:12" x14ac:dyDescent="0.2">
      <c r="A222" s="4">
        <v>43497</v>
      </c>
      <c r="B222" t="s">
        <v>525</v>
      </c>
      <c r="C222">
        <v>2</v>
      </c>
      <c r="D222">
        <v>2</v>
      </c>
      <c r="E222">
        <v>5</v>
      </c>
      <c r="F222" t="s">
        <v>398</v>
      </c>
      <c r="G222" t="s">
        <v>890</v>
      </c>
      <c r="H222" s="6" t="s">
        <v>1072</v>
      </c>
      <c r="I222">
        <f t="shared" si="10"/>
        <v>20</v>
      </c>
      <c r="J222">
        <f t="shared" si="11"/>
        <v>9.0718474000000011</v>
      </c>
      <c r="K222">
        <f>(0.5*32.846)+(0.5*5.56)</f>
        <v>19.202999999999999</v>
      </c>
      <c r="L222">
        <f t="shared" si="12"/>
        <v>174.20668562220001</v>
      </c>
    </row>
    <row r="223" spans="1:12" x14ac:dyDescent="0.2">
      <c r="A223" s="4">
        <v>43500</v>
      </c>
      <c r="B223" t="s">
        <v>525</v>
      </c>
      <c r="C223">
        <v>1</v>
      </c>
      <c r="D223">
        <v>2</v>
      </c>
      <c r="E223">
        <v>5</v>
      </c>
      <c r="F223" t="s">
        <v>398</v>
      </c>
      <c r="G223" t="s">
        <v>890</v>
      </c>
      <c r="H223" t="s">
        <v>1072</v>
      </c>
      <c r="I223">
        <f t="shared" si="10"/>
        <v>10</v>
      </c>
      <c r="J223">
        <f t="shared" si="11"/>
        <v>4.5359237000000006</v>
      </c>
      <c r="K223">
        <f>(0.5*32.846)+(0.5*5.56)</f>
        <v>19.202999999999999</v>
      </c>
      <c r="L223">
        <f t="shared" si="12"/>
        <v>87.103342811100006</v>
      </c>
    </row>
    <row r="224" spans="1:12" x14ac:dyDescent="0.2">
      <c r="A224" s="4">
        <v>43497</v>
      </c>
      <c r="B224" t="s">
        <v>525</v>
      </c>
      <c r="C224">
        <v>10</v>
      </c>
      <c r="D224">
        <v>1</v>
      </c>
      <c r="E224">
        <v>10</v>
      </c>
      <c r="F224" t="s">
        <v>588</v>
      </c>
      <c r="G224" t="s">
        <v>10</v>
      </c>
      <c r="H224" t="s">
        <v>1072</v>
      </c>
      <c r="I224">
        <f t="shared" si="10"/>
        <v>100</v>
      </c>
      <c r="J224">
        <f t="shared" si="11"/>
        <v>45.359237</v>
      </c>
      <c r="K224">
        <v>32.845999999999997</v>
      </c>
      <c r="L224">
        <f t="shared" si="12"/>
        <v>1489.8694985019999</v>
      </c>
    </row>
    <row r="225" spans="1:12" x14ac:dyDescent="0.2">
      <c r="A225" s="4">
        <v>43497</v>
      </c>
      <c r="B225" t="s">
        <v>525</v>
      </c>
      <c r="C225">
        <v>1</v>
      </c>
      <c r="D225">
        <v>1</v>
      </c>
      <c r="E225">
        <v>212.13</v>
      </c>
      <c r="F225" t="s">
        <v>397</v>
      </c>
      <c r="G225" t="s">
        <v>850</v>
      </c>
      <c r="H225" t="s">
        <v>1072</v>
      </c>
      <c r="I225">
        <f t="shared" si="10"/>
        <v>212.13</v>
      </c>
      <c r="J225">
        <f t="shared" si="11"/>
        <v>96.220549448100002</v>
      </c>
      <c r="K225">
        <v>32.845999999999997</v>
      </c>
      <c r="L225">
        <f t="shared" si="12"/>
        <v>3160.4601671722921</v>
      </c>
    </row>
    <row r="226" spans="1:12" x14ac:dyDescent="0.2">
      <c r="A226" s="4">
        <v>43500</v>
      </c>
      <c r="B226" t="s">
        <v>525</v>
      </c>
      <c r="C226">
        <v>4</v>
      </c>
      <c r="D226">
        <v>1</v>
      </c>
      <c r="E226">
        <v>10</v>
      </c>
      <c r="F226" t="s">
        <v>588</v>
      </c>
      <c r="G226" t="s">
        <v>10</v>
      </c>
      <c r="H226" t="s">
        <v>1072</v>
      </c>
      <c r="I226">
        <f t="shared" si="10"/>
        <v>40</v>
      </c>
      <c r="J226">
        <f t="shared" si="11"/>
        <v>18.143694800000002</v>
      </c>
      <c r="K226">
        <v>32.845999999999997</v>
      </c>
      <c r="L226">
        <f t="shared" si="12"/>
        <v>595.94779940080002</v>
      </c>
    </row>
    <row r="227" spans="1:12" x14ac:dyDescent="0.2">
      <c r="A227" s="4">
        <v>43500</v>
      </c>
      <c r="B227" t="s">
        <v>525</v>
      </c>
      <c r="C227">
        <v>2</v>
      </c>
      <c r="D227">
        <v>1</v>
      </c>
      <c r="E227">
        <v>142.62</v>
      </c>
      <c r="F227" t="s">
        <v>397</v>
      </c>
      <c r="G227" t="s">
        <v>850</v>
      </c>
      <c r="H227" t="s">
        <v>1072</v>
      </c>
      <c r="I227">
        <f t="shared" si="10"/>
        <v>285.24</v>
      </c>
      <c r="J227">
        <f t="shared" si="11"/>
        <v>129.38268761879999</v>
      </c>
      <c r="K227">
        <v>32.845999999999997</v>
      </c>
      <c r="L227">
        <f t="shared" si="12"/>
        <v>4249.7037575271042</v>
      </c>
    </row>
    <row r="228" spans="1:12" x14ac:dyDescent="0.2">
      <c r="A228" s="4">
        <v>43497</v>
      </c>
      <c r="B228" t="s">
        <v>525</v>
      </c>
      <c r="C228">
        <v>4</v>
      </c>
      <c r="D228">
        <v>2</v>
      </c>
      <c r="E228">
        <v>5</v>
      </c>
      <c r="F228" t="s">
        <v>733</v>
      </c>
      <c r="G228" t="s">
        <v>15</v>
      </c>
      <c r="H228" s="9" t="s">
        <v>1072</v>
      </c>
      <c r="I228">
        <f t="shared" si="10"/>
        <v>40</v>
      </c>
      <c r="J228">
        <f t="shared" si="11"/>
        <v>18.143694800000002</v>
      </c>
      <c r="K228">
        <v>5.56</v>
      </c>
      <c r="L228">
        <f t="shared" si="12"/>
        <v>100.878943088</v>
      </c>
    </row>
    <row r="229" spans="1:12" x14ac:dyDescent="0.2">
      <c r="A229" s="4">
        <v>43497</v>
      </c>
      <c r="B229" t="s">
        <v>525</v>
      </c>
      <c r="C229">
        <v>1</v>
      </c>
      <c r="D229">
        <v>1</v>
      </c>
      <c r="E229">
        <v>5.96</v>
      </c>
      <c r="F229" t="s">
        <v>395</v>
      </c>
      <c r="G229" t="s">
        <v>15</v>
      </c>
      <c r="H229" s="9" t="s">
        <v>1072</v>
      </c>
      <c r="I229">
        <f t="shared" si="10"/>
        <v>5.96</v>
      </c>
      <c r="J229">
        <f t="shared" si="11"/>
        <v>2.7034105251999998</v>
      </c>
      <c r="K229">
        <v>5.56</v>
      </c>
      <c r="L229">
        <f t="shared" si="12"/>
        <v>15.030962520111999</v>
      </c>
    </row>
    <row r="230" spans="1:12" x14ac:dyDescent="0.2">
      <c r="A230" s="4">
        <v>43497</v>
      </c>
      <c r="B230" t="s">
        <v>525</v>
      </c>
      <c r="C230">
        <v>1</v>
      </c>
      <c r="D230">
        <v>1</v>
      </c>
      <c r="E230">
        <v>22.52</v>
      </c>
      <c r="F230" t="s">
        <v>677</v>
      </c>
      <c r="G230" t="s">
        <v>15</v>
      </c>
      <c r="H230" s="9" t="s">
        <v>1072</v>
      </c>
      <c r="I230">
        <f t="shared" si="10"/>
        <v>22.52</v>
      </c>
      <c r="J230">
        <f t="shared" si="11"/>
        <v>10.214900172400002</v>
      </c>
      <c r="K230">
        <v>5.56</v>
      </c>
      <c r="L230">
        <f t="shared" si="12"/>
        <v>56.794844958544004</v>
      </c>
    </row>
    <row r="231" spans="1:12" x14ac:dyDescent="0.2">
      <c r="A231" s="4">
        <v>43497</v>
      </c>
      <c r="B231" t="s">
        <v>530</v>
      </c>
      <c r="C231">
        <v>6</v>
      </c>
      <c r="D231">
        <v>160</v>
      </c>
      <c r="E231">
        <v>6.25E-2</v>
      </c>
      <c r="F231" t="s">
        <v>401</v>
      </c>
      <c r="G231" t="s">
        <v>755</v>
      </c>
      <c r="H231" s="9" t="s">
        <v>1072</v>
      </c>
      <c r="I231">
        <f t="shared" si="10"/>
        <v>60</v>
      </c>
      <c r="J231">
        <f t="shared" si="11"/>
        <v>27.215542200000002</v>
      </c>
      <c r="K231">
        <v>4.1879999999999997</v>
      </c>
      <c r="L231">
        <f t="shared" si="12"/>
        <v>113.9786907336</v>
      </c>
    </row>
    <row r="232" spans="1:12" x14ac:dyDescent="0.2">
      <c r="A232" s="4">
        <v>43500</v>
      </c>
      <c r="B232" t="s">
        <v>530</v>
      </c>
      <c r="C232">
        <v>4</v>
      </c>
      <c r="D232">
        <v>160</v>
      </c>
      <c r="E232">
        <v>6.25E-2</v>
      </c>
      <c r="F232" t="s">
        <v>401</v>
      </c>
      <c r="G232" t="s">
        <v>755</v>
      </c>
      <c r="H232" s="9" t="s">
        <v>1072</v>
      </c>
      <c r="I232">
        <f t="shared" si="10"/>
        <v>40</v>
      </c>
      <c r="J232">
        <f t="shared" si="11"/>
        <v>18.143694800000002</v>
      </c>
      <c r="K232">
        <v>4.1879999999999997</v>
      </c>
      <c r="L232">
        <f t="shared" si="12"/>
        <v>75.985793822399998</v>
      </c>
    </row>
    <row r="233" spans="1:12" x14ac:dyDescent="0.2">
      <c r="A233" s="4">
        <v>43503</v>
      </c>
      <c r="B233" t="s">
        <v>530</v>
      </c>
      <c r="C233">
        <v>4</v>
      </c>
      <c r="D233">
        <v>160</v>
      </c>
      <c r="E233">
        <v>6.25E-2</v>
      </c>
      <c r="F233" t="s">
        <v>401</v>
      </c>
      <c r="G233" t="s">
        <v>755</v>
      </c>
      <c r="H233" s="9" t="s">
        <v>1072</v>
      </c>
      <c r="I233">
        <f t="shared" si="10"/>
        <v>40</v>
      </c>
      <c r="J233">
        <f t="shared" si="11"/>
        <v>18.143694800000002</v>
      </c>
      <c r="K233">
        <v>4.1879999999999997</v>
      </c>
      <c r="L233">
        <f t="shared" si="12"/>
        <v>75.985793822399998</v>
      </c>
    </row>
    <row r="234" spans="1:12" x14ac:dyDescent="0.2">
      <c r="A234" s="4">
        <v>43497</v>
      </c>
      <c r="B234" t="s">
        <v>530</v>
      </c>
      <c r="C234">
        <v>2</v>
      </c>
      <c r="D234">
        <v>2</v>
      </c>
      <c r="E234">
        <v>6</v>
      </c>
      <c r="F234" t="s">
        <v>402</v>
      </c>
      <c r="G234" t="s">
        <v>966</v>
      </c>
      <c r="H234" s="9" t="s">
        <v>1072</v>
      </c>
      <c r="I234">
        <f t="shared" si="10"/>
        <v>24</v>
      </c>
      <c r="J234">
        <f t="shared" si="11"/>
        <v>10.886216880000001</v>
      </c>
      <c r="K234">
        <v>2.5710000000000002</v>
      </c>
      <c r="L234">
        <f t="shared" si="12"/>
        <v>27.988463598480003</v>
      </c>
    </row>
    <row r="235" spans="1:12" x14ac:dyDescent="0.2">
      <c r="A235" s="4">
        <v>43500</v>
      </c>
      <c r="B235" t="s">
        <v>530</v>
      </c>
      <c r="C235">
        <v>6</v>
      </c>
      <c r="D235">
        <v>2</v>
      </c>
      <c r="E235">
        <v>6</v>
      </c>
      <c r="F235" t="s">
        <v>402</v>
      </c>
      <c r="G235" t="s">
        <v>1038</v>
      </c>
      <c r="H235" s="9" t="s">
        <v>1072</v>
      </c>
      <c r="I235">
        <f t="shared" si="10"/>
        <v>72</v>
      </c>
      <c r="J235">
        <f t="shared" si="11"/>
        <v>32.658650639999998</v>
      </c>
      <c r="K235">
        <v>2.5710000000000002</v>
      </c>
      <c r="L235">
        <f t="shared" si="12"/>
        <v>83.965390795440001</v>
      </c>
    </row>
    <row r="236" spans="1:12" x14ac:dyDescent="0.2">
      <c r="A236" s="4">
        <v>43503</v>
      </c>
      <c r="B236" t="s">
        <v>530</v>
      </c>
      <c r="C236">
        <v>4</v>
      </c>
      <c r="D236">
        <v>160</v>
      </c>
      <c r="E236">
        <v>6.25E-2</v>
      </c>
      <c r="F236" t="s">
        <v>569</v>
      </c>
      <c r="G236" t="s">
        <v>852</v>
      </c>
      <c r="H236" s="9" t="s">
        <v>1072</v>
      </c>
      <c r="I236">
        <f t="shared" si="10"/>
        <v>40</v>
      </c>
      <c r="J236">
        <f t="shared" si="11"/>
        <v>18.143694800000002</v>
      </c>
      <c r="K236">
        <v>2.5710000000000002</v>
      </c>
      <c r="L236">
        <f t="shared" si="12"/>
        <v>46.647439330800012</v>
      </c>
    </row>
    <row r="237" spans="1:12" x14ac:dyDescent="0.2">
      <c r="A237" s="4">
        <v>43497</v>
      </c>
      <c r="B237" t="s">
        <v>527</v>
      </c>
      <c r="C237">
        <v>10</v>
      </c>
      <c r="D237">
        <v>1</v>
      </c>
      <c r="E237">
        <v>10</v>
      </c>
      <c r="F237" t="s">
        <v>1012</v>
      </c>
      <c r="G237" t="s">
        <v>1044</v>
      </c>
      <c r="H237" s="9" t="s">
        <v>1072</v>
      </c>
      <c r="I237">
        <f t="shared" si="10"/>
        <v>100</v>
      </c>
      <c r="J237">
        <f t="shared" si="11"/>
        <v>45.359237</v>
      </c>
      <c r="K237">
        <v>3.0209999999999999</v>
      </c>
      <c r="L237">
        <f t="shared" si="12"/>
        <v>137.030254977</v>
      </c>
    </row>
    <row r="238" spans="1:12" x14ac:dyDescent="0.2">
      <c r="A238" s="4">
        <v>43500</v>
      </c>
      <c r="B238" t="s">
        <v>527</v>
      </c>
      <c r="C238">
        <v>6</v>
      </c>
      <c r="D238">
        <v>1</v>
      </c>
      <c r="E238">
        <v>10</v>
      </c>
      <c r="F238" t="s">
        <v>528</v>
      </c>
      <c r="G238" t="s">
        <v>1044</v>
      </c>
      <c r="H238" s="9" t="s">
        <v>1072</v>
      </c>
      <c r="I238">
        <f t="shared" si="10"/>
        <v>60</v>
      </c>
      <c r="J238">
        <f t="shared" si="11"/>
        <v>27.215542200000002</v>
      </c>
      <c r="K238">
        <v>3.0209999999999999</v>
      </c>
      <c r="L238">
        <f t="shared" si="12"/>
        <v>82.218152986199996</v>
      </c>
    </row>
    <row r="239" spans="1:12" x14ac:dyDescent="0.2">
      <c r="A239" s="4">
        <v>43500</v>
      </c>
      <c r="B239" t="s">
        <v>527</v>
      </c>
      <c r="C239">
        <v>6</v>
      </c>
      <c r="D239">
        <v>1</v>
      </c>
      <c r="E239">
        <v>10</v>
      </c>
      <c r="F239" t="s">
        <v>1012</v>
      </c>
      <c r="G239" t="s">
        <v>1044</v>
      </c>
      <c r="H239" s="9" t="s">
        <v>1072</v>
      </c>
      <c r="I239">
        <f t="shared" si="10"/>
        <v>60</v>
      </c>
      <c r="J239">
        <f t="shared" si="11"/>
        <v>27.215542200000002</v>
      </c>
      <c r="K239">
        <v>3.0209999999999999</v>
      </c>
      <c r="L239">
        <f t="shared" si="12"/>
        <v>82.218152986199996</v>
      </c>
    </row>
    <row r="240" spans="1:12" x14ac:dyDescent="0.2">
      <c r="A240" s="4">
        <v>43500</v>
      </c>
      <c r="B240" t="s">
        <v>527</v>
      </c>
      <c r="C240">
        <v>6</v>
      </c>
      <c r="D240">
        <v>1</v>
      </c>
      <c r="E240">
        <v>10</v>
      </c>
      <c r="F240" t="s">
        <v>399</v>
      </c>
      <c r="G240" t="s">
        <v>1044</v>
      </c>
      <c r="H240" s="9" t="s">
        <v>1072</v>
      </c>
      <c r="I240">
        <f t="shared" si="10"/>
        <v>60</v>
      </c>
      <c r="J240">
        <f t="shared" si="11"/>
        <v>27.215542200000002</v>
      </c>
      <c r="K240">
        <v>3.0209999999999999</v>
      </c>
      <c r="L240">
        <f t="shared" si="12"/>
        <v>82.218152986199996</v>
      </c>
    </row>
    <row r="241" spans="1:13" x14ac:dyDescent="0.2">
      <c r="A241" s="4">
        <v>43503</v>
      </c>
      <c r="B241" t="s">
        <v>527</v>
      </c>
      <c r="C241">
        <v>9</v>
      </c>
      <c r="D241">
        <v>1</v>
      </c>
      <c r="E241">
        <v>10</v>
      </c>
      <c r="F241" t="s">
        <v>528</v>
      </c>
      <c r="G241" t="s">
        <v>1044</v>
      </c>
      <c r="H241" s="9" t="s">
        <v>1072</v>
      </c>
      <c r="I241">
        <f t="shared" si="10"/>
        <v>90</v>
      </c>
      <c r="J241">
        <f t="shared" si="11"/>
        <v>40.823313300000002</v>
      </c>
      <c r="K241">
        <v>3.0209999999999999</v>
      </c>
      <c r="L241">
        <f t="shared" si="12"/>
        <v>123.3272294793</v>
      </c>
    </row>
    <row r="242" spans="1:13" x14ac:dyDescent="0.2">
      <c r="A242" s="4">
        <v>43503</v>
      </c>
      <c r="B242" t="s">
        <v>527</v>
      </c>
      <c r="C242">
        <v>8</v>
      </c>
      <c r="D242">
        <v>1</v>
      </c>
      <c r="E242">
        <v>10</v>
      </c>
      <c r="F242" t="s">
        <v>399</v>
      </c>
      <c r="G242" t="s">
        <v>1044</v>
      </c>
      <c r="H242" s="9" t="s">
        <v>1072</v>
      </c>
      <c r="I242">
        <f>C242*D242*E242</f>
        <v>80</v>
      </c>
      <c r="J242">
        <f>CONVERT(I242,"lbm","kg")</f>
        <v>36.287389600000004</v>
      </c>
      <c r="K242">
        <v>3.0209999999999999</v>
      </c>
      <c r="L242">
        <f>J242*K242</f>
        <v>109.6242039816</v>
      </c>
    </row>
    <row r="243" spans="1:13" x14ac:dyDescent="0.2">
      <c r="L243" s="34">
        <f>SUM(L3:L242)</f>
        <v>28868.252044477849</v>
      </c>
      <c r="M243" t="s">
        <v>1061</v>
      </c>
    </row>
    <row r="245" spans="1:13" x14ac:dyDescent="0.2">
      <c r="L245" s="33">
        <f>L243/1000</f>
        <v>28.868252044477849</v>
      </c>
      <c r="M245" s="6" t="s">
        <v>1062</v>
      </c>
    </row>
  </sheetData>
  <sortState ref="A3:N487">
    <sortCondition ref="B3"/>
  </sortState>
  <mergeCells count="1">
    <mergeCell ref="A1:L1"/>
  </mergeCells>
  <phoneticPr fontId="12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M536"/>
  <sheetViews>
    <sheetView workbookViewId="0">
      <pane ySplit="2" topLeftCell="A511" activePane="bottomLeft" state="frozen"/>
      <selection activeCell="B126" sqref="B126"/>
      <selection pane="bottomLeft" activeCell="B126" sqref="B126"/>
    </sheetView>
  </sheetViews>
  <sheetFormatPr baseColWidth="10" defaultRowHeight="16" x14ac:dyDescent="0.2"/>
  <cols>
    <col min="2" max="2" width="17.83203125" bestFit="1" customWidth="1"/>
    <col min="4" max="4" width="12" bestFit="1" customWidth="1"/>
    <col min="5" max="5" width="13.5" bestFit="1" customWidth="1"/>
    <col min="6" max="6" width="13.1640625" customWidth="1"/>
    <col min="7" max="8" width="15" customWidth="1"/>
    <col min="11" max="11" width="18.1640625" bestFit="1" customWidth="1"/>
    <col min="12" max="12" width="16" bestFit="1" customWidth="1"/>
  </cols>
  <sheetData>
    <row r="1" spans="1:13" x14ac:dyDescent="0.2">
      <c r="A1" s="94" t="s">
        <v>279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3" x14ac:dyDescent="0.2">
      <c r="A2" s="1" t="s">
        <v>0</v>
      </c>
      <c r="B2" s="1" t="s">
        <v>1</v>
      </c>
      <c r="C2" s="2" t="s">
        <v>172</v>
      </c>
      <c r="D2" s="2" t="s">
        <v>280</v>
      </c>
      <c r="E2" s="2" t="s">
        <v>281</v>
      </c>
      <c r="F2" s="3" t="s">
        <v>4</v>
      </c>
      <c r="G2" s="3" t="s">
        <v>780</v>
      </c>
      <c r="H2" s="3" t="s">
        <v>934</v>
      </c>
      <c r="I2" s="3" t="s">
        <v>5</v>
      </c>
      <c r="J2" s="3" t="s">
        <v>6</v>
      </c>
      <c r="K2" s="1" t="s">
        <v>7</v>
      </c>
      <c r="L2" s="1" t="s">
        <v>8</v>
      </c>
    </row>
    <row r="3" spans="1:13" x14ac:dyDescent="0.2">
      <c r="A3" s="10">
        <v>43434</v>
      </c>
      <c r="B3" s="8" t="s">
        <v>525</v>
      </c>
      <c r="C3" s="8">
        <v>2</v>
      </c>
      <c r="D3" s="8">
        <v>2</v>
      </c>
      <c r="E3">
        <v>5</v>
      </c>
      <c r="F3" t="s">
        <v>398</v>
      </c>
      <c r="G3" s="6" t="s">
        <v>890</v>
      </c>
      <c r="H3" s="6" t="s">
        <v>1072</v>
      </c>
      <c r="I3">
        <f t="shared" ref="I3:I48" si="0">C3*D3*E3</f>
        <v>20</v>
      </c>
      <c r="J3">
        <f t="shared" ref="J3:J66" si="1">CONVERT(I3,"lbm","kg")</f>
        <v>9.0718474000000011</v>
      </c>
      <c r="K3">
        <f>(0.5*32.846)+(0.5*5.56)</f>
        <v>19.202999999999999</v>
      </c>
      <c r="L3">
        <f t="shared" ref="L3:L66" si="2">J3*K3</f>
        <v>174.20668562220001</v>
      </c>
    </row>
    <row r="4" spans="1:13" x14ac:dyDescent="0.2">
      <c r="A4" s="4">
        <v>43439</v>
      </c>
      <c r="B4" t="s">
        <v>525</v>
      </c>
      <c r="C4">
        <v>1</v>
      </c>
      <c r="D4">
        <v>2</v>
      </c>
      <c r="E4">
        <v>5</v>
      </c>
      <c r="F4" t="s">
        <v>398</v>
      </c>
      <c r="G4" t="s">
        <v>890</v>
      </c>
      <c r="H4" t="s">
        <v>1072</v>
      </c>
      <c r="I4">
        <f t="shared" si="0"/>
        <v>10</v>
      </c>
      <c r="J4">
        <f t="shared" si="1"/>
        <v>4.5359237000000006</v>
      </c>
      <c r="K4">
        <f>(0.5*32.846)+(0.5*5.56)</f>
        <v>19.202999999999999</v>
      </c>
      <c r="L4">
        <f t="shared" si="2"/>
        <v>87.103342811100006</v>
      </c>
    </row>
    <row r="5" spans="1:13" x14ac:dyDescent="0.2">
      <c r="A5" s="4">
        <v>43399</v>
      </c>
      <c r="B5" t="s">
        <v>22</v>
      </c>
      <c r="C5">
        <v>1</v>
      </c>
      <c r="D5">
        <v>1</v>
      </c>
      <c r="E5">
        <v>100</v>
      </c>
      <c r="F5" t="s">
        <v>26</v>
      </c>
      <c r="G5" t="s">
        <v>767</v>
      </c>
      <c r="H5" t="s">
        <v>1071</v>
      </c>
      <c r="I5">
        <f t="shared" si="0"/>
        <v>100</v>
      </c>
      <c r="J5">
        <f t="shared" si="1"/>
        <v>45.359237</v>
      </c>
      <c r="K5">
        <v>0.22800000000000001</v>
      </c>
      <c r="L5">
        <f t="shared" si="2"/>
        <v>10.341906036000001</v>
      </c>
    </row>
    <row r="6" spans="1:13" x14ac:dyDescent="0.2">
      <c r="A6" s="4">
        <v>43399</v>
      </c>
      <c r="B6" t="s">
        <v>22</v>
      </c>
      <c r="C6">
        <v>1</v>
      </c>
      <c r="D6">
        <v>1</v>
      </c>
      <c r="E6">
        <v>159.6</v>
      </c>
      <c r="F6" t="s">
        <v>284</v>
      </c>
      <c r="G6" t="s">
        <v>767</v>
      </c>
      <c r="H6" t="s">
        <v>1071</v>
      </c>
      <c r="I6">
        <f t="shared" si="0"/>
        <v>159.6</v>
      </c>
      <c r="J6">
        <f t="shared" si="1"/>
        <v>72.393342252000011</v>
      </c>
      <c r="K6">
        <v>0.22800000000000001</v>
      </c>
      <c r="L6">
        <f t="shared" si="2"/>
        <v>16.505682033456004</v>
      </c>
    </row>
    <row r="7" spans="1:13" x14ac:dyDescent="0.2">
      <c r="A7" s="4">
        <v>43403</v>
      </c>
      <c r="B7" t="s">
        <v>22</v>
      </c>
      <c r="C7">
        <v>1</v>
      </c>
      <c r="D7">
        <v>1</v>
      </c>
      <c r="E7">
        <v>158.4</v>
      </c>
      <c r="F7" t="s">
        <v>289</v>
      </c>
      <c r="G7" t="s">
        <v>767</v>
      </c>
      <c r="H7" t="s">
        <v>1071</v>
      </c>
      <c r="I7">
        <f t="shared" si="0"/>
        <v>158.4</v>
      </c>
      <c r="J7">
        <f t="shared" si="1"/>
        <v>71.849031408000016</v>
      </c>
      <c r="K7">
        <v>0.22800000000000001</v>
      </c>
      <c r="L7">
        <f t="shared" si="2"/>
        <v>16.381579161024003</v>
      </c>
    </row>
    <row r="8" spans="1:13" x14ac:dyDescent="0.2">
      <c r="A8" s="4">
        <v>43403</v>
      </c>
      <c r="B8" t="s">
        <v>22</v>
      </c>
      <c r="C8">
        <v>1</v>
      </c>
      <c r="D8">
        <v>1</v>
      </c>
      <c r="E8">
        <v>159.6</v>
      </c>
      <c r="F8" t="s">
        <v>290</v>
      </c>
      <c r="G8" t="s">
        <v>767</v>
      </c>
      <c r="H8" t="s">
        <v>1071</v>
      </c>
      <c r="I8">
        <f t="shared" si="0"/>
        <v>159.6</v>
      </c>
      <c r="J8">
        <f t="shared" si="1"/>
        <v>72.393342252000011</v>
      </c>
      <c r="K8">
        <v>0.22800000000000001</v>
      </c>
      <c r="L8">
        <f t="shared" si="2"/>
        <v>16.505682033456004</v>
      </c>
    </row>
    <row r="9" spans="1:13" x14ac:dyDescent="0.2">
      <c r="A9" s="4">
        <v>43437</v>
      </c>
      <c r="B9" t="s">
        <v>538</v>
      </c>
      <c r="C9">
        <v>1</v>
      </c>
      <c r="D9">
        <v>6</v>
      </c>
      <c r="E9">
        <v>10</v>
      </c>
      <c r="F9" t="s">
        <v>577</v>
      </c>
      <c r="G9" s="6" t="s">
        <v>918</v>
      </c>
      <c r="H9" t="s">
        <v>1071</v>
      </c>
      <c r="I9">
        <f t="shared" si="0"/>
        <v>60</v>
      </c>
      <c r="J9">
        <f t="shared" si="1"/>
        <v>27.215542200000002</v>
      </c>
      <c r="K9">
        <v>3.25</v>
      </c>
      <c r="L9">
        <f t="shared" si="2"/>
        <v>88.450512150000009</v>
      </c>
      <c r="M9" s="6"/>
    </row>
    <row r="10" spans="1:13" x14ac:dyDescent="0.2">
      <c r="A10" s="4">
        <v>43434</v>
      </c>
      <c r="B10" t="s">
        <v>538</v>
      </c>
      <c r="C10">
        <v>2</v>
      </c>
      <c r="D10">
        <v>6</v>
      </c>
      <c r="E10">
        <v>6.6138700000000004</v>
      </c>
      <c r="F10" t="s">
        <v>447</v>
      </c>
      <c r="G10" t="s">
        <v>870</v>
      </c>
      <c r="H10" t="s">
        <v>1071</v>
      </c>
      <c r="I10">
        <f t="shared" si="0"/>
        <v>79.366440000000011</v>
      </c>
      <c r="J10">
        <f t="shared" si="1"/>
        <v>36.000011618062807</v>
      </c>
      <c r="K10">
        <v>0.84599999999999997</v>
      </c>
      <c r="L10">
        <f t="shared" si="2"/>
        <v>30.456009828881133</v>
      </c>
    </row>
    <row r="11" spans="1:13" x14ac:dyDescent="0.2">
      <c r="A11" s="4">
        <v>43402</v>
      </c>
      <c r="B11" t="s">
        <v>48</v>
      </c>
      <c r="C11" s="28">
        <v>6</v>
      </c>
      <c r="D11">
        <v>1</v>
      </c>
      <c r="E11">
        <v>11</v>
      </c>
      <c r="F11" t="s">
        <v>337</v>
      </c>
      <c r="G11" t="s">
        <v>816</v>
      </c>
      <c r="H11" t="s">
        <v>1071</v>
      </c>
      <c r="I11">
        <f t="shared" si="0"/>
        <v>66</v>
      </c>
      <c r="J11">
        <f t="shared" si="1"/>
        <v>29.937096420000003</v>
      </c>
      <c r="K11">
        <v>2.1709999999999998</v>
      </c>
      <c r="L11">
        <f t="shared" si="2"/>
        <v>64.993436327820007</v>
      </c>
    </row>
    <row r="12" spans="1:13" x14ac:dyDescent="0.2">
      <c r="A12" s="4">
        <v>43403</v>
      </c>
      <c r="B12" t="s">
        <v>48</v>
      </c>
      <c r="C12" s="28">
        <v>4</v>
      </c>
      <c r="D12">
        <v>1</v>
      </c>
      <c r="E12">
        <v>11</v>
      </c>
      <c r="F12" t="s">
        <v>337</v>
      </c>
      <c r="G12" t="s">
        <v>816</v>
      </c>
      <c r="H12" t="s">
        <v>1071</v>
      </c>
      <c r="I12">
        <f t="shared" si="0"/>
        <v>44</v>
      </c>
      <c r="J12">
        <f t="shared" si="1"/>
        <v>19.958064280000002</v>
      </c>
      <c r="K12">
        <v>2.1709999999999998</v>
      </c>
      <c r="L12">
        <f t="shared" si="2"/>
        <v>43.328957551880002</v>
      </c>
    </row>
    <row r="13" spans="1:13" x14ac:dyDescent="0.2">
      <c r="A13" s="4">
        <v>43434</v>
      </c>
      <c r="B13" t="s">
        <v>531</v>
      </c>
      <c r="C13">
        <v>4</v>
      </c>
      <c r="D13">
        <v>4</v>
      </c>
      <c r="E13">
        <v>6</v>
      </c>
      <c r="F13" t="s">
        <v>537</v>
      </c>
      <c r="G13" t="s">
        <v>858</v>
      </c>
      <c r="H13" t="s">
        <v>1071</v>
      </c>
      <c r="I13">
        <f t="shared" si="0"/>
        <v>96</v>
      </c>
      <c r="J13">
        <f t="shared" si="1"/>
        <v>43.544867520000004</v>
      </c>
      <c r="K13">
        <v>0.374</v>
      </c>
      <c r="L13">
        <f t="shared" si="2"/>
        <v>16.285780452480001</v>
      </c>
    </row>
    <row r="14" spans="1:13" x14ac:dyDescent="0.2">
      <c r="A14" s="4">
        <v>43437</v>
      </c>
      <c r="B14" t="s">
        <v>531</v>
      </c>
      <c r="C14">
        <v>5</v>
      </c>
      <c r="D14">
        <v>4</v>
      </c>
      <c r="E14">
        <v>6</v>
      </c>
      <c r="F14" t="s">
        <v>413</v>
      </c>
      <c r="G14" t="s">
        <v>858</v>
      </c>
      <c r="H14" t="s">
        <v>1071</v>
      </c>
      <c r="I14">
        <f t="shared" si="0"/>
        <v>120</v>
      </c>
      <c r="J14">
        <f t="shared" si="1"/>
        <v>54.431084400000003</v>
      </c>
      <c r="K14">
        <v>0.374</v>
      </c>
      <c r="L14">
        <f t="shared" si="2"/>
        <v>20.3572255656</v>
      </c>
    </row>
    <row r="15" spans="1:13" x14ac:dyDescent="0.2">
      <c r="A15" s="4">
        <v>43400</v>
      </c>
      <c r="B15" t="s">
        <v>48</v>
      </c>
      <c r="C15" s="28">
        <v>8</v>
      </c>
      <c r="D15">
        <v>1</v>
      </c>
      <c r="E15">
        <v>40</v>
      </c>
      <c r="F15" t="s">
        <v>249</v>
      </c>
      <c r="G15" t="s">
        <v>783</v>
      </c>
      <c r="H15" t="s">
        <v>1071</v>
      </c>
      <c r="I15">
        <f t="shared" si="0"/>
        <v>320</v>
      </c>
      <c r="J15">
        <f t="shared" si="1"/>
        <v>145.14955840000002</v>
      </c>
      <c r="K15">
        <v>0.374</v>
      </c>
      <c r="L15">
        <f t="shared" si="2"/>
        <v>54.285934841600003</v>
      </c>
    </row>
    <row r="16" spans="1:13" x14ac:dyDescent="0.2">
      <c r="B16" t="s">
        <v>48</v>
      </c>
      <c r="C16" s="28">
        <v>8</v>
      </c>
      <c r="D16">
        <v>1</v>
      </c>
      <c r="E16">
        <v>40</v>
      </c>
      <c r="F16" t="s">
        <v>249</v>
      </c>
      <c r="G16" t="s">
        <v>783</v>
      </c>
      <c r="H16" t="s">
        <v>1071</v>
      </c>
      <c r="I16">
        <f t="shared" si="0"/>
        <v>320</v>
      </c>
      <c r="J16">
        <f t="shared" si="1"/>
        <v>145.14955840000002</v>
      </c>
      <c r="K16">
        <v>0.374</v>
      </c>
      <c r="L16">
        <f t="shared" si="2"/>
        <v>54.285934841600003</v>
      </c>
    </row>
    <row r="17" spans="1:12" x14ac:dyDescent="0.2">
      <c r="B17" t="s">
        <v>48</v>
      </c>
      <c r="C17" s="28">
        <v>5</v>
      </c>
      <c r="D17">
        <v>1</v>
      </c>
      <c r="E17">
        <v>40</v>
      </c>
      <c r="F17" t="s">
        <v>249</v>
      </c>
      <c r="G17" t="s">
        <v>783</v>
      </c>
      <c r="H17" t="s">
        <v>1071</v>
      </c>
      <c r="I17">
        <f t="shared" si="0"/>
        <v>200</v>
      </c>
      <c r="J17">
        <f t="shared" si="1"/>
        <v>90.718474000000001</v>
      </c>
      <c r="K17">
        <v>0.374</v>
      </c>
      <c r="L17">
        <f t="shared" si="2"/>
        <v>33.928709275999999</v>
      </c>
    </row>
    <row r="18" spans="1:12" x14ac:dyDescent="0.2">
      <c r="A18" s="4">
        <v>43404</v>
      </c>
      <c r="B18" t="s">
        <v>48</v>
      </c>
      <c r="C18" s="28">
        <v>8</v>
      </c>
      <c r="D18">
        <v>1</v>
      </c>
      <c r="E18">
        <v>40</v>
      </c>
      <c r="F18" t="s">
        <v>249</v>
      </c>
      <c r="G18" t="s">
        <v>783</v>
      </c>
      <c r="H18" t="s">
        <v>1071</v>
      </c>
      <c r="I18">
        <f t="shared" si="0"/>
        <v>320</v>
      </c>
      <c r="J18">
        <f t="shared" si="1"/>
        <v>145.14955840000002</v>
      </c>
      <c r="K18">
        <v>0.374</v>
      </c>
      <c r="L18">
        <f t="shared" si="2"/>
        <v>54.285934841600003</v>
      </c>
    </row>
    <row r="19" spans="1:12" x14ac:dyDescent="0.2">
      <c r="A19" s="4">
        <v>43405</v>
      </c>
      <c r="B19" t="s">
        <v>48</v>
      </c>
      <c r="C19" s="28">
        <v>7</v>
      </c>
      <c r="D19">
        <v>1</v>
      </c>
      <c r="E19">
        <v>40</v>
      </c>
      <c r="F19" t="s">
        <v>249</v>
      </c>
      <c r="G19" t="s">
        <v>783</v>
      </c>
      <c r="H19" t="s">
        <v>1071</v>
      </c>
      <c r="I19">
        <f t="shared" si="0"/>
        <v>280</v>
      </c>
      <c r="J19">
        <f t="shared" si="1"/>
        <v>127.00586360000001</v>
      </c>
      <c r="K19">
        <v>0.374</v>
      </c>
      <c r="L19">
        <f t="shared" si="2"/>
        <v>47.500192986400002</v>
      </c>
    </row>
    <row r="20" spans="1:12" x14ac:dyDescent="0.2">
      <c r="A20" s="4">
        <v>43399</v>
      </c>
      <c r="B20" t="s">
        <v>48</v>
      </c>
      <c r="C20" s="28">
        <v>8</v>
      </c>
      <c r="D20">
        <v>1</v>
      </c>
      <c r="E20">
        <v>40</v>
      </c>
      <c r="F20" t="s">
        <v>249</v>
      </c>
      <c r="G20" t="s">
        <v>783</v>
      </c>
      <c r="H20" t="s">
        <v>1071</v>
      </c>
      <c r="I20">
        <f t="shared" si="0"/>
        <v>320</v>
      </c>
      <c r="J20">
        <f t="shared" si="1"/>
        <v>145.14955840000002</v>
      </c>
      <c r="K20">
        <v>0.374</v>
      </c>
      <c r="L20">
        <f t="shared" si="2"/>
        <v>54.285934841600003</v>
      </c>
    </row>
    <row r="21" spans="1:12" x14ac:dyDescent="0.2">
      <c r="A21" s="28"/>
      <c r="B21" t="s">
        <v>48</v>
      </c>
      <c r="C21" s="28">
        <v>2</v>
      </c>
      <c r="D21">
        <v>1</v>
      </c>
      <c r="E21">
        <v>1</v>
      </c>
      <c r="F21" t="s">
        <v>305</v>
      </c>
      <c r="G21" t="s">
        <v>184</v>
      </c>
      <c r="H21" t="s">
        <v>1071</v>
      </c>
      <c r="I21">
        <f t="shared" si="0"/>
        <v>2</v>
      </c>
      <c r="J21">
        <f t="shared" si="1"/>
        <v>0.90718474000000004</v>
      </c>
      <c r="K21">
        <v>0.221</v>
      </c>
      <c r="L21">
        <f t="shared" si="2"/>
        <v>0.20048782754000002</v>
      </c>
    </row>
    <row r="22" spans="1:12" x14ac:dyDescent="0.2">
      <c r="B22" t="s">
        <v>48</v>
      </c>
      <c r="C22" s="28">
        <v>2</v>
      </c>
      <c r="D22">
        <v>1</v>
      </c>
      <c r="E22">
        <v>1</v>
      </c>
      <c r="F22" t="s">
        <v>305</v>
      </c>
      <c r="G22" t="s">
        <v>184</v>
      </c>
      <c r="H22" t="s">
        <v>1071</v>
      </c>
      <c r="I22">
        <f t="shared" si="0"/>
        <v>2</v>
      </c>
      <c r="J22">
        <f t="shared" si="1"/>
        <v>0.90718474000000004</v>
      </c>
      <c r="K22">
        <v>0.221</v>
      </c>
      <c r="L22">
        <f t="shared" si="2"/>
        <v>0.20048782754000002</v>
      </c>
    </row>
    <row r="23" spans="1:12" x14ac:dyDescent="0.2">
      <c r="B23" t="s">
        <v>48</v>
      </c>
      <c r="C23" s="28">
        <v>3</v>
      </c>
      <c r="D23">
        <v>1</v>
      </c>
      <c r="E23">
        <v>1</v>
      </c>
      <c r="F23" t="s">
        <v>305</v>
      </c>
      <c r="G23" t="s">
        <v>184</v>
      </c>
      <c r="H23" t="s">
        <v>1071</v>
      </c>
      <c r="I23">
        <f t="shared" si="0"/>
        <v>3</v>
      </c>
      <c r="J23">
        <f t="shared" si="1"/>
        <v>1.3607771100000001</v>
      </c>
      <c r="K23">
        <v>0.221</v>
      </c>
      <c r="L23">
        <f t="shared" si="2"/>
        <v>0.30073174131000002</v>
      </c>
    </row>
    <row r="24" spans="1:12" x14ac:dyDescent="0.2">
      <c r="B24" t="s">
        <v>48</v>
      </c>
      <c r="C24" s="28">
        <v>3</v>
      </c>
      <c r="D24">
        <v>1</v>
      </c>
      <c r="E24">
        <v>1</v>
      </c>
      <c r="F24" t="s">
        <v>305</v>
      </c>
      <c r="G24" t="s">
        <v>184</v>
      </c>
      <c r="H24" t="s">
        <v>1071</v>
      </c>
      <c r="I24">
        <f t="shared" si="0"/>
        <v>3</v>
      </c>
      <c r="J24">
        <f t="shared" si="1"/>
        <v>1.3607771100000001</v>
      </c>
      <c r="K24">
        <v>0.221</v>
      </c>
      <c r="L24">
        <f t="shared" si="2"/>
        <v>0.30073174131000002</v>
      </c>
    </row>
    <row r="25" spans="1:12" x14ac:dyDescent="0.2">
      <c r="A25" s="4">
        <v>43434</v>
      </c>
      <c r="B25" t="s">
        <v>538</v>
      </c>
      <c r="C25">
        <v>3</v>
      </c>
      <c r="D25">
        <v>6</v>
      </c>
      <c r="E25">
        <v>10</v>
      </c>
      <c r="F25" t="s">
        <v>420</v>
      </c>
      <c r="G25" t="s">
        <v>898</v>
      </c>
      <c r="H25" t="s">
        <v>1071</v>
      </c>
      <c r="I25">
        <f t="shared" si="0"/>
        <v>180</v>
      </c>
      <c r="J25">
        <f t="shared" si="1"/>
        <v>81.646626600000005</v>
      </c>
      <c r="K25">
        <v>0.308</v>
      </c>
      <c r="L25">
        <f t="shared" si="2"/>
        <v>25.1471609928</v>
      </c>
    </row>
    <row r="26" spans="1:12" x14ac:dyDescent="0.2">
      <c r="A26" s="4">
        <v>43439</v>
      </c>
      <c r="B26" t="s">
        <v>538</v>
      </c>
      <c r="C26">
        <v>1</v>
      </c>
      <c r="D26">
        <v>6</v>
      </c>
      <c r="E26">
        <v>10</v>
      </c>
      <c r="F26" t="s">
        <v>420</v>
      </c>
      <c r="G26" t="s">
        <v>898</v>
      </c>
      <c r="H26" t="s">
        <v>1071</v>
      </c>
      <c r="I26">
        <f t="shared" si="0"/>
        <v>60</v>
      </c>
      <c r="J26">
        <f t="shared" si="1"/>
        <v>27.215542200000002</v>
      </c>
      <c r="K26">
        <v>0.308</v>
      </c>
      <c r="L26">
        <f t="shared" si="2"/>
        <v>8.3823869976000012</v>
      </c>
    </row>
    <row r="27" spans="1:12" x14ac:dyDescent="0.2">
      <c r="A27" s="4">
        <v>43434</v>
      </c>
      <c r="B27" t="s">
        <v>538</v>
      </c>
      <c r="C27">
        <v>2</v>
      </c>
      <c r="D27">
        <v>6</v>
      </c>
      <c r="E27">
        <v>10</v>
      </c>
      <c r="F27" t="s">
        <v>565</v>
      </c>
      <c r="G27" t="s">
        <v>935</v>
      </c>
      <c r="H27" t="s">
        <v>1071</v>
      </c>
      <c r="I27">
        <f t="shared" si="0"/>
        <v>120</v>
      </c>
      <c r="J27">
        <f t="shared" si="1"/>
        <v>54.431084400000003</v>
      </c>
      <c r="K27">
        <v>0.308</v>
      </c>
      <c r="L27">
        <f t="shared" si="2"/>
        <v>16.764773995200002</v>
      </c>
    </row>
    <row r="28" spans="1:12" x14ac:dyDescent="0.2">
      <c r="A28" s="4">
        <v>43434</v>
      </c>
      <c r="B28" t="s">
        <v>538</v>
      </c>
      <c r="C28">
        <v>3</v>
      </c>
      <c r="D28">
        <v>6</v>
      </c>
      <c r="E28">
        <v>10</v>
      </c>
      <c r="F28" t="s">
        <v>540</v>
      </c>
      <c r="G28" t="s">
        <v>897</v>
      </c>
      <c r="H28" t="s">
        <v>1071</v>
      </c>
      <c r="I28">
        <f t="shared" si="0"/>
        <v>180</v>
      </c>
      <c r="J28">
        <f t="shared" si="1"/>
        <v>81.646626600000005</v>
      </c>
      <c r="K28">
        <v>0.308</v>
      </c>
      <c r="L28">
        <f t="shared" si="2"/>
        <v>25.1471609928</v>
      </c>
    </row>
    <row r="29" spans="1:12" x14ac:dyDescent="0.2">
      <c r="A29" s="4">
        <v>43439</v>
      </c>
      <c r="B29" t="s">
        <v>538</v>
      </c>
      <c r="C29">
        <v>1</v>
      </c>
      <c r="D29">
        <v>6</v>
      </c>
      <c r="E29">
        <v>10</v>
      </c>
      <c r="F29" t="s">
        <v>440</v>
      </c>
      <c r="G29" t="s">
        <v>922</v>
      </c>
      <c r="H29" t="s">
        <v>1071</v>
      </c>
      <c r="I29">
        <f t="shared" si="0"/>
        <v>60</v>
      </c>
      <c r="J29">
        <f t="shared" si="1"/>
        <v>27.215542200000002</v>
      </c>
      <c r="K29">
        <v>0.308</v>
      </c>
      <c r="L29">
        <f t="shared" si="2"/>
        <v>8.3823869976000012</v>
      </c>
    </row>
    <row r="30" spans="1:12" x14ac:dyDescent="0.2">
      <c r="A30" s="4">
        <v>43439</v>
      </c>
      <c r="B30" t="s">
        <v>538</v>
      </c>
      <c r="C30">
        <v>1</v>
      </c>
      <c r="D30">
        <v>1</v>
      </c>
      <c r="E30">
        <v>20</v>
      </c>
      <c r="F30" t="s">
        <v>591</v>
      </c>
      <c r="G30" t="s">
        <v>920</v>
      </c>
      <c r="H30" t="s">
        <v>1071</v>
      </c>
      <c r="I30">
        <f t="shared" si="0"/>
        <v>20</v>
      </c>
      <c r="J30">
        <f t="shared" si="1"/>
        <v>9.0718474000000011</v>
      </c>
      <c r="K30">
        <v>0.308</v>
      </c>
      <c r="L30">
        <f t="shared" si="2"/>
        <v>2.7941289992000002</v>
      </c>
    </row>
    <row r="31" spans="1:12" x14ac:dyDescent="0.2">
      <c r="B31" t="s">
        <v>48</v>
      </c>
      <c r="C31" s="28">
        <v>4</v>
      </c>
      <c r="D31">
        <v>1</v>
      </c>
      <c r="E31">
        <v>10</v>
      </c>
      <c r="F31" t="s">
        <v>358</v>
      </c>
      <c r="G31" t="s">
        <v>833</v>
      </c>
      <c r="H31" t="s">
        <v>1071</v>
      </c>
      <c r="I31">
        <f t="shared" si="0"/>
        <v>40</v>
      </c>
      <c r="J31">
        <f t="shared" si="1"/>
        <v>18.143694800000002</v>
      </c>
      <c r="K31">
        <v>0.754</v>
      </c>
      <c r="L31">
        <f t="shared" si="2"/>
        <v>13.680345879200003</v>
      </c>
    </row>
    <row r="32" spans="1:12" x14ac:dyDescent="0.2">
      <c r="A32" s="28"/>
      <c r="B32" t="s">
        <v>48</v>
      </c>
      <c r="C32" s="28">
        <v>5</v>
      </c>
      <c r="D32">
        <v>1</v>
      </c>
      <c r="E32">
        <v>10</v>
      </c>
      <c r="F32" t="s">
        <v>297</v>
      </c>
      <c r="G32" t="s">
        <v>936</v>
      </c>
      <c r="H32" t="s">
        <v>1071</v>
      </c>
      <c r="I32">
        <f t="shared" si="0"/>
        <v>50</v>
      </c>
      <c r="J32">
        <f t="shared" si="1"/>
        <v>22.6796185</v>
      </c>
      <c r="K32">
        <v>0.66200000000000003</v>
      </c>
      <c r="L32">
        <f t="shared" si="2"/>
        <v>15.013907447000001</v>
      </c>
    </row>
    <row r="33" spans="1:12" x14ac:dyDescent="0.2">
      <c r="B33" t="s">
        <v>48</v>
      </c>
      <c r="C33" s="28">
        <v>2</v>
      </c>
      <c r="D33">
        <v>1</v>
      </c>
      <c r="E33">
        <v>10</v>
      </c>
      <c r="F33" t="s">
        <v>297</v>
      </c>
      <c r="G33" t="s">
        <v>936</v>
      </c>
      <c r="H33" t="s">
        <v>1071</v>
      </c>
      <c r="I33">
        <f t="shared" si="0"/>
        <v>20</v>
      </c>
      <c r="J33">
        <f t="shared" si="1"/>
        <v>9.0718474000000011</v>
      </c>
      <c r="K33">
        <v>0.66200000000000003</v>
      </c>
      <c r="L33">
        <f t="shared" si="2"/>
        <v>6.0055629788000013</v>
      </c>
    </row>
    <row r="34" spans="1:12" x14ac:dyDescent="0.2">
      <c r="B34" t="s">
        <v>48</v>
      </c>
      <c r="C34" s="28">
        <v>5</v>
      </c>
      <c r="D34">
        <v>1</v>
      </c>
      <c r="E34">
        <v>10</v>
      </c>
      <c r="F34" t="s">
        <v>347</v>
      </c>
      <c r="G34" t="s">
        <v>936</v>
      </c>
      <c r="H34" t="s">
        <v>1071</v>
      </c>
      <c r="I34">
        <f t="shared" si="0"/>
        <v>50</v>
      </c>
      <c r="J34">
        <f t="shared" si="1"/>
        <v>22.6796185</v>
      </c>
      <c r="K34">
        <v>0.66200000000000003</v>
      </c>
      <c r="L34">
        <f t="shared" si="2"/>
        <v>15.013907447000001</v>
      </c>
    </row>
    <row r="35" spans="1:12" x14ac:dyDescent="0.2">
      <c r="B35" t="s">
        <v>48</v>
      </c>
      <c r="C35" s="28">
        <v>4</v>
      </c>
      <c r="D35">
        <v>1</v>
      </c>
      <c r="E35">
        <v>10</v>
      </c>
      <c r="F35" t="s">
        <v>297</v>
      </c>
      <c r="G35" t="s">
        <v>936</v>
      </c>
      <c r="H35" t="s">
        <v>1071</v>
      </c>
      <c r="I35">
        <f t="shared" si="0"/>
        <v>40</v>
      </c>
      <c r="J35">
        <f t="shared" si="1"/>
        <v>18.143694800000002</v>
      </c>
      <c r="K35">
        <v>0.66200000000000003</v>
      </c>
      <c r="L35">
        <f t="shared" si="2"/>
        <v>12.011125957600003</v>
      </c>
    </row>
    <row r="36" spans="1:12" x14ac:dyDescent="0.2">
      <c r="A36" s="4">
        <v>43405</v>
      </c>
      <c r="B36" t="s">
        <v>48</v>
      </c>
      <c r="C36" s="28">
        <v>4</v>
      </c>
      <c r="D36">
        <v>1</v>
      </c>
      <c r="E36">
        <v>10</v>
      </c>
      <c r="F36" t="s">
        <v>236</v>
      </c>
      <c r="G36" t="s">
        <v>936</v>
      </c>
      <c r="H36" t="s">
        <v>1071</v>
      </c>
      <c r="I36">
        <f t="shared" si="0"/>
        <v>40</v>
      </c>
      <c r="J36">
        <f t="shared" si="1"/>
        <v>18.143694800000002</v>
      </c>
      <c r="K36">
        <v>0.66200000000000003</v>
      </c>
      <c r="L36">
        <f t="shared" si="2"/>
        <v>12.011125957600003</v>
      </c>
    </row>
    <row r="37" spans="1:12" x14ac:dyDescent="0.2">
      <c r="B37" t="s">
        <v>48</v>
      </c>
      <c r="C37" s="28">
        <v>8</v>
      </c>
      <c r="D37">
        <v>1</v>
      </c>
      <c r="E37">
        <v>10</v>
      </c>
      <c r="F37" t="s">
        <v>297</v>
      </c>
      <c r="G37" t="s">
        <v>936</v>
      </c>
      <c r="H37" t="s">
        <v>1071</v>
      </c>
      <c r="I37">
        <f t="shared" si="0"/>
        <v>80</v>
      </c>
      <c r="J37">
        <f t="shared" si="1"/>
        <v>36.287389600000004</v>
      </c>
      <c r="K37">
        <v>0.66200000000000003</v>
      </c>
      <c r="L37">
        <f t="shared" si="2"/>
        <v>24.022251915200005</v>
      </c>
    </row>
    <row r="38" spans="1:12" x14ac:dyDescent="0.2">
      <c r="A38" s="4">
        <v>43399</v>
      </c>
      <c r="B38" t="s">
        <v>175</v>
      </c>
      <c r="C38" s="28">
        <v>1</v>
      </c>
      <c r="D38">
        <v>1</v>
      </c>
      <c r="E38">
        <v>81.040000000000006</v>
      </c>
      <c r="F38" t="s">
        <v>177</v>
      </c>
      <c r="G38" t="s">
        <v>10</v>
      </c>
      <c r="H38" t="s">
        <v>1072</v>
      </c>
      <c r="I38">
        <f t="shared" si="0"/>
        <v>81.040000000000006</v>
      </c>
      <c r="J38">
        <f t="shared" si="1"/>
        <v>36.759125664800003</v>
      </c>
      <c r="K38">
        <v>32.845999999999997</v>
      </c>
      <c r="L38">
        <f t="shared" si="2"/>
        <v>1207.3902415860207</v>
      </c>
    </row>
    <row r="39" spans="1:12" x14ac:dyDescent="0.2">
      <c r="A39" s="4">
        <v>43399</v>
      </c>
      <c r="B39" t="s">
        <v>283</v>
      </c>
      <c r="C39" s="28">
        <v>1</v>
      </c>
      <c r="D39">
        <v>1</v>
      </c>
      <c r="E39">
        <v>120</v>
      </c>
      <c r="F39" t="s">
        <v>12</v>
      </c>
      <c r="G39" t="s">
        <v>10</v>
      </c>
      <c r="H39" t="s">
        <v>1072</v>
      </c>
      <c r="I39">
        <f t="shared" si="0"/>
        <v>120</v>
      </c>
      <c r="J39">
        <f t="shared" si="1"/>
        <v>54.431084400000003</v>
      </c>
      <c r="K39">
        <v>32.845999999999997</v>
      </c>
      <c r="L39">
        <f t="shared" si="2"/>
        <v>1787.8433982023998</v>
      </c>
    </row>
    <row r="40" spans="1:12" x14ac:dyDescent="0.2">
      <c r="A40" s="4">
        <v>43399</v>
      </c>
      <c r="B40" t="s">
        <v>283</v>
      </c>
      <c r="C40" s="28">
        <v>1</v>
      </c>
      <c r="D40">
        <v>1</v>
      </c>
      <c r="E40">
        <v>40</v>
      </c>
      <c r="F40" t="s">
        <v>11</v>
      </c>
      <c r="G40" t="s">
        <v>10</v>
      </c>
      <c r="H40" t="s">
        <v>1072</v>
      </c>
      <c r="I40">
        <f t="shared" si="0"/>
        <v>40</v>
      </c>
      <c r="J40">
        <f t="shared" si="1"/>
        <v>18.143694800000002</v>
      </c>
      <c r="K40">
        <v>32.845999999999997</v>
      </c>
      <c r="L40">
        <f t="shared" si="2"/>
        <v>595.94779940080002</v>
      </c>
    </row>
    <row r="41" spans="1:12" x14ac:dyDescent="0.2">
      <c r="A41" s="4">
        <v>43399</v>
      </c>
      <c r="B41" t="s">
        <v>283</v>
      </c>
      <c r="C41" s="28">
        <v>1</v>
      </c>
      <c r="D41">
        <v>1</v>
      </c>
      <c r="E41">
        <v>100</v>
      </c>
      <c r="F41" t="s">
        <v>11</v>
      </c>
      <c r="G41" t="s">
        <v>10</v>
      </c>
      <c r="H41" t="s">
        <v>1072</v>
      </c>
      <c r="I41">
        <f t="shared" si="0"/>
        <v>100</v>
      </c>
      <c r="J41">
        <f t="shared" si="1"/>
        <v>45.359237</v>
      </c>
      <c r="K41">
        <v>32.845999999999997</v>
      </c>
      <c r="L41">
        <f t="shared" si="2"/>
        <v>1489.8694985019999</v>
      </c>
    </row>
    <row r="42" spans="1:12" x14ac:dyDescent="0.2">
      <c r="A42" s="4">
        <v>43399</v>
      </c>
      <c r="B42" t="s">
        <v>283</v>
      </c>
      <c r="C42" s="28">
        <v>1</v>
      </c>
      <c r="D42">
        <v>1</v>
      </c>
      <c r="E42">
        <v>240</v>
      </c>
      <c r="F42" t="s">
        <v>12</v>
      </c>
      <c r="G42" t="s">
        <v>10</v>
      </c>
      <c r="H42" t="s">
        <v>1072</v>
      </c>
      <c r="I42">
        <f t="shared" si="0"/>
        <v>240</v>
      </c>
      <c r="J42">
        <f t="shared" si="1"/>
        <v>108.86216880000001</v>
      </c>
      <c r="K42">
        <v>32.845999999999997</v>
      </c>
      <c r="L42">
        <f t="shared" si="2"/>
        <v>3575.6867964047997</v>
      </c>
    </row>
    <row r="43" spans="1:12" x14ac:dyDescent="0.2">
      <c r="A43" s="4">
        <v>43434</v>
      </c>
      <c r="B43" t="s">
        <v>525</v>
      </c>
      <c r="C43">
        <v>1</v>
      </c>
      <c r="D43">
        <v>1</v>
      </c>
      <c r="E43">
        <v>220.62</v>
      </c>
      <c r="F43" t="s">
        <v>397</v>
      </c>
      <c r="G43" t="s">
        <v>850</v>
      </c>
      <c r="H43" t="s">
        <v>1072</v>
      </c>
      <c r="I43">
        <f t="shared" si="0"/>
        <v>220.62</v>
      </c>
      <c r="J43">
        <f t="shared" si="1"/>
        <v>100.0715486694</v>
      </c>
      <c r="K43">
        <v>32.845999999999997</v>
      </c>
      <c r="L43">
        <f t="shared" si="2"/>
        <v>3286.9500875951121</v>
      </c>
    </row>
    <row r="44" spans="1:12" x14ac:dyDescent="0.2">
      <c r="A44" s="4">
        <v>43439</v>
      </c>
      <c r="B44" t="s">
        <v>525</v>
      </c>
      <c r="C44">
        <v>4</v>
      </c>
      <c r="D44">
        <v>1</v>
      </c>
      <c r="E44">
        <v>10</v>
      </c>
      <c r="F44" t="s">
        <v>588</v>
      </c>
      <c r="G44" t="s">
        <v>10</v>
      </c>
      <c r="H44" t="s">
        <v>1072</v>
      </c>
      <c r="I44">
        <f t="shared" si="0"/>
        <v>40</v>
      </c>
      <c r="J44">
        <f t="shared" si="1"/>
        <v>18.143694800000002</v>
      </c>
      <c r="K44">
        <v>32.845999999999997</v>
      </c>
      <c r="L44">
        <f t="shared" si="2"/>
        <v>595.94779940080002</v>
      </c>
    </row>
    <row r="45" spans="1:12" x14ac:dyDescent="0.2">
      <c r="A45" s="4">
        <v>43439</v>
      </c>
      <c r="B45" t="s">
        <v>525</v>
      </c>
      <c r="C45">
        <v>1</v>
      </c>
      <c r="D45">
        <v>1</v>
      </c>
      <c r="E45">
        <v>143.28</v>
      </c>
      <c r="F45" t="s">
        <v>397</v>
      </c>
      <c r="G45" t="s">
        <v>850</v>
      </c>
      <c r="H45" t="s">
        <v>1072</v>
      </c>
      <c r="I45">
        <f t="shared" si="0"/>
        <v>143.28</v>
      </c>
      <c r="J45">
        <f t="shared" si="1"/>
        <v>64.990714773600004</v>
      </c>
      <c r="K45">
        <v>32.845999999999997</v>
      </c>
      <c r="L45">
        <f t="shared" si="2"/>
        <v>2134.6850174536653</v>
      </c>
    </row>
    <row r="46" spans="1:12" x14ac:dyDescent="0.2">
      <c r="B46" t="s">
        <v>48</v>
      </c>
      <c r="C46" s="28">
        <v>1</v>
      </c>
      <c r="D46">
        <v>1</v>
      </c>
      <c r="E46">
        <v>25</v>
      </c>
      <c r="F46" t="s">
        <v>361</v>
      </c>
      <c r="G46" t="s">
        <v>820</v>
      </c>
      <c r="H46" t="s">
        <v>1071</v>
      </c>
      <c r="I46">
        <f t="shared" si="0"/>
        <v>25</v>
      </c>
      <c r="J46">
        <f t="shared" si="1"/>
        <v>11.33980925</v>
      </c>
      <c r="K46">
        <v>0.19400000000000001</v>
      </c>
      <c r="L46">
        <f t="shared" si="2"/>
        <v>2.1999229945000001</v>
      </c>
    </row>
    <row r="47" spans="1:12" x14ac:dyDescent="0.2">
      <c r="A47" s="4">
        <v>43434</v>
      </c>
      <c r="B47" t="s">
        <v>531</v>
      </c>
      <c r="C47">
        <v>4</v>
      </c>
      <c r="D47">
        <v>40</v>
      </c>
      <c r="E47">
        <f>4/16</f>
        <v>0.25</v>
      </c>
      <c r="F47" t="s">
        <v>536</v>
      </c>
      <c r="G47" s="6" t="s">
        <v>893</v>
      </c>
      <c r="H47" t="s">
        <v>1071</v>
      </c>
      <c r="I47">
        <f t="shared" si="0"/>
        <v>40</v>
      </c>
      <c r="J47">
        <f t="shared" si="1"/>
        <v>18.143694800000002</v>
      </c>
      <c r="K47">
        <v>3.5270000000000001</v>
      </c>
      <c r="L47">
        <f t="shared" si="2"/>
        <v>63.992811559600007</v>
      </c>
    </row>
    <row r="48" spans="1:12" x14ac:dyDescent="0.2">
      <c r="A48" s="4">
        <v>43434</v>
      </c>
      <c r="B48" t="s">
        <v>531</v>
      </c>
      <c r="C48">
        <v>2</v>
      </c>
      <c r="D48">
        <v>2</v>
      </c>
      <c r="E48">
        <v>5</v>
      </c>
      <c r="F48" t="s">
        <v>535</v>
      </c>
      <c r="G48" s="14" t="s">
        <v>1087</v>
      </c>
      <c r="H48" s="6" t="s">
        <v>1071</v>
      </c>
      <c r="I48">
        <f t="shared" si="0"/>
        <v>20</v>
      </c>
      <c r="J48">
        <f t="shared" si="1"/>
        <v>9.0718474000000011</v>
      </c>
      <c r="K48">
        <v>0</v>
      </c>
      <c r="L48">
        <f t="shared" si="2"/>
        <v>0</v>
      </c>
    </row>
    <row r="49" spans="1:12" x14ac:dyDescent="0.2">
      <c r="A49" s="4">
        <v>43434</v>
      </c>
      <c r="B49" t="s">
        <v>531</v>
      </c>
      <c r="C49">
        <v>2</v>
      </c>
      <c r="D49">
        <v>210</v>
      </c>
      <c r="E49" t="s">
        <v>1017</v>
      </c>
      <c r="F49" t="s">
        <v>409</v>
      </c>
      <c r="G49" s="14" t="s">
        <v>1086</v>
      </c>
      <c r="H49" s="9" t="s">
        <v>1071</v>
      </c>
      <c r="I49">
        <v>0</v>
      </c>
      <c r="J49">
        <f t="shared" si="1"/>
        <v>0</v>
      </c>
      <c r="K49">
        <v>2.2999999999999998</v>
      </c>
      <c r="L49">
        <f t="shared" si="2"/>
        <v>0</v>
      </c>
    </row>
    <row r="50" spans="1:12" x14ac:dyDescent="0.2">
      <c r="A50" s="4">
        <v>43434</v>
      </c>
      <c r="B50" t="s">
        <v>531</v>
      </c>
      <c r="C50">
        <v>4</v>
      </c>
      <c r="D50">
        <v>48</v>
      </c>
      <c r="E50">
        <v>0.18124999999999999</v>
      </c>
      <c r="F50" t="s">
        <v>417</v>
      </c>
      <c r="G50" s="6" t="s">
        <v>895</v>
      </c>
      <c r="H50" t="s">
        <v>1071</v>
      </c>
      <c r="I50">
        <f t="shared" ref="I50:I81" si="3">C50*D50*E50</f>
        <v>34.799999999999997</v>
      </c>
      <c r="J50">
        <f t="shared" si="1"/>
        <v>15.785014475999999</v>
      </c>
      <c r="K50">
        <v>6.87</v>
      </c>
      <c r="L50">
        <f t="shared" si="2"/>
        <v>108.44304945012</v>
      </c>
    </row>
    <row r="51" spans="1:12" x14ac:dyDescent="0.2">
      <c r="B51" t="s">
        <v>48</v>
      </c>
      <c r="C51" s="28">
        <v>4</v>
      </c>
      <c r="D51">
        <v>1</v>
      </c>
      <c r="E51">
        <v>6</v>
      </c>
      <c r="F51" t="s">
        <v>252</v>
      </c>
      <c r="G51" t="s">
        <v>252</v>
      </c>
      <c r="H51" t="s">
        <v>1071</v>
      </c>
      <c r="I51">
        <f t="shared" si="3"/>
        <v>24</v>
      </c>
      <c r="J51">
        <f t="shared" si="1"/>
        <v>10.886216880000001</v>
      </c>
      <c r="K51">
        <v>0.59899999999999998</v>
      </c>
      <c r="L51">
        <f t="shared" si="2"/>
        <v>6.5208439111200001</v>
      </c>
    </row>
    <row r="52" spans="1:12" x14ac:dyDescent="0.2">
      <c r="B52" t="s">
        <v>48</v>
      </c>
      <c r="C52" s="28">
        <v>5</v>
      </c>
      <c r="D52">
        <v>1</v>
      </c>
      <c r="E52">
        <v>6</v>
      </c>
      <c r="F52" t="s">
        <v>252</v>
      </c>
      <c r="G52" t="s">
        <v>252</v>
      </c>
      <c r="H52" t="s">
        <v>1071</v>
      </c>
      <c r="I52">
        <f t="shared" si="3"/>
        <v>30</v>
      </c>
      <c r="J52">
        <f t="shared" si="1"/>
        <v>13.607771100000001</v>
      </c>
      <c r="K52">
        <v>0.59899999999999998</v>
      </c>
      <c r="L52">
        <f t="shared" si="2"/>
        <v>8.151054888900001</v>
      </c>
    </row>
    <row r="53" spans="1:12" x14ac:dyDescent="0.2">
      <c r="A53" s="4">
        <v>43434</v>
      </c>
      <c r="B53" t="s">
        <v>538</v>
      </c>
      <c r="C53">
        <v>1</v>
      </c>
      <c r="D53">
        <v>1</v>
      </c>
      <c r="E53">
        <v>25</v>
      </c>
      <c r="F53" t="s">
        <v>551</v>
      </c>
      <c r="G53" s="6" t="s">
        <v>868</v>
      </c>
      <c r="H53" t="s">
        <v>1071</v>
      </c>
      <c r="I53">
        <f t="shared" si="3"/>
        <v>25</v>
      </c>
      <c r="J53">
        <f t="shared" si="1"/>
        <v>11.33980925</v>
      </c>
      <c r="K53">
        <v>1.28</v>
      </c>
      <c r="L53">
        <f t="shared" si="2"/>
        <v>14.514955840000001</v>
      </c>
    </row>
    <row r="54" spans="1:12" x14ac:dyDescent="0.2">
      <c r="A54" s="4">
        <v>43439</v>
      </c>
      <c r="B54" t="s">
        <v>531</v>
      </c>
      <c r="C54">
        <v>1</v>
      </c>
      <c r="D54">
        <v>10</v>
      </c>
      <c r="E54">
        <v>1</v>
      </c>
      <c r="F54" t="s">
        <v>410</v>
      </c>
      <c r="G54" s="6" t="s">
        <v>868</v>
      </c>
      <c r="H54" t="s">
        <v>1071</v>
      </c>
      <c r="I54">
        <f t="shared" si="3"/>
        <v>10</v>
      </c>
      <c r="J54">
        <f t="shared" si="1"/>
        <v>4.5359237000000006</v>
      </c>
      <c r="K54">
        <v>1.28</v>
      </c>
      <c r="L54">
        <f t="shared" si="2"/>
        <v>5.8059823360000005</v>
      </c>
    </row>
    <row r="55" spans="1:12" x14ac:dyDescent="0.2">
      <c r="A55" s="28"/>
      <c r="B55" t="s">
        <v>48</v>
      </c>
      <c r="C55" s="28">
        <v>10</v>
      </c>
      <c r="D55">
        <v>1</v>
      </c>
      <c r="E55">
        <v>12</v>
      </c>
      <c r="F55" t="s">
        <v>298</v>
      </c>
      <c r="G55" t="s">
        <v>784</v>
      </c>
      <c r="H55" t="s">
        <v>1071</v>
      </c>
      <c r="I55">
        <f t="shared" si="3"/>
        <v>120</v>
      </c>
      <c r="J55">
        <f t="shared" si="1"/>
        <v>54.431084400000003</v>
      </c>
      <c r="K55">
        <v>0.79700000000000004</v>
      </c>
      <c r="L55">
        <f t="shared" si="2"/>
        <v>43.381574266800001</v>
      </c>
    </row>
    <row r="56" spans="1:12" x14ac:dyDescent="0.2">
      <c r="B56" t="s">
        <v>48</v>
      </c>
      <c r="C56" s="28">
        <v>4</v>
      </c>
      <c r="D56">
        <v>1</v>
      </c>
      <c r="E56">
        <v>12</v>
      </c>
      <c r="F56" t="s">
        <v>298</v>
      </c>
      <c r="G56" t="s">
        <v>784</v>
      </c>
      <c r="H56" t="s">
        <v>1071</v>
      </c>
      <c r="I56">
        <f t="shared" si="3"/>
        <v>48</v>
      </c>
      <c r="J56">
        <f t="shared" si="1"/>
        <v>21.772433760000002</v>
      </c>
      <c r="K56">
        <v>0.79700000000000004</v>
      </c>
      <c r="L56">
        <f t="shared" si="2"/>
        <v>17.352629706720002</v>
      </c>
    </row>
    <row r="57" spans="1:12" x14ac:dyDescent="0.2">
      <c r="B57" t="s">
        <v>48</v>
      </c>
      <c r="C57" s="28">
        <v>10</v>
      </c>
      <c r="D57">
        <v>1</v>
      </c>
      <c r="E57">
        <v>12</v>
      </c>
      <c r="F57" t="s">
        <v>298</v>
      </c>
      <c r="G57" t="s">
        <v>784</v>
      </c>
      <c r="H57" t="s">
        <v>1071</v>
      </c>
      <c r="I57">
        <f t="shared" si="3"/>
        <v>120</v>
      </c>
      <c r="J57">
        <f t="shared" si="1"/>
        <v>54.431084400000003</v>
      </c>
      <c r="K57">
        <v>0.79700000000000004</v>
      </c>
      <c r="L57">
        <f t="shared" si="2"/>
        <v>43.381574266800001</v>
      </c>
    </row>
    <row r="58" spans="1:12" x14ac:dyDescent="0.2">
      <c r="B58" t="s">
        <v>48</v>
      </c>
      <c r="C58" s="28">
        <v>10</v>
      </c>
      <c r="D58">
        <v>1</v>
      </c>
      <c r="E58">
        <v>12</v>
      </c>
      <c r="F58" t="s">
        <v>298</v>
      </c>
      <c r="G58" t="s">
        <v>784</v>
      </c>
      <c r="H58" t="s">
        <v>1071</v>
      </c>
      <c r="I58">
        <f t="shared" si="3"/>
        <v>120</v>
      </c>
      <c r="J58">
        <f t="shared" si="1"/>
        <v>54.431084400000003</v>
      </c>
      <c r="K58">
        <v>0.79700000000000004</v>
      </c>
      <c r="L58">
        <f t="shared" si="2"/>
        <v>43.381574266800001</v>
      </c>
    </row>
    <row r="59" spans="1:12" x14ac:dyDescent="0.2">
      <c r="B59" t="s">
        <v>48</v>
      </c>
      <c r="C59" s="28">
        <v>6</v>
      </c>
      <c r="D59">
        <v>1</v>
      </c>
      <c r="E59">
        <v>12</v>
      </c>
      <c r="F59" t="s">
        <v>359</v>
      </c>
      <c r="G59" t="s">
        <v>204</v>
      </c>
      <c r="H59" t="s">
        <v>1071</v>
      </c>
      <c r="I59">
        <f t="shared" si="3"/>
        <v>72</v>
      </c>
      <c r="J59">
        <f t="shared" si="1"/>
        <v>32.658650639999998</v>
      </c>
      <c r="K59">
        <v>0.79700000000000004</v>
      </c>
      <c r="L59">
        <f t="shared" si="2"/>
        <v>26.028944560079999</v>
      </c>
    </row>
    <row r="60" spans="1:12" x14ac:dyDescent="0.2">
      <c r="B60" t="s">
        <v>48</v>
      </c>
      <c r="C60" s="28">
        <v>10</v>
      </c>
      <c r="D60">
        <v>1</v>
      </c>
      <c r="E60">
        <v>12</v>
      </c>
      <c r="F60" t="s">
        <v>298</v>
      </c>
      <c r="G60" t="s">
        <v>784</v>
      </c>
      <c r="H60" t="s">
        <v>1071</v>
      </c>
      <c r="I60">
        <f t="shared" si="3"/>
        <v>120</v>
      </c>
      <c r="J60">
        <f t="shared" si="1"/>
        <v>54.431084400000003</v>
      </c>
      <c r="K60">
        <v>0.79700000000000004</v>
      </c>
      <c r="L60">
        <f t="shared" si="2"/>
        <v>43.381574266800001</v>
      </c>
    </row>
    <row r="61" spans="1:12" x14ac:dyDescent="0.2">
      <c r="B61" t="s">
        <v>48</v>
      </c>
      <c r="C61" s="28">
        <v>2</v>
      </c>
      <c r="D61">
        <v>1</v>
      </c>
      <c r="E61">
        <v>20</v>
      </c>
      <c r="F61" t="s">
        <v>355</v>
      </c>
      <c r="G61" t="s">
        <v>832</v>
      </c>
      <c r="H61" t="s">
        <v>1071</v>
      </c>
      <c r="I61">
        <f t="shared" si="3"/>
        <v>40</v>
      </c>
      <c r="J61">
        <f t="shared" si="1"/>
        <v>18.143694800000002</v>
      </c>
      <c r="K61">
        <v>0.49</v>
      </c>
      <c r="L61">
        <f t="shared" si="2"/>
        <v>8.8904104520000011</v>
      </c>
    </row>
    <row r="62" spans="1:12" x14ac:dyDescent="0.2">
      <c r="A62" s="4">
        <v>43439</v>
      </c>
      <c r="B62" t="s">
        <v>531</v>
      </c>
      <c r="C62">
        <v>2</v>
      </c>
      <c r="D62">
        <v>12</v>
      </c>
      <c r="E62">
        <f>6*(3.5/16)</f>
        <v>1.3125</v>
      </c>
      <c r="F62" t="s">
        <v>589</v>
      </c>
      <c r="G62" s="6" t="s">
        <v>880</v>
      </c>
      <c r="H62" t="s">
        <v>1071</v>
      </c>
      <c r="I62">
        <f t="shared" si="3"/>
        <v>31.5</v>
      </c>
      <c r="J62">
        <f t="shared" si="1"/>
        <v>14.288159655000001</v>
      </c>
      <c r="K62">
        <v>1.28</v>
      </c>
      <c r="L62">
        <f t="shared" si="2"/>
        <v>18.288844358400002</v>
      </c>
    </row>
    <row r="63" spans="1:12" x14ac:dyDescent="0.2">
      <c r="A63" s="4">
        <v>43434</v>
      </c>
      <c r="B63" t="s">
        <v>517</v>
      </c>
      <c r="C63">
        <v>2</v>
      </c>
      <c r="D63">
        <v>36</v>
      </c>
      <c r="E63">
        <v>1</v>
      </c>
      <c r="F63" t="s">
        <v>382</v>
      </c>
      <c r="G63" t="s">
        <v>845</v>
      </c>
      <c r="H63" t="s">
        <v>1073</v>
      </c>
      <c r="I63">
        <f t="shared" si="3"/>
        <v>72</v>
      </c>
      <c r="J63">
        <f t="shared" si="1"/>
        <v>32.658650639999998</v>
      </c>
      <c r="K63">
        <v>11.52</v>
      </c>
      <c r="L63">
        <f t="shared" si="2"/>
        <v>376.22765537279997</v>
      </c>
    </row>
    <row r="64" spans="1:12" x14ac:dyDescent="0.2">
      <c r="B64" t="s">
        <v>48</v>
      </c>
      <c r="C64" s="28">
        <v>2</v>
      </c>
      <c r="D64">
        <v>1</v>
      </c>
      <c r="E64">
        <f>4*5.29</f>
        <v>21.16</v>
      </c>
      <c r="F64" t="s">
        <v>379</v>
      </c>
      <c r="G64" t="s">
        <v>1075</v>
      </c>
      <c r="H64" t="s">
        <v>1071</v>
      </c>
      <c r="I64">
        <f t="shared" si="3"/>
        <v>42.32</v>
      </c>
      <c r="J64">
        <f t="shared" si="1"/>
        <v>19.196029098400004</v>
      </c>
      <c r="K64">
        <v>0.13400000000000001</v>
      </c>
      <c r="L64">
        <f t="shared" si="2"/>
        <v>2.5722678991856007</v>
      </c>
    </row>
    <row r="65" spans="1:12" x14ac:dyDescent="0.2">
      <c r="B65" t="s">
        <v>48</v>
      </c>
      <c r="C65" s="28">
        <v>3</v>
      </c>
      <c r="D65">
        <v>1</v>
      </c>
      <c r="E65">
        <v>45</v>
      </c>
      <c r="F65" t="s">
        <v>338</v>
      </c>
      <c r="G65" t="s">
        <v>817</v>
      </c>
      <c r="H65" t="s">
        <v>1071</v>
      </c>
      <c r="I65">
        <f t="shared" si="3"/>
        <v>135</v>
      </c>
      <c r="J65">
        <f t="shared" si="1"/>
        <v>61.23496995</v>
      </c>
      <c r="K65">
        <v>0.219</v>
      </c>
      <c r="L65">
        <f t="shared" si="2"/>
        <v>13.41045841905</v>
      </c>
    </row>
    <row r="66" spans="1:12" x14ac:dyDescent="0.2">
      <c r="B66" t="s">
        <v>48</v>
      </c>
      <c r="C66" s="28">
        <v>2</v>
      </c>
      <c r="D66">
        <v>1</v>
      </c>
      <c r="E66">
        <v>45</v>
      </c>
      <c r="F66" t="s">
        <v>338</v>
      </c>
      <c r="G66" t="s">
        <v>817</v>
      </c>
      <c r="H66" t="s">
        <v>1071</v>
      </c>
      <c r="I66">
        <f t="shared" si="3"/>
        <v>90</v>
      </c>
      <c r="J66">
        <f t="shared" si="1"/>
        <v>40.823313300000002</v>
      </c>
      <c r="K66">
        <v>0.219</v>
      </c>
      <c r="L66">
        <f t="shared" si="2"/>
        <v>8.9403056127000013</v>
      </c>
    </row>
    <row r="67" spans="1:12" x14ac:dyDescent="0.2">
      <c r="A67" s="4">
        <v>43434</v>
      </c>
      <c r="B67" t="s">
        <v>538</v>
      </c>
      <c r="C67">
        <v>4</v>
      </c>
      <c r="D67">
        <v>1</v>
      </c>
      <c r="E67">
        <v>35</v>
      </c>
      <c r="F67" t="s">
        <v>441</v>
      </c>
      <c r="G67" t="s">
        <v>905</v>
      </c>
      <c r="H67" t="s">
        <v>1071</v>
      </c>
      <c r="I67">
        <f t="shared" si="3"/>
        <v>140</v>
      </c>
      <c r="J67">
        <f t="shared" ref="J67:J130" si="4">CONVERT(I67,"lbm","kg")</f>
        <v>63.502931800000006</v>
      </c>
      <c r="K67">
        <v>2.6459999999999999</v>
      </c>
      <c r="L67">
        <f t="shared" ref="L67:L130" si="5">J67*K67</f>
        <v>168.02875754280001</v>
      </c>
    </row>
    <row r="68" spans="1:12" x14ac:dyDescent="0.2">
      <c r="A68" s="28"/>
      <c r="B68" t="s">
        <v>48</v>
      </c>
      <c r="C68" s="28">
        <v>3</v>
      </c>
      <c r="D68">
        <v>1</v>
      </c>
      <c r="E68">
        <v>27</v>
      </c>
      <c r="F68" t="s">
        <v>311</v>
      </c>
      <c r="G68" t="s">
        <v>102</v>
      </c>
      <c r="H68" t="s">
        <v>1071</v>
      </c>
      <c r="I68">
        <f t="shared" si="3"/>
        <v>81</v>
      </c>
      <c r="J68">
        <f t="shared" si="4"/>
        <v>36.74098197</v>
      </c>
      <c r="K68">
        <v>0.49</v>
      </c>
      <c r="L68">
        <f t="shared" si="5"/>
        <v>18.003081165299999</v>
      </c>
    </row>
    <row r="69" spans="1:12" x14ac:dyDescent="0.2">
      <c r="B69" t="s">
        <v>48</v>
      </c>
      <c r="C69" s="28">
        <v>5</v>
      </c>
      <c r="D69">
        <v>1</v>
      </c>
      <c r="E69">
        <v>27</v>
      </c>
      <c r="F69" t="s">
        <v>311</v>
      </c>
      <c r="G69" t="s">
        <v>788</v>
      </c>
      <c r="H69" t="s">
        <v>1071</v>
      </c>
      <c r="I69">
        <f t="shared" si="3"/>
        <v>135</v>
      </c>
      <c r="J69">
        <f t="shared" si="4"/>
        <v>61.23496995</v>
      </c>
      <c r="K69">
        <v>0.49</v>
      </c>
      <c r="L69">
        <f t="shared" si="5"/>
        <v>30.005135275499999</v>
      </c>
    </row>
    <row r="70" spans="1:12" x14ac:dyDescent="0.2">
      <c r="B70" t="s">
        <v>48</v>
      </c>
      <c r="C70" s="28">
        <v>7</v>
      </c>
      <c r="D70">
        <v>1</v>
      </c>
      <c r="E70">
        <v>27</v>
      </c>
      <c r="F70" t="s">
        <v>311</v>
      </c>
      <c r="G70" t="s">
        <v>788</v>
      </c>
      <c r="H70" t="s">
        <v>1071</v>
      </c>
      <c r="I70">
        <f t="shared" si="3"/>
        <v>189</v>
      </c>
      <c r="J70">
        <f t="shared" si="4"/>
        <v>85.728957930000007</v>
      </c>
      <c r="K70">
        <v>0.49</v>
      </c>
      <c r="L70">
        <f t="shared" si="5"/>
        <v>42.007189385700002</v>
      </c>
    </row>
    <row r="71" spans="1:12" x14ac:dyDescent="0.2">
      <c r="B71" t="s">
        <v>48</v>
      </c>
      <c r="C71" s="28">
        <v>8</v>
      </c>
      <c r="D71">
        <v>1</v>
      </c>
      <c r="E71">
        <v>27</v>
      </c>
      <c r="F71" t="s">
        <v>311</v>
      </c>
      <c r="G71" t="s">
        <v>788</v>
      </c>
      <c r="H71" t="s">
        <v>1071</v>
      </c>
      <c r="I71">
        <f t="shared" si="3"/>
        <v>216</v>
      </c>
      <c r="J71">
        <f t="shared" si="4"/>
        <v>97.975951920000014</v>
      </c>
      <c r="K71">
        <v>0.49</v>
      </c>
      <c r="L71">
        <f t="shared" si="5"/>
        <v>48.008216440800005</v>
      </c>
    </row>
    <row r="72" spans="1:12" x14ac:dyDescent="0.2">
      <c r="B72" t="s">
        <v>48</v>
      </c>
      <c r="C72" s="28">
        <v>8</v>
      </c>
      <c r="D72">
        <v>1</v>
      </c>
      <c r="E72">
        <v>27</v>
      </c>
      <c r="F72" t="s">
        <v>366</v>
      </c>
      <c r="G72" t="s">
        <v>788</v>
      </c>
      <c r="H72" t="s">
        <v>1071</v>
      </c>
      <c r="I72">
        <f t="shared" si="3"/>
        <v>216</v>
      </c>
      <c r="J72">
        <f t="shared" si="4"/>
        <v>97.975951920000014</v>
      </c>
      <c r="K72">
        <v>0.49</v>
      </c>
      <c r="L72">
        <f t="shared" si="5"/>
        <v>48.008216440800005</v>
      </c>
    </row>
    <row r="73" spans="1:12" x14ac:dyDescent="0.2">
      <c r="A73" s="28"/>
      <c r="B73" t="s">
        <v>48</v>
      </c>
      <c r="C73" s="28">
        <v>2</v>
      </c>
      <c r="D73">
        <v>1</v>
      </c>
      <c r="E73">
        <v>50</v>
      </c>
      <c r="F73" t="s">
        <v>299</v>
      </c>
      <c r="G73" t="s">
        <v>299</v>
      </c>
      <c r="H73" t="s">
        <v>1071</v>
      </c>
      <c r="I73">
        <f t="shared" si="3"/>
        <v>100</v>
      </c>
      <c r="J73">
        <f t="shared" si="4"/>
        <v>45.359237</v>
      </c>
      <c r="K73">
        <v>9.1999999999999998E-2</v>
      </c>
      <c r="L73">
        <f t="shared" si="5"/>
        <v>4.1730498039999997</v>
      </c>
    </row>
    <row r="74" spans="1:12" x14ac:dyDescent="0.2">
      <c r="A74" s="28"/>
      <c r="B74" t="s">
        <v>48</v>
      </c>
      <c r="C74" s="28">
        <v>2</v>
      </c>
      <c r="D74">
        <v>1</v>
      </c>
      <c r="E74">
        <v>20</v>
      </c>
      <c r="F74" t="s">
        <v>269</v>
      </c>
      <c r="G74" t="s">
        <v>299</v>
      </c>
      <c r="H74" t="s">
        <v>1071</v>
      </c>
      <c r="I74">
        <f t="shared" si="3"/>
        <v>40</v>
      </c>
      <c r="J74">
        <f t="shared" si="4"/>
        <v>18.143694800000002</v>
      </c>
      <c r="K74">
        <v>9.1999999999999998E-2</v>
      </c>
      <c r="L74">
        <f t="shared" si="5"/>
        <v>1.6692199216000001</v>
      </c>
    </row>
    <row r="75" spans="1:12" x14ac:dyDescent="0.2">
      <c r="A75" s="28"/>
      <c r="B75" t="s">
        <v>48</v>
      </c>
      <c r="C75" s="28">
        <v>2</v>
      </c>
      <c r="D75">
        <v>1</v>
      </c>
      <c r="E75">
        <v>20</v>
      </c>
      <c r="F75" t="s">
        <v>322</v>
      </c>
      <c r="G75" t="s">
        <v>299</v>
      </c>
      <c r="H75" t="s">
        <v>1071</v>
      </c>
      <c r="I75">
        <f t="shared" si="3"/>
        <v>40</v>
      </c>
      <c r="J75">
        <f t="shared" si="4"/>
        <v>18.143694800000002</v>
      </c>
      <c r="K75">
        <v>9.1999999999999998E-2</v>
      </c>
      <c r="L75">
        <f t="shared" si="5"/>
        <v>1.6692199216000001</v>
      </c>
    </row>
    <row r="76" spans="1:12" x14ac:dyDescent="0.2">
      <c r="B76" t="s">
        <v>48</v>
      </c>
      <c r="C76" s="28">
        <v>2</v>
      </c>
      <c r="D76">
        <v>1</v>
      </c>
      <c r="E76">
        <v>20</v>
      </c>
      <c r="F76" t="s">
        <v>269</v>
      </c>
      <c r="G76" t="s">
        <v>299</v>
      </c>
      <c r="H76" t="s">
        <v>1071</v>
      </c>
      <c r="I76">
        <f t="shared" si="3"/>
        <v>40</v>
      </c>
      <c r="J76">
        <f t="shared" si="4"/>
        <v>18.143694800000002</v>
      </c>
      <c r="K76">
        <v>9.1999999999999998E-2</v>
      </c>
      <c r="L76">
        <f t="shared" si="5"/>
        <v>1.6692199216000001</v>
      </c>
    </row>
    <row r="77" spans="1:12" x14ac:dyDescent="0.2">
      <c r="B77" t="s">
        <v>48</v>
      </c>
      <c r="C77" s="28">
        <v>1</v>
      </c>
      <c r="D77">
        <v>1</v>
      </c>
      <c r="E77">
        <v>20</v>
      </c>
      <c r="F77" t="s">
        <v>269</v>
      </c>
      <c r="G77" t="s">
        <v>299</v>
      </c>
      <c r="H77" t="s">
        <v>1071</v>
      </c>
      <c r="I77">
        <f t="shared" si="3"/>
        <v>20</v>
      </c>
      <c r="J77">
        <f t="shared" si="4"/>
        <v>9.0718474000000011</v>
      </c>
      <c r="K77">
        <v>9.1999999999999998E-2</v>
      </c>
      <c r="L77">
        <f t="shared" si="5"/>
        <v>0.83460996080000005</v>
      </c>
    </row>
    <row r="78" spans="1:12" x14ac:dyDescent="0.2">
      <c r="B78" t="s">
        <v>48</v>
      </c>
      <c r="C78" s="28">
        <v>1</v>
      </c>
      <c r="D78">
        <v>1</v>
      </c>
      <c r="E78">
        <v>50</v>
      </c>
      <c r="F78" t="s">
        <v>299</v>
      </c>
      <c r="G78" t="s">
        <v>299</v>
      </c>
      <c r="H78" t="s">
        <v>1071</v>
      </c>
      <c r="I78">
        <f t="shared" si="3"/>
        <v>50</v>
      </c>
      <c r="J78">
        <f t="shared" si="4"/>
        <v>22.6796185</v>
      </c>
      <c r="K78">
        <v>9.1999999999999998E-2</v>
      </c>
      <c r="L78">
        <f t="shared" si="5"/>
        <v>2.0865249019999998</v>
      </c>
    </row>
    <row r="79" spans="1:12" x14ac:dyDescent="0.2">
      <c r="B79" t="s">
        <v>48</v>
      </c>
      <c r="C79" s="28">
        <v>2</v>
      </c>
      <c r="D79">
        <v>1</v>
      </c>
      <c r="E79">
        <v>20</v>
      </c>
      <c r="F79" t="s">
        <v>269</v>
      </c>
      <c r="G79" t="s">
        <v>299</v>
      </c>
      <c r="H79" t="s">
        <v>1071</v>
      </c>
      <c r="I79">
        <f t="shared" si="3"/>
        <v>40</v>
      </c>
      <c r="J79">
        <f t="shared" si="4"/>
        <v>18.143694800000002</v>
      </c>
      <c r="K79">
        <v>9.1999999999999998E-2</v>
      </c>
      <c r="L79">
        <f t="shared" si="5"/>
        <v>1.6692199216000001</v>
      </c>
    </row>
    <row r="80" spans="1:12" x14ac:dyDescent="0.2">
      <c r="B80" t="s">
        <v>48</v>
      </c>
      <c r="C80" s="28">
        <v>1</v>
      </c>
      <c r="D80">
        <v>1</v>
      </c>
      <c r="E80">
        <v>50</v>
      </c>
      <c r="F80" t="s">
        <v>299</v>
      </c>
      <c r="G80" t="s">
        <v>299</v>
      </c>
      <c r="H80" t="s">
        <v>1071</v>
      </c>
      <c r="I80">
        <f t="shared" si="3"/>
        <v>50</v>
      </c>
      <c r="J80">
        <f t="shared" si="4"/>
        <v>22.6796185</v>
      </c>
      <c r="K80">
        <v>9.1999999999999998E-2</v>
      </c>
      <c r="L80">
        <f t="shared" si="5"/>
        <v>2.0865249019999998</v>
      </c>
    </row>
    <row r="81" spans="1:12" x14ac:dyDescent="0.2">
      <c r="B81" t="s">
        <v>48</v>
      </c>
      <c r="C81" s="28">
        <v>1</v>
      </c>
      <c r="D81">
        <v>1</v>
      </c>
      <c r="E81">
        <v>20</v>
      </c>
      <c r="F81" t="s">
        <v>269</v>
      </c>
      <c r="G81" t="s">
        <v>299</v>
      </c>
      <c r="H81" t="s">
        <v>1071</v>
      </c>
      <c r="I81">
        <f t="shared" si="3"/>
        <v>20</v>
      </c>
      <c r="J81">
        <f t="shared" si="4"/>
        <v>9.0718474000000011</v>
      </c>
      <c r="K81">
        <v>9.1999999999999998E-2</v>
      </c>
      <c r="L81">
        <f t="shared" si="5"/>
        <v>0.83460996080000005</v>
      </c>
    </row>
    <row r="82" spans="1:12" x14ac:dyDescent="0.2">
      <c r="B82" t="s">
        <v>48</v>
      </c>
      <c r="C82" s="28">
        <v>1</v>
      </c>
      <c r="D82">
        <v>1</v>
      </c>
      <c r="E82">
        <v>50</v>
      </c>
      <c r="F82" t="s">
        <v>87</v>
      </c>
      <c r="G82" t="s">
        <v>87</v>
      </c>
      <c r="H82" t="s">
        <v>1071</v>
      </c>
      <c r="I82">
        <f t="shared" ref="I82:I113" si="6">C82*D82*E82</f>
        <v>50</v>
      </c>
      <c r="J82">
        <f t="shared" si="4"/>
        <v>22.6796185</v>
      </c>
      <c r="K82">
        <v>9.1999999999999998E-2</v>
      </c>
      <c r="L82">
        <f t="shared" si="5"/>
        <v>2.0865249019999998</v>
      </c>
    </row>
    <row r="83" spans="1:12" x14ac:dyDescent="0.2">
      <c r="B83" t="s">
        <v>48</v>
      </c>
      <c r="C83" s="28">
        <v>1</v>
      </c>
      <c r="D83">
        <v>1</v>
      </c>
      <c r="E83">
        <v>50</v>
      </c>
      <c r="F83" t="s">
        <v>299</v>
      </c>
      <c r="G83" t="s">
        <v>299</v>
      </c>
      <c r="H83" t="s">
        <v>1071</v>
      </c>
      <c r="I83">
        <f t="shared" si="6"/>
        <v>50</v>
      </c>
      <c r="J83">
        <f t="shared" si="4"/>
        <v>22.6796185</v>
      </c>
      <c r="K83">
        <v>9.1999999999999998E-2</v>
      </c>
      <c r="L83">
        <f t="shared" si="5"/>
        <v>2.0865249019999998</v>
      </c>
    </row>
    <row r="84" spans="1:12" x14ac:dyDescent="0.2">
      <c r="B84" t="s">
        <v>48</v>
      </c>
      <c r="C84" s="28">
        <v>1</v>
      </c>
      <c r="D84">
        <v>1</v>
      </c>
      <c r="E84">
        <v>20</v>
      </c>
      <c r="F84" t="s">
        <v>269</v>
      </c>
      <c r="G84" t="s">
        <v>299</v>
      </c>
      <c r="H84" t="s">
        <v>1071</v>
      </c>
      <c r="I84">
        <f t="shared" si="6"/>
        <v>20</v>
      </c>
      <c r="J84">
        <f t="shared" si="4"/>
        <v>9.0718474000000011</v>
      </c>
      <c r="K84">
        <v>9.1999999999999998E-2</v>
      </c>
      <c r="L84">
        <f t="shared" si="5"/>
        <v>0.83460996080000005</v>
      </c>
    </row>
    <row r="85" spans="1:12" x14ac:dyDescent="0.2">
      <c r="A85" s="28"/>
      <c r="B85" t="s">
        <v>48</v>
      </c>
      <c r="C85" s="28">
        <v>3</v>
      </c>
      <c r="D85">
        <v>1</v>
      </c>
      <c r="E85">
        <v>12</v>
      </c>
      <c r="F85" t="s">
        <v>323</v>
      </c>
      <c r="G85" t="s">
        <v>619</v>
      </c>
      <c r="H85" t="s">
        <v>1071</v>
      </c>
      <c r="I85">
        <f t="shared" si="6"/>
        <v>36</v>
      </c>
      <c r="J85">
        <f t="shared" si="4"/>
        <v>16.329325319999999</v>
      </c>
      <c r="K85">
        <v>0.93400000000000005</v>
      </c>
      <c r="L85">
        <f t="shared" si="5"/>
        <v>15.25158984888</v>
      </c>
    </row>
    <row r="86" spans="1:12" x14ac:dyDescent="0.2">
      <c r="B86" t="s">
        <v>48</v>
      </c>
      <c r="C86" s="28">
        <v>3</v>
      </c>
      <c r="D86">
        <v>1</v>
      </c>
      <c r="E86">
        <v>12</v>
      </c>
      <c r="F86" t="s">
        <v>323</v>
      </c>
      <c r="G86" t="s">
        <v>619</v>
      </c>
      <c r="H86" t="s">
        <v>1071</v>
      </c>
      <c r="I86">
        <f t="shared" si="6"/>
        <v>36</v>
      </c>
      <c r="J86">
        <f t="shared" si="4"/>
        <v>16.329325319999999</v>
      </c>
      <c r="K86">
        <v>0.93400000000000005</v>
      </c>
      <c r="L86">
        <f t="shared" si="5"/>
        <v>15.25158984888</v>
      </c>
    </row>
    <row r="87" spans="1:12" x14ac:dyDescent="0.2">
      <c r="B87" t="s">
        <v>48</v>
      </c>
      <c r="C87" s="28">
        <v>2</v>
      </c>
      <c r="D87">
        <v>1</v>
      </c>
      <c r="E87">
        <v>12</v>
      </c>
      <c r="F87" t="s">
        <v>351</v>
      </c>
      <c r="G87" t="s">
        <v>619</v>
      </c>
      <c r="H87" t="s">
        <v>1071</v>
      </c>
      <c r="I87">
        <f t="shared" si="6"/>
        <v>24</v>
      </c>
      <c r="J87">
        <f t="shared" si="4"/>
        <v>10.886216880000001</v>
      </c>
      <c r="K87">
        <v>0.93400000000000005</v>
      </c>
      <c r="L87">
        <f t="shared" si="5"/>
        <v>10.167726565920001</v>
      </c>
    </row>
    <row r="88" spans="1:12" x14ac:dyDescent="0.2">
      <c r="B88" t="s">
        <v>48</v>
      </c>
      <c r="C88" s="28">
        <v>4</v>
      </c>
      <c r="D88">
        <v>1</v>
      </c>
      <c r="E88">
        <v>12</v>
      </c>
      <c r="F88" t="s">
        <v>220</v>
      </c>
      <c r="G88" t="s">
        <v>220</v>
      </c>
      <c r="H88" t="s">
        <v>1071</v>
      </c>
      <c r="I88">
        <f t="shared" si="6"/>
        <v>48</v>
      </c>
      <c r="J88">
        <f t="shared" si="4"/>
        <v>21.772433760000002</v>
      </c>
      <c r="K88">
        <v>0.93400000000000005</v>
      </c>
      <c r="L88">
        <f t="shared" si="5"/>
        <v>20.335453131840001</v>
      </c>
    </row>
    <row r="89" spans="1:12" x14ac:dyDescent="0.2">
      <c r="B89" t="s">
        <v>48</v>
      </c>
      <c r="C89" s="28">
        <v>4</v>
      </c>
      <c r="D89">
        <v>1</v>
      </c>
      <c r="E89">
        <v>12</v>
      </c>
      <c r="F89" t="s">
        <v>323</v>
      </c>
      <c r="G89" t="s">
        <v>619</v>
      </c>
      <c r="H89" t="s">
        <v>1071</v>
      </c>
      <c r="I89">
        <f t="shared" si="6"/>
        <v>48</v>
      </c>
      <c r="J89">
        <f t="shared" si="4"/>
        <v>21.772433760000002</v>
      </c>
      <c r="K89">
        <v>0.93400000000000005</v>
      </c>
      <c r="L89">
        <f t="shared" si="5"/>
        <v>20.335453131840001</v>
      </c>
    </row>
    <row r="90" spans="1:12" x14ac:dyDescent="0.2">
      <c r="A90" s="28"/>
      <c r="B90" t="s">
        <v>48</v>
      </c>
      <c r="C90" s="28">
        <v>2</v>
      </c>
      <c r="D90">
        <v>1</v>
      </c>
      <c r="E90">
        <v>20</v>
      </c>
      <c r="F90" t="s">
        <v>324</v>
      </c>
      <c r="G90" t="s">
        <v>352</v>
      </c>
      <c r="H90" t="s">
        <v>1071</v>
      </c>
      <c r="I90">
        <f t="shared" si="6"/>
        <v>40</v>
      </c>
      <c r="J90">
        <f t="shared" si="4"/>
        <v>18.143694800000002</v>
      </c>
      <c r="K90">
        <v>0.33100000000000002</v>
      </c>
      <c r="L90">
        <f t="shared" si="5"/>
        <v>6.0055629788000013</v>
      </c>
    </row>
    <row r="91" spans="1:12" x14ac:dyDescent="0.2">
      <c r="B91" t="s">
        <v>48</v>
      </c>
      <c r="C91" s="28">
        <v>1</v>
      </c>
      <c r="D91">
        <v>1</v>
      </c>
      <c r="E91">
        <v>26</v>
      </c>
      <c r="F91" t="s">
        <v>352</v>
      </c>
      <c r="G91" t="s">
        <v>352</v>
      </c>
      <c r="H91" t="s">
        <v>1071</v>
      </c>
      <c r="I91">
        <f t="shared" si="6"/>
        <v>26</v>
      </c>
      <c r="J91">
        <f t="shared" si="4"/>
        <v>11.793401620000001</v>
      </c>
      <c r="K91">
        <v>0.33100000000000002</v>
      </c>
      <c r="L91">
        <f t="shared" si="5"/>
        <v>3.9036159362200005</v>
      </c>
    </row>
    <row r="92" spans="1:12" x14ac:dyDescent="0.2">
      <c r="B92" t="s">
        <v>48</v>
      </c>
      <c r="C92" s="28">
        <v>1</v>
      </c>
      <c r="D92">
        <v>1</v>
      </c>
      <c r="E92">
        <v>36</v>
      </c>
      <c r="F92" t="s">
        <v>352</v>
      </c>
      <c r="G92" t="s">
        <v>352</v>
      </c>
      <c r="H92" t="s">
        <v>1071</v>
      </c>
      <c r="I92">
        <f t="shared" si="6"/>
        <v>36</v>
      </c>
      <c r="J92">
        <f t="shared" si="4"/>
        <v>16.329325319999999</v>
      </c>
      <c r="K92">
        <v>0.33100000000000002</v>
      </c>
      <c r="L92">
        <f t="shared" si="5"/>
        <v>5.4050066809199997</v>
      </c>
    </row>
    <row r="93" spans="1:12" x14ac:dyDescent="0.2">
      <c r="A93" s="4">
        <v>43434</v>
      </c>
      <c r="B93" t="s">
        <v>538</v>
      </c>
      <c r="C93">
        <v>2</v>
      </c>
      <c r="D93">
        <v>4</v>
      </c>
      <c r="E93">
        <v>30.3125</v>
      </c>
      <c r="F93" t="s">
        <v>470</v>
      </c>
      <c r="G93" s="6" t="s">
        <v>861</v>
      </c>
      <c r="H93" t="s">
        <v>1071</v>
      </c>
      <c r="I93">
        <f t="shared" si="6"/>
        <v>242.5</v>
      </c>
      <c r="J93">
        <f t="shared" si="4"/>
        <v>109.99614972500001</v>
      </c>
      <c r="K93">
        <v>1.61</v>
      </c>
      <c r="L93">
        <f t="shared" si="5"/>
        <v>177.09380105725003</v>
      </c>
    </row>
    <row r="94" spans="1:12" x14ac:dyDescent="0.2">
      <c r="A94" s="4">
        <v>43434</v>
      </c>
      <c r="B94" t="s">
        <v>538</v>
      </c>
      <c r="C94">
        <v>2</v>
      </c>
      <c r="D94">
        <v>4</v>
      </c>
      <c r="E94">
        <v>40.3125</v>
      </c>
      <c r="F94" t="s">
        <v>548</v>
      </c>
      <c r="G94" s="6" t="s">
        <v>861</v>
      </c>
      <c r="H94" t="s">
        <v>1071</v>
      </c>
      <c r="I94">
        <f t="shared" si="6"/>
        <v>322.5</v>
      </c>
      <c r="J94">
        <f t="shared" si="4"/>
        <v>146.28353932500002</v>
      </c>
      <c r="K94">
        <v>1.61</v>
      </c>
      <c r="L94">
        <f t="shared" si="5"/>
        <v>235.51649831325005</v>
      </c>
    </row>
    <row r="95" spans="1:12" x14ac:dyDescent="0.2">
      <c r="A95" s="4">
        <v>43437</v>
      </c>
      <c r="B95" t="s">
        <v>538</v>
      </c>
      <c r="C95">
        <v>1</v>
      </c>
      <c r="D95">
        <v>4</v>
      </c>
      <c r="E95">
        <v>1.8125</v>
      </c>
      <c r="F95" t="s">
        <v>575</v>
      </c>
      <c r="G95" s="6" t="s">
        <v>861</v>
      </c>
      <c r="H95" t="s">
        <v>1071</v>
      </c>
      <c r="I95">
        <f t="shared" si="6"/>
        <v>7.25</v>
      </c>
      <c r="J95">
        <f t="shared" si="4"/>
        <v>3.2885446825</v>
      </c>
      <c r="K95">
        <v>1.61</v>
      </c>
      <c r="L95">
        <f t="shared" si="5"/>
        <v>5.294556938825</v>
      </c>
    </row>
    <row r="96" spans="1:12" x14ac:dyDescent="0.2">
      <c r="A96" s="4">
        <v>43437</v>
      </c>
      <c r="B96" t="s">
        <v>538</v>
      </c>
      <c r="C96">
        <v>1</v>
      </c>
      <c r="D96">
        <v>4</v>
      </c>
      <c r="E96">
        <v>2.5</v>
      </c>
      <c r="F96" t="s">
        <v>436</v>
      </c>
      <c r="G96" s="6" t="s">
        <v>861</v>
      </c>
      <c r="H96" t="s">
        <v>1071</v>
      </c>
      <c r="I96">
        <f t="shared" si="6"/>
        <v>10</v>
      </c>
      <c r="J96">
        <f t="shared" si="4"/>
        <v>4.5359237000000006</v>
      </c>
      <c r="K96">
        <v>1.61</v>
      </c>
      <c r="L96">
        <f t="shared" si="5"/>
        <v>7.3028371570000017</v>
      </c>
    </row>
    <row r="97" spans="1:12" x14ac:dyDescent="0.2">
      <c r="A97" s="4">
        <v>43437</v>
      </c>
      <c r="B97" t="s">
        <v>538</v>
      </c>
      <c r="C97">
        <v>2</v>
      </c>
      <c r="D97">
        <v>4</v>
      </c>
      <c r="E97">
        <v>30.3125</v>
      </c>
      <c r="F97" t="s">
        <v>470</v>
      </c>
      <c r="G97" s="6" t="s">
        <v>861</v>
      </c>
      <c r="H97" t="s">
        <v>1071</v>
      </c>
      <c r="I97">
        <f t="shared" si="6"/>
        <v>242.5</v>
      </c>
      <c r="J97">
        <f t="shared" si="4"/>
        <v>109.99614972500001</v>
      </c>
      <c r="K97">
        <v>1.61</v>
      </c>
      <c r="L97">
        <f t="shared" si="5"/>
        <v>177.09380105725003</v>
      </c>
    </row>
    <row r="98" spans="1:12" x14ac:dyDescent="0.2">
      <c r="A98" s="4">
        <v>43437</v>
      </c>
      <c r="B98" t="s">
        <v>538</v>
      </c>
      <c r="C98">
        <v>2</v>
      </c>
      <c r="D98">
        <v>4</v>
      </c>
      <c r="E98">
        <v>30.3125</v>
      </c>
      <c r="F98" t="s">
        <v>580</v>
      </c>
      <c r="G98" s="6" t="s">
        <v>861</v>
      </c>
      <c r="H98" t="s">
        <v>1071</v>
      </c>
      <c r="I98">
        <f t="shared" si="6"/>
        <v>242.5</v>
      </c>
      <c r="J98">
        <f t="shared" si="4"/>
        <v>109.99614972500001</v>
      </c>
      <c r="K98">
        <v>1.61</v>
      </c>
      <c r="L98">
        <f t="shared" si="5"/>
        <v>177.09380105725003</v>
      </c>
    </row>
    <row r="99" spans="1:12" x14ac:dyDescent="0.2">
      <c r="A99" s="4">
        <v>43437</v>
      </c>
      <c r="B99" t="s">
        <v>538</v>
      </c>
      <c r="C99">
        <v>1</v>
      </c>
      <c r="D99">
        <v>4</v>
      </c>
      <c r="E99">
        <v>3.125</v>
      </c>
      <c r="F99" t="s">
        <v>453</v>
      </c>
      <c r="G99" s="6" t="s">
        <v>861</v>
      </c>
      <c r="H99" t="s">
        <v>1071</v>
      </c>
      <c r="I99">
        <f t="shared" si="6"/>
        <v>12.5</v>
      </c>
      <c r="J99">
        <f t="shared" si="4"/>
        <v>5.669904625</v>
      </c>
      <c r="K99">
        <v>1.61</v>
      </c>
      <c r="L99">
        <f t="shared" si="5"/>
        <v>9.1285464462500006</v>
      </c>
    </row>
    <row r="100" spans="1:12" x14ac:dyDescent="0.2">
      <c r="A100" s="4">
        <v>43439</v>
      </c>
      <c r="B100" t="s">
        <v>538</v>
      </c>
      <c r="C100">
        <v>1</v>
      </c>
      <c r="D100">
        <v>4</v>
      </c>
      <c r="E100">
        <v>1.8125</v>
      </c>
      <c r="F100" t="s">
        <v>575</v>
      </c>
      <c r="G100" s="6" t="s">
        <v>861</v>
      </c>
      <c r="H100" t="s">
        <v>1071</v>
      </c>
      <c r="I100">
        <f t="shared" si="6"/>
        <v>7.25</v>
      </c>
      <c r="J100">
        <f t="shared" si="4"/>
        <v>3.2885446825</v>
      </c>
      <c r="K100">
        <v>1.61</v>
      </c>
      <c r="L100">
        <f t="shared" si="5"/>
        <v>5.294556938825</v>
      </c>
    </row>
    <row r="101" spans="1:12" x14ac:dyDescent="0.2">
      <c r="A101" s="4">
        <v>43439</v>
      </c>
      <c r="B101" t="s">
        <v>538</v>
      </c>
      <c r="C101">
        <v>3</v>
      </c>
      <c r="D101">
        <v>4</v>
      </c>
      <c r="E101">
        <v>2.5</v>
      </c>
      <c r="F101" t="s">
        <v>436</v>
      </c>
      <c r="G101" s="6" t="s">
        <v>861</v>
      </c>
      <c r="H101" t="s">
        <v>1071</v>
      </c>
      <c r="I101">
        <f t="shared" si="6"/>
        <v>30</v>
      </c>
      <c r="J101">
        <f t="shared" si="4"/>
        <v>13.607771100000001</v>
      </c>
      <c r="K101">
        <v>1.61</v>
      </c>
      <c r="L101">
        <f t="shared" si="5"/>
        <v>21.908511471000004</v>
      </c>
    </row>
    <row r="102" spans="1:12" x14ac:dyDescent="0.2">
      <c r="A102" s="4">
        <v>43439</v>
      </c>
      <c r="B102" t="s">
        <v>538</v>
      </c>
      <c r="C102">
        <v>3</v>
      </c>
      <c r="D102">
        <v>4</v>
      </c>
      <c r="E102">
        <v>30.3125</v>
      </c>
      <c r="F102" t="s">
        <v>470</v>
      </c>
      <c r="G102" s="6" t="s">
        <v>861</v>
      </c>
      <c r="H102" t="s">
        <v>1071</v>
      </c>
      <c r="I102">
        <f t="shared" si="6"/>
        <v>363.75</v>
      </c>
      <c r="J102">
        <f t="shared" si="4"/>
        <v>164.99422458750001</v>
      </c>
      <c r="K102">
        <v>1.61</v>
      </c>
      <c r="L102">
        <f t="shared" si="5"/>
        <v>265.64070158587504</v>
      </c>
    </row>
    <row r="103" spans="1:12" x14ac:dyDescent="0.2">
      <c r="A103" s="4">
        <v>43439</v>
      </c>
      <c r="B103" t="s">
        <v>538</v>
      </c>
      <c r="C103">
        <v>1</v>
      </c>
      <c r="D103">
        <v>4</v>
      </c>
      <c r="E103">
        <v>30.3125</v>
      </c>
      <c r="F103" t="s">
        <v>580</v>
      </c>
      <c r="G103" s="6" t="s">
        <v>861</v>
      </c>
      <c r="H103" t="s">
        <v>1071</v>
      </c>
      <c r="I103">
        <f t="shared" si="6"/>
        <v>121.25</v>
      </c>
      <c r="J103">
        <f t="shared" si="4"/>
        <v>54.998074862500005</v>
      </c>
      <c r="K103">
        <v>1.61</v>
      </c>
      <c r="L103">
        <f t="shared" si="5"/>
        <v>88.546900528625017</v>
      </c>
    </row>
    <row r="104" spans="1:12" x14ac:dyDescent="0.2">
      <c r="A104" s="4">
        <v>43439</v>
      </c>
      <c r="B104" t="s">
        <v>538</v>
      </c>
      <c r="C104">
        <v>4</v>
      </c>
      <c r="D104">
        <v>4</v>
      </c>
      <c r="E104">
        <v>40.3125</v>
      </c>
      <c r="F104" t="s">
        <v>548</v>
      </c>
      <c r="G104" s="6" t="s">
        <v>861</v>
      </c>
      <c r="H104" t="s">
        <v>1071</v>
      </c>
      <c r="I104">
        <f t="shared" si="6"/>
        <v>645</v>
      </c>
      <c r="J104">
        <f t="shared" si="4"/>
        <v>292.56707865000004</v>
      </c>
      <c r="K104">
        <v>1.61</v>
      </c>
      <c r="L104">
        <f t="shared" si="5"/>
        <v>471.03299662650011</v>
      </c>
    </row>
    <row r="105" spans="1:12" x14ac:dyDescent="0.2">
      <c r="A105" s="4">
        <v>43439</v>
      </c>
      <c r="B105" t="s">
        <v>538</v>
      </c>
      <c r="C105">
        <v>1</v>
      </c>
      <c r="D105">
        <v>4</v>
      </c>
      <c r="E105">
        <v>3.125</v>
      </c>
      <c r="F105" t="s">
        <v>453</v>
      </c>
      <c r="G105" s="6" t="s">
        <v>861</v>
      </c>
      <c r="H105" t="s">
        <v>1071</v>
      </c>
      <c r="I105">
        <f t="shared" si="6"/>
        <v>12.5</v>
      </c>
      <c r="J105">
        <f t="shared" si="4"/>
        <v>5.669904625</v>
      </c>
      <c r="K105">
        <v>1.61</v>
      </c>
      <c r="L105">
        <f t="shared" si="5"/>
        <v>9.1285464462500006</v>
      </c>
    </row>
    <row r="106" spans="1:12" x14ac:dyDescent="0.2">
      <c r="A106" s="4">
        <v>43434</v>
      </c>
      <c r="B106" t="s">
        <v>538</v>
      </c>
      <c r="C106">
        <v>2</v>
      </c>
      <c r="D106">
        <v>4</v>
      </c>
      <c r="E106">
        <v>30.0625</v>
      </c>
      <c r="F106" t="s">
        <v>545</v>
      </c>
      <c r="G106" s="6" t="s">
        <v>901</v>
      </c>
      <c r="H106" t="s">
        <v>1071</v>
      </c>
      <c r="I106">
        <f t="shared" si="6"/>
        <v>240.5</v>
      </c>
      <c r="J106">
        <f t="shared" si="4"/>
        <v>109.088964985</v>
      </c>
      <c r="K106">
        <v>1.61</v>
      </c>
      <c r="L106">
        <f t="shared" si="5"/>
        <v>175.63323362585001</v>
      </c>
    </row>
    <row r="107" spans="1:12" x14ac:dyDescent="0.2">
      <c r="A107" s="4">
        <v>43434</v>
      </c>
      <c r="B107" t="s">
        <v>538</v>
      </c>
      <c r="C107">
        <v>2</v>
      </c>
      <c r="D107">
        <v>4</v>
      </c>
      <c r="E107">
        <v>2.5</v>
      </c>
      <c r="F107" t="s">
        <v>436</v>
      </c>
      <c r="G107" s="6" t="s">
        <v>903</v>
      </c>
      <c r="H107" t="s">
        <v>1071</v>
      </c>
      <c r="I107">
        <f t="shared" si="6"/>
        <v>20</v>
      </c>
      <c r="J107">
        <f t="shared" si="4"/>
        <v>9.0718474000000011</v>
      </c>
      <c r="K107">
        <v>1.61</v>
      </c>
      <c r="L107">
        <f t="shared" si="5"/>
        <v>14.605674314000003</v>
      </c>
    </row>
    <row r="108" spans="1:12" x14ac:dyDescent="0.2">
      <c r="A108" s="4">
        <v>43434</v>
      </c>
      <c r="B108" t="s">
        <v>538</v>
      </c>
      <c r="C108">
        <v>4</v>
      </c>
      <c r="D108">
        <v>4</v>
      </c>
      <c r="E108">
        <v>3.125</v>
      </c>
      <c r="F108" t="s">
        <v>453</v>
      </c>
      <c r="G108" s="6" t="s">
        <v>910</v>
      </c>
      <c r="H108" t="s">
        <v>1071</v>
      </c>
      <c r="I108">
        <f t="shared" si="6"/>
        <v>50</v>
      </c>
      <c r="J108">
        <f t="shared" si="4"/>
        <v>22.6796185</v>
      </c>
      <c r="K108">
        <v>1.61</v>
      </c>
      <c r="L108">
        <f t="shared" si="5"/>
        <v>36.514185785000002</v>
      </c>
    </row>
    <row r="109" spans="1:12" x14ac:dyDescent="0.2">
      <c r="A109" s="4">
        <v>43434</v>
      </c>
      <c r="B109" t="s">
        <v>517</v>
      </c>
      <c r="C109">
        <v>2</v>
      </c>
      <c r="D109">
        <v>6</v>
      </c>
      <c r="E109">
        <v>1</v>
      </c>
      <c r="F109" t="s">
        <v>519</v>
      </c>
      <c r="G109" t="s">
        <v>847</v>
      </c>
      <c r="H109" t="s">
        <v>1073</v>
      </c>
      <c r="I109">
        <f t="shared" si="6"/>
        <v>12</v>
      </c>
      <c r="J109">
        <f t="shared" si="4"/>
        <v>5.4431084400000005</v>
      </c>
      <c r="K109">
        <v>9.9740000000000002</v>
      </c>
      <c r="L109">
        <f t="shared" si="5"/>
        <v>54.289563580560007</v>
      </c>
    </row>
    <row r="110" spans="1:12" x14ac:dyDescent="0.2">
      <c r="A110" s="4">
        <v>43434</v>
      </c>
      <c r="B110" t="s">
        <v>517</v>
      </c>
      <c r="C110">
        <v>2</v>
      </c>
      <c r="D110">
        <v>6</v>
      </c>
      <c r="E110">
        <v>3</v>
      </c>
      <c r="F110" t="s">
        <v>387</v>
      </c>
      <c r="G110" t="s">
        <v>847</v>
      </c>
      <c r="H110" t="s">
        <v>1073</v>
      </c>
      <c r="I110">
        <f t="shared" si="6"/>
        <v>36</v>
      </c>
      <c r="J110">
        <f t="shared" si="4"/>
        <v>16.329325319999999</v>
      </c>
      <c r="K110">
        <v>9.9740000000000002</v>
      </c>
      <c r="L110">
        <f t="shared" si="5"/>
        <v>162.86869074167998</v>
      </c>
    </row>
    <row r="111" spans="1:12" x14ac:dyDescent="0.2">
      <c r="A111" s="4">
        <v>43434</v>
      </c>
      <c r="B111" t="s">
        <v>517</v>
      </c>
      <c r="C111">
        <v>2</v>
      </c>
      <c r="D111">
        <v>4</v>
      </c>
      <c r="E111">
        <v>5</v>
      </c>
      <c r="F111" t="s">
        <v>389</v>
      </c>
      <c r="G111" t="s">
        <v>847</v>
      </c>
      <c r="H111" t="s">
        <v>1073</v>
      </c>
      <c r="I111">
        <f t="shared" si="6"/>
        <v>40</v>
      </c>
      <c r="J111">
        <f t="shared" si="4"/>
        <v>18.143694800000002</v>
      </c>
      <c r="K111">
        <v>9.9740000000000002</v>
      </c>
      <c r="L111">
        <f t="shared" si="5"/>
        <v>180.96521193520002</v>
      </c>
    </row>
    <row r="112" spans="1:12" x14ac:dyDescent="0.2">
      <c r="A112" s="4">
        <v>43434</v>
      </c>
      <c r="B112" t="s">
        <v>517</v>
      </c>
      <c r="C112">
        <v>15</v>
      </c>
      <c r="D112">
        <v>4</v>
      </c>
      <c r="E112">
        <v>5</v>
      </c>
      <c r="F112" t="s">
        <v>521</v>
      </c>
      <c r="G112" t="s">
        <v>847</v>
      </c>
      <c r="H112" t="s">
        <v>1073</v>
      </c>
      <c r="I112">
        <f t="shared" si="6"/>
        <v>300</v>
      </c>
      <c r="J112">
        <f t="shared" si="4"/>
        <v>136.07771100000002</v>
      </c>
      <c r="K112">
        <v>9.9740000000000002</v>
      </c>
      <c r="L112">
        <f t="shared" si="5"/>
        <v>1357.2390895140002</v>
      </c>
    </row>
    <row r="113" spans="1:12" x14ac:dyDescent="0.2">
      <c r="A113" s="4">
        <v>43434</v>
      </c>
      <c r="B113" t="s">
        <v>517</v>
      </c>
      <c r="C113">
        <v>1</v>
      </c>
      <c r="D113">
        <v>4</v>
      </c>
      <c r="E113">
        <v>5</v>
      </c>
      <c r="F113" t="s">
        <v>390</v>
      </c>
      <c r="G113" t="s">
        <v>847</v>
      </c>
      <c r="H113" t="s">
        <v>1073</v>
      </c>
      <c r="I113">
        <f t="shared" si="6"/>
        <v>20</v>
      </c>
      <c r="J113">
        <f t="shared" si="4"/>
        <v>9.0718474000000011</v>
      </c>
      <c r="K113">
        <v>9.9740000000000002</v>
      </c>
      <c r="L113">
        <f t="shared" si="5"/>
        <v>90.482605967600009</v>
      </c>
    </row>
    <row r="114" spans="1:12" x14ac:dyDescent="0.2">
      <c r="A114" s="4">
        <v>43434</v>
      </c>
      <c r="B114" t="s">
        <v>517</v>
      </c>
      <c r="C114">
        <v>4</v>
      </c>
      <c r="D114">
        <v>4</v>
      </c>
      <c r="E114">
        <v>5</v>
      </c>
      <c r="F114" t="s">
        <v>391</v>
      </c>
      <c r="G114" t="s">
        <v>847</v>
      </c>
      <c r="H114" t="s">
        <v>1073</v>
      </c>
      <c r="I114">
        <f t="shared" ref="I114:I145" si="7">C114*D114*E114</f>
        <v>80</v>
      </c>
      <c r="J114">
        <f t="shared" si="4"/>
        <v>36.287389600000004</v>
      </c>
      <c r="K114">
        <v>9.9740000000000002</v>
      </c>
      <c r="L114">
        <f t="shared" si="5"/>
        <v>361.93042387040003</v>
      </c>
    </row>
    <row r="115" spans="1:12" x14ac:dyDescent="0.2">
      <c r="A115" s="4">
        <v>43434</v>
      </c>
      <c r="B115" t="s">
        <v>517</v>
      </c>
      <c r="C115">
        <v>3</v>
      </c>
      <c r="D115">
        <v>4</v>
      </c>
      <c r="E115">
        <v>5</v>
      </c>
      <c r="F115" t="s">
        <v>522</v>
      </c>
      <c r="G115" t="s">
        <v>847</v>
      </c>
      <c r="H115" t="s">
        <v>1073</v>
      </c>
      <c r="I115">
        <f t="shared" si="7"/>
        <v>60</v>
      </c>
      <c r="J115">
        <f t="shared" si="4"/>
        <v>27.215542200000002</v>
      </c>
      <c r="K115">
        <v>9.9740000000000002</v>
      </c>
      <c r="L115">
        <f t="shared" si="5"/>
        <v>271.44781790280001</v>
      </c>
    </row>
    <row r="116" spans="1:12" x14ac:dyDescent="0.2">
      <c r="A116" s="4">
        <v>43434</v>
      </c>
      <c r="B116" t="s">
        <v>517</v>
      </c>
      <c r="C116">
        <v>2</v>
      </c>
      <c r="D116">
        <v>4</v>
      </c>
      <c r="E116">
        <v>2.5</v>
      </c>
      <c r="F116" t="s">
        <v>1008</v>
      </c>
      <c r="G116" t="s">
        <v>847</v>
      </c>
      <c r="H116" t="s">
        <v>1073</v>
      </c>
      <c r="I116">
        <f t="shared" si="7"/>
        <v>20</v>
      </c>
      <c r="J116">
        <f t="shared" si="4"/>
        <v>9.0718474000000011</v>
      </c>
      <c r="K116">
        <v>9.9740000000000002</v>
      </c>
      <c r="L116">
        <f t="shared" si="5"/>
        <v>90.482605967600009</v>
      </c>
    </row>
    <row r="117" spans="1:12" x14ac:dyDescent="0.2">
      <c r="A117" s="4">
        <v>43434</v>
      </c>
      <c r="B117" t="s">
        <v>517</v>
      </c>
      <c r="C117">
        <v>2</v>
      </c>
      <c r="D117">
        <v>4</v>
      </c>
      <c r="E117">
        <v>2.5</v>
      </c>
      <c r="F117" t="s">
        <v>1009</v>
      </c>
      <c r="G117" t="s">
        <v>847</v>
      </c>
      <c r="H117" t="s">
        <v>1073</v>
      </c>
      <c r="I117">
        <f t="shared" si="7"/>
        <v>20</v>
      </c>
      <c r="J117">
        <f t="shared" si="4"/>
        <v>9.0718474000000011</v>
      </c>
      <c r="K117">
        <v>9.9740000000000002</v>
      </c>
      <c r="L117">
        <f t="shared" si="5"/>
        <v>90.482605967600009</v>
      </c>
    </row>
    <row r="118" spans="1:12" x14ac:dyDescent="0.2">
      <c r="A118" s="4">
        <v>43434</v>
      </c>
      <c r="B118" t="s">
        <v>517</v>
      </c>
      <c r="C118">
        <v>2</v>
      </c>
      <c r="D118">
        <v>8</v>
      </c>
      <c r="E118">
        <v>1.25</v>
      </c>
      <c r="F118" t="s">
        <v>1010</v>
      </c>
      <c r="G118" t="s">
        <v>847</v>
      </c>
      <c r="H118" t="s">
        <v>1073</v>
      </c>
      <c r="I118">
        <f t="shared" si="7"/>
        <v>20</v>
      </c>
      <c r="J118">
        <f t="shared" si="4"/>
        <v>9.0718474000000011</v>
      </c>
      <c r="K118">
        <v>9.9740000000000002</v>
      </c>
      <c r="L118">
        <f t="shared" si="5"/>
        <v>90.482605967600009</v>
      </c>
    </row>
    <row r="119" spans="1:12" x14ac:dyDescent="0.2">
      <c r="A119" s="4">
        <v>43434</v>
      </c>
      <c r="B119" t="s">
        <v>517</v>
      </c>
      <c r="C119">
        <v>2</v>
      </c>
      <c r="D119">
        <v>4</v>
      </c>
      <c r="E119">
        <v>2.5</v>
      </c>
      <c r="F119" t="s">
        <v>1011</v>
      </c>
      <c r="G119" t="s">
        <v>847</v>
      </c>
      <c r="H119" t="s">
        <v>1073</v>
      </c>
      <c r="I119">
        <f t="shared" si="7"/>
        <v>20</v>
      </c>
      <c r="J119">
        <f t="shared" si="4"/>
        <v>9.0718474000000011</v>
      </c>
      <c r="K119">
        <v>9.9740000000000002</v>
      </c>
      <c r="L119">
        <f t="shared" si="5"/>
        <v>90.482605967600009</v>
      </c>
    </row>
    <row r="120" spans="1:12" x14ac:dyDescent="0.2">
      <c r="A120" s="4">
        <v>43434</v>
      </c>
      <c r="B120" t="s">
        <v>517</v>
      </c>
      <c r="C120">
        <v>1</v>
      </c>
      <c r="D120">
        <v>2</v>
      </c>
      <c r="E120">
        <v>5</v>
      </c>
      <c r="F120" t="s">
        <v>393</v>
      </c>
      <c r="G120" t="s">
        <v>847</v>
      </c>
      <c r="H120" t="s">
        <v>1073</v>
      </c>
      <c r="I120">
        <f t="shared" si="7"/>
        <v>10</v>
      </c>
      <c r="J120">
        <f t="shared" si="4"/>
        <v>4.5359237000000006</v>
      </c>
      <c r="K120">
        <v>9.9740000000000002</v>
      </c>
      <c r="L120">
        <f t="shared" si="5"/>
        <v>45.241302983800004</v>
      </c>
    </row>
    <row r="121" spans="1:12" x14ac:dyDescent="0.2">
      <c r="A121" s="4">
        <v>43434</v>
      </c>
      <c r="B121" t="s">
        <v>517</v>
      </c>
      <c r="C121">
        <v>1</v>
      </c>
      <c r="D121">
        <v>6</v>
      </c>
      <c r="E121">
        <v>2</v>
      </c>
      <c r="F121" t="s">
        <v>523</v>
      </c>
      <c r="G121" t="s">
        <v>847</v>
      </c>
      <c r="H121" t="s">
        <v>1073</v>
      </c>
      <c r="I121">
        <f t="shared" si="7"/>
        <v>12</v>
      </c>
      <c r="J121">
        <f t="shared" si="4"/>
        <v>5.4431084400000005</v>
      </c>
      <c r="K121">
        <v>9.9740000000000002</v>
      </c>
      <c r="L121">
        <f t="shared" si="5"/>
        <v>54.289563580560007</v>
      </c>
    </row>
    <row r="122" spans="1:12" x14ac:dyDescent="0.2">
      <c r="A122" s="4">
        <v>43434</v>
      </c>
      <c r="B122" t="s">
        <v>517</v>
      </c>
      <c r="C122">
        <v>1</v>
      </c>
      <c r="D122">
        <v>6</v>
      </c>
      <c r="E122">
        <v>3</v>
      </c>
      <c r="F122" t="s">
        <v>394</v>
      </c>
      <c r="G122" t="s">
        <v>847</v>
      </c>
      <c r="H122" t="s">
        <v>1073</v>
      </c>
      <c r="I122">
        <f t="shared" si="7"/>
        <v>18</v>
      </c>
      <c r="J122">
        <f t="shared" si="4"/>
        <v>8.1646626599999994</v>
      </c>
      <c r="K122">
        <v>9.9740000000000002</v>
      </c>
      <c r="L122">
        <f t="shared" si="5"/>
        <v>81.434345370839992</v>
      </c>
    </row>
    <row r="123" spans="1:12" x14ac:dyDescent="0.2">
      <c r="A123" s="4">
        <v>43437</v>
      </c>
      <c r="B123" t="s">
        <v>517</v>
      </c>
      <c r="C123">
        <v>4</v>
      </c>
      <c r="D123">
        <v>4</v>
      </c>
      <c r="E123">
        <v>5</v>
      </c>
      <c r="F123" t="s">
        <v>391</v>
      </c>
      <c r="G123" t="s">
        <v>847</v>
      </c>
      <c r="H123" t="s">
        <v>1073</v>
      </c>
      <c r="I123">
        <f t="shared" si="7"/>
        <v>80</v>
      </c>
      <c r="J123">
        <f t="shared" si="4"/>
        <v>36.287389600000004</v>
      </c>
      <c r="K123">
        <v>9.9740000000000002</v>
      </c>
      <c r="L123">
        <f t="shared" si="5"/>
        <v>361.93042387040003</v>
      </c>
    </row>
    <row r="124" spans="1:12" x14ac:dyDescent="0.2">
      <c r="A124" s="4">
        <v>43437</v>
      </c>
      <c r="B124" t="s">
        <v>517</v>
      </c>
      <c r="C124">
        <v>6</v>
      </c>
      <c r="D124">
        <v>4</v>
      </c>
      <c r="E124">
        <v>5</v>
      </c>
      <c r="F124" t="s">
        <v>392</v>
      </c>
      <c r="G124" t="s">
        <v>847</v>
      </c>
      <c r="H124" t="s">
        <v>1073</v>
      </c>
      <c r="I124">
        <f t="shared" si="7"/>
        <v>120</v>
      </c>
      <c r="J124">
        <f t="shared" si="4"/>
        <v>54.431084400000003</v>
      </c>
      <c r="K124">
        <v>9.9740000000000002</v>
      </c>
      <c r="L124">
        <f t="shared" si="5"/>
        <v>542.89563580560002</v>
      </c>
    </row>
    <row r="125" spans="1:12" x14ac:dyDescent="0.2">
      <c r="A125" s="4">
        <v>43437</v>
      </c>
      <c r="B125" t="s">
        <v>517</v>
      </c>
      <c r="C125">
        <v>3</v>
      </c>
      <c r="D125">
        <v>2</v>
      </c>
      <c r="E125">
        <v>5</v>
      </c>
      <c r="F125" t="s">
        <v>393</v>
      </c>
      <c r="G125" t="s">
        <v>847</v>
      </c>
      <c r="H125" t="s">
        <v>1073</v>
      </c>
      <c r="I125">
        <f t="shared" si="7"/>
        <v>30</v>
      </c>
      <c r="J125">
        <f t="shared" si="4"/>
        <v>13.607771100000001</v>
      </c>
      <c r="K125">
        <v>9.9740000000000002</v>
      </c>
      <c r="L125">
        <f t="shared" si="5"/>
        <v>135.72390895140001</v>
      </c>
    </row>
    <row r="126" spans="1:12" x14ac:dyDescent="0.2">
      <c r="A126" s="4">
        <v>43439</v>
      </c>
      <c r="B126" t="s">
        <v>517</v>
      </c>
      <c r="C126">
        <v>1</v>
      </c>
      <c r="D126">
        <v>10</v>
      </c>
      <c r="E126">
        <v>3</v>
      </c>
      <c r="F126" t="s">
        <v>587</v>
      </c>
      <c r="G126" t="s">
        <v>847</v>
      </c>
      <c r="H126" t="s">
        <v>1073</v>
      </c>
      <c r="I126">
        <f t="shared" si="7"/>
        <v>30</v>
      </c>
      <c r="J126">
        <f t="shared" si="4"/>
        <v>13.607771100000001</v>
      </c>
      <c r="K126">
        <v>9.9740000000000002</v>
      </c>
      <c r="L126">
        <f t="shared" si="5"/>
        <v>135.72390895140001</v>
      </c>
    </row>
    <row r="127" spans="1:12" x14ac:dyDescent="0.2">
      <c r="A127" s="4">
        <v>43439</v>
      </c>
      <c r="B127" t="s">
        <v>517</v>
      </c>
      <c r="C127">
        <v>2</v>
      </c>
      <c r="D127">
        <v>4</v>
      </c>
      <c r="E127">
        <v>5</v>
      </c>
      <c r="F127" t="s">
        <v>390</v>
      </c>
      <c r="G127" t="s">
        <v>847</v>
      </c>
      <c r="H127" t="s">
        <v>1073</v>
      </c>
      <c r="I127">
        <f t="shared" si="7"/>
        <v>40</v>
      </c>
      <c r="J127">
        <f t="shared" si="4"/>
        <v>18.143694800000002</v>
      </c>
      <c r="K127">
        <v>9.9740000000000002</v>
      </c>
      <c r="L127">
        <f t="shared" si="5"/>
        <v>180.96521193520002</v>
      </c>
    </row>
    <row r="128" spans="1:12" x14ac:dyDescent="0.2">
      <c r="A128" s="4">
        <v>43439</v>
      </c>
      <c r="B128" t="s">
        <v>517</v>
      </c>
      <c r="C128">
        <v>2</v>
      </c>
      <c r="D128">
        <v>4</v>
      </c>
      <c r="E128">
        <v>5</v>
      </c>
      <c r="F128" t="s">
        <v>391</v>
      </c>
      <c r="G128" t="s">
        <v>847</v>
      </c>
      <c r="H128" t="s">
        <v>1073</v>
      </c>
      <c r="I128">
        <f t="shared" si="7"/>
        <v>40</v>
      </c>
      <c r="J128">
        <f t="shared" si="4"/>
        <v>18.143694800000002</v>
      </c>
      <c r="K128">
        <v>9.9740000000000002</v>
      </c>
      <c r="L128">
        <f t="shared" si="5"/>
        <v>180.96521193520002</v>
      </c>
    </row>
    <row r="129" spans="1:12" x14ac:dyDescent="0.2">
      <c r="A129" s="4">
        <v>43439</v>
      </c>
      <c r="B129" t="s">
        <v>517</v>
      </c>
      <c r="C129">
        <v>5</v>
      </c>
      <c r="D129">
        <v>4</v>
      </c>
      <c r="E129">
        <v>5</v>
      </c>
      <c r="F129" t="s">
        <v>392</v>
      </c>
      <c r="G129" t="s">
        <v>847</v>
      </c>
      <c r="H129" t="s">
        <v>1073</v>
      </c>
      <c r="I129">
        <f t="shared" si="7"/>
        <v>100</v>
      </c>
      <c r="J129">
        <f t="shared" si="4"/>
        <v>45.359237</v>
      </c>
      <c r="K129">
        <v>9.9740000000000002</v>
      </c>
      <c r="L129">
        <f t="shared" si="5"/>
        <v>452.413029838</v>
      </c>
    </row>
    <row r="130" spans="1:12" x14ac:dyDescent="0.2">
      <c r="A130" s="4">
        <v>43439</v>
      </c>
      <c r="B130" t="s">
        <v>517</v>
      </c>
      <c r="C130">
        <v>1</v>
      </c>
      <c r="D130">
        <v>4</v>
      </c>
      <c r="E130">
        <v>2.5</v>
      </c>
      <c r="F130" t="s">
        <v>1008</v>
      </c>
      <c r="G130" t="s">
        <v>847</v>
      </c>
      <c r="H130" t="s">
        <v>1073</v>
      </c>
      <c r="I130">
        <f t="shared" si="7"/>
        <v>10</v>
      </c>
      <c r="J130">
        <f t="shared" si="4"/>
        <v>4.5359237000000006</v>
      </c>
      <c r="K130">
        <v>9.9740000000000002</v>
      </c>
      <c r="L130">
        <f t="shared" si="5"/>
        <v>45.241302983800004</v>
      </c>
    </row>
    <row r="131" spans="1:12" x14ac:dyDescent="0.2">
      <c r="A131" s="4">
        <v>43439</v>
      </c>
      <c r="B131" t="s">
        <v>517</v>
      </c>
      <c r="C131">
        <v>1</v>
      </c>
      <c r="D131">
        <v>8</v>
      </c>
      <c r="E131">
        <v>1.25</v>
      </c>
      <c r="F131" t="s">
        <v>1010</v>
      </c>
      <c r="G131" t="s">
        <v>847</v>
      </c>
      <c r="H131" t="s">
        <v>1073</v>
      </c>
      <c r="I131">
        <f t="shared" si="7"/>
        <v>10</v>
      </c>
      <c r="J131">
        <f t="shared" ref="J131:J194" si="8">CONVERT(I131,"lbm","kg")</f>
        <v>4.5359237000000006</v>
      </c>
      <c r="K131">
        <v>9.9740000000000002</v>
      </c>
      <c r="L131">
        <f t="shared" ref="L131:L194" si="9">J131*K131</f>
        <v>45.241302983800004</v>
      </c>
    </row>
    <row r="132" spans="1:12" x14ac:dyDescent="0.2">
      <c r="A132" s="4">
        <v>43439</v>
      </c>
      <c r="B132" t="s">
        <v>517</v>
      </c>
      <c r="C132">
        <v>2</v>
      </c>
      <c r="D132">
        <v>4</v>
      </c>
      <c r="E132">
        <v>2.5</v>
      </c>
      <c r="F132" t="s">
        <v>1011</v>
      </c>
      <c r="G132" t="s">
        <v>847</v>
      </c>
      <c r="H132" t="s">
        <v>1073</v>
      </c>
      <c r="I132">
        <f t="shared" si="7"/>
        <v>20</v>
      </c>
      <c r="J132">
        <f t="shared" si="8"/>
        <v>9.0718474000000011</v>
      </c>
      <c r="K132">
        <v>9.9740000000000002</v>
      </c>
      <c r="L132">
        <f t="shared" si="9"/>
        <v>90.482605967600009</v>
      </c>
    </row>
    <row r="133" spans="1:12" x14ac:dyDescent="0.2">
      <c r="B133" t="s">
        <v>48</v>
      </c>
      <c r="C133" s="28">
        <v>2</v>
      </c>
      <c r="D133">
        <v>1</v>
      </c>
      <c r="E133">
        <v>30</v>
      </c>
      <c r="F133" t="s">
        <v>354</v>
      </c>
      <c r="G133" t="s">
        <v>831</v>
      </c>
      <c r="H133" t="s">
        <v>1073</v>
      </c>
      <c r="I133">
        <f t="shared" si="7"/>
        <v>60</v>
      </c>
      <c r="J133">
        <f t="shared" si="8"/>
        <v>27.215542200000002</v>
      </c>
      <c r="K133">
        <v>9.9740000000000002</v>
      </c>
      <c r="L133">
        <f t="shared" si="9"/>
        <v>271.44781790280001</v>
      </c>
    </row>
    <row r="134" spans="1:12" x14ac:dyDescent="0.2">
      <c r="A134" s="4">
        <v>43399</v>
      </c>
      <c r="B134" t="s">
        <v>175</v>
      </c>
      <c r="C134" s="28">
        <v>1</v>
      </c>
      <c r="D134">
        <v>1</v>
      </c>
      <c r="E134">
        <v>80</v>
      </c>
      <c r="F134" t="s">
        <v>31</v>
      </c>
      <c r="G134" t="s">
        <v>755</v>
      </c>
      <c r="H134" t="s">
        <v>1072</v>
      </c>
      <c r="I134">
        <f t="shared" si="7"/>
        <v>80</v>
      </c>
      <c r="J134">
        <f t="shared" si="8"/>
        <v>36.287389600000004</v>
      </c>
      <c r="K134">
        <v>4.1879999999999997</v>
      </c>
      <c r="L134">
        <f t="shared" si="9"/>
        <v>151.9715876448</v>
      </c>
    </row>
    <row r="135" spans="1:12" x14ac:dyDescent="0.2">
      <c r="A135" s="4">
        <v>43403</v>
      </c>
      <c r="B135" t="s">
        <v>175</v>
      </c>
      <c r="C135" s="28">
        <v>1</v>
      </c>
      <c r="D135">
        <v>1</v>
      </c>
      <c r="E135">
        <v>280</v>
      </c>
      <c r="F135" t="s">
        <v>31</v>
      </c>
      <c r="G135" t="s">
        <v>755</v>
      </c>
      <c r="H135" t="s">
        <v>1072</v>
      </c>
      <c r="I135">
        <f t="shared" si="7"/>
        <v>280</v>
      </c>
      <c r="J135">
        <f t="shared" si="8"/>
        <v>127.00586360000001</v>
      </c>
      <c r="K135">
        <v>4.1879999999999997</v>
      </c>
      <c r="L135">
        <f t="shared" si="9"/>
        <v>531.90055675680003</v>
      </c>
    </row>
    <row r="136" spans="1:12" x14ac:dyDescent="0.2">
      <c r="A136" s="4">
        <v>43404</v>
      </c>
      <c r="B136" t="s">
        <v>201</v>
      </c>
      <c r="C136">
        <v>13</v>
      </c>
      <c r="D136">
        <v>1</v>
      </c>
      <c r="E136">
        <v>20</v>
      </c>
      <c r="F136" s="9" t="s">
        <v>51</v>
      </c>
      <c r="G136" s="9" t="s">
        <v>755</v>
      </c>
      <c r="H136" t="s">
        <v>1072</v>
      </c>
      <c r="I136">
        <f t="shared" si="7"/>
        <v>260</v>
      </c>
      <c r="J136">
        <f t="shared" si="8"/>
        <v>117.9340162</v>
      </c>
      <c r="K136">
        <v>4.1879999999999997</v>
      </c>
      <c r="L136">
        <f t="shared" si="9"/>
        <v>493.90765984559999</v>
      </c>
    </row>
    <row r="137" spans="1:12" x14ac:dyDescent="0.2">
      <c r="A137" s="4">
        <v>43404</v>
      </c>
      <c r="B137" t="s">
        <v>201</v>
      </c>
      <c r="C137">
        <v>15</v>
      </c>
      <c r="D137">
        <v>1</v>
      </c>
      <c r="E137">
        <v>20</v>
      </c>
      <c r="F137" s="9" t="s">
        <v>295</v>
      </c>
      <c r="G137" s="9" t="s">
        <v>755</v>
      </c>
      <c r="H137" t="s">
        <v>1072</v>
      </c>
      <c r="I137">
        <f t="shared" si="7"/>
        <v>300</v>
      </c>
      <c r="J137">
        <f t="shared" si="8"/>
        <v>136.07771100000002</v>
      </c>
      <c r="K137">
        <v>4.1879999999999997</v>
      </c>
      <c r="L137">
        <f t="shared" si="9"/>
        <v>569.89345366800001</v>
      </c>
    </row>
    <row r="138" spans="1:12" x14ac:dyDescent="0.2">
      <c r="A138" s="4">
        <v>43404</v>
      </c>
      <c r="B138" t="s">
        <v>201</v>
      </c>
      <c r="C138">
        <v>16</v>
      </c>
      <c r="D138">
        <v>1</v>
      </c>
      <c r="E138">
        <v>20</v>
      </c>
      <c r="F138" s="9" t="s">
        <v>200</v>
      </c>
      <c r="G138" s="9" t="s">
        <v>755</v>
      </c>
      <c r="H138" t="s">
        <v>1072</v>
      </c>
      <c r="I138">
        <f t="shared" si="7"/>
        <v>320</v>
      </c>
      <c r="J138">
        <f t="shared" si="8"/>
        <v>145.14955840000002</v>
      </c>
      <c r="K138">
        <v>4.1879999999999997</v>
      </c>
      <c r="L138">
        <f t="shared" si="9"/>
        <v>607.88635057919998</v>
      </c>
    </row>
    <row r="139" spans="1:12" x14ac:dyDescent="0.2">
      <c r="A139" s="4">
        <v>43404</v>
      </c>
      <c r="B139" t="s">
        <v>201</v>
      </c>
      <c r="C139">
        <v>4</v>
      </c>
      <c r="D139">
        <v>1</v>
      </c>
      <c r="E139">
        <v>40</v>
      </c>
      <c r="F139" s="9" t="s">
        <v>52</v>
      </c>
      <c r="G139" s="9" t="s">
        <v>755</v>
      </c>
      <c r="H139" t="s">
        <v>1072</v>
      </c>
      <c r="I139">
        <f t="shared" si="7"/>
        <v>160</v>
      </c>
      <c r="J139">
        <f t="shared" si="8"/>
        <v>72.574779200000009</v>
      </c>
      <c r="K139">
        <v>4.1879999999999997</v>
      </c>
      <c r="L139">
        <f t="shared" si="9"/>
        <v>303.94317528959999</v>
      </c>
    </row>
    <row r="140" spans="1:12" x14ac:dyDescent="0.2">
      <c r="A140" s="4">
        <v>43405</v>
      </c>
      <c r="B140" t="s">
        <v>201</v>
      </c>
      <c r="C140">
        <v>15</v>
      </c>
      <c r="D140">
        <v>1</v>
      </c>
      <c r="E140">
        <v>20</v>
      </c>
      <c r="F140" s="9" t="s">
        <v>51</v>
      </c>
      <c r="G140" s="9" t="s">
        <v>755</v>
      </c>
      <c r="H140" t="s">
        <v>1072</v>
      </c>
      <c r="I140">
        <f t="shared" si="7"/>
        <v>300</v>
      </c>
      <c r="J140">
        <f t="shared" si="8"/>
        <v>136.07771100000002</v>
      </c>
      <c r="K140">
        <v>4.1879999999999997</v>
      </c>
      <c r="L140">
        <f t="shared" si="9"/>
        <v>569.89345366800001</v>
      </c>
    </row>
    <row r="141" spans="1:12" x14ac:dyDescent="0.2">
      <c r="A141" s="4">
        <v>43399</v>
      </c>
      <c r="B141" t="s">
        <v>201</v>
      </c>
      <c r="C141">
        <v>7</v>
      </c>
      <c r="D141">
        <v>1</v>
      </c>
      <c r="E141">
        <v>20</v>
      </c>
      <c r="F141" s="9" t="s">
        <v>296</v>
      </c>
      <c r="G141" s="9" t="s">
        <v>755</v>
      </c>
      <c r="H141" t="s">
        <v>1072</v>
      </c>
      <c r="I141">
        <f t="shared" si="7"/>
        <v>140</v>
      </c>
      <c r="J141">
        <f t="shared" si="8"/>
        <v>63.502931800000006</v>
      </c>
      <c r="K141">
        <v>4.1879999999999997</v>
      </c>
      <c r="L141">
        <f t="shared" si="9"/>
        <v>265.95027837840001</v>
      </c>
    </row>
    <row r="142" spans="1:12" x14ac:dyDescent="0.2">
      <c r="A142" s="4">
        <v>43399</v>
      </c>
      <c r="B142" t="s">
        <v>201</v>
      </c>
      <c r="C142">
        <v>15</v>
      </c>
      <c r="D142">
        <v>1</v>
      </c>
      <c r="E142">
        <v>20</v>
      </c>
      <c r="F142" s="9" t="s">
        <v>51</v>
      </c>
      <c r="G142" s="9" t="s">
        <v>755</v>
      </c>
      <c r="H142" t="s">
        <v>1072</v>
      </c>
      <c r="I142">
        <f t="shared" si="7"/>
        <v>300</v>
      </c>
      <c r="J142">
        <f t="shared" si="8"/>
        <v>136.07771100000002</v>
      </c>
      <c r="K142">
        <v>4.1879999999999997</v>
      </c>
      <c r="L142">
        <f t="shared" si="9"/>
        <v>569.89345366800001</v>
      </c>
    </row>
    <row r="143" spans="1:12" x14ac:dyDescent="0.2">
      <c r="A143" s="4">
        <v>43399</v>
      </c>
      <c r="B143" t="s">
        <v>201</v>
      </c>
      <c r="C143">
        <v>3</v>
      </c>
      <c r="D143">
        <v>1</v>
      </c>
      <c r="E143">
        <v>20</v>
      </c>
      <c r="F143" s="9" t="s">
        <v>31</v>
      </c>
      <c r="G143" s="9" t="s">
        <v>755</v>
      </c>
      <c r="H143" t="s">
        <v>1072</v>
      </c>
      <c r="I143">
        <f t="shared" si="7"/>
        <v>60</v>
      </c>
      <c r="J143">
        <f t="shared" si="8"/>
        <v>27.215542200000002</v>
      </c>
      <c r="K143">
        <v>4.1879999999999997</v>
      </c>
      <c r="L143">
        <f t="shared" si="9"/>
        <v>113.9786907336</v>
      </c>
    </row>
    <row r="144" spans="1:12" x14ac:dyDescent="0.2">
      <c r="A144" s="4">
        <v>43402</v>
      </c>
      <c r="B144" t="s">
        <v>201</v>
      </c>
      <c r="C144">
        <v>15</v>
      </c>
      <c r="D144">
        <v>1</v>
      </c>
      <c r="E144">
        <v>20</v>
      </c>
      <c r="F144" s="9" t="s">
        <v>51</v>
      </c>
      <c r="G144" s="9" t="s">
        <v>755</v>
      </c>
      <c r="H144" t="s">
        <v>1072</v>
      </c>
      <c r="I144">
        <f t="shared" si="7"/>
        <v>300</v>
      </c>
      <c r="J144">
        <f t="shared" si="8"/>
        <v>136.07771100000002</v>
      </c>
      <c r="K144">
        <v>4.1879999999999997</v>
      </c>
      <c r="L144">
        <f t="shared" si="9"/>
        <v>569.89345366800001</v>
      </c>
    </row>
    <row r="145" spans="1:12" x14ac:dyDescent="0.2">
      <c r="A145" s="4">
        <v>43402</v>
      </c>
      <c r="B145" t="s">
        <v>201</v>
      </c>
      <c r="C145">
        <v>15</v>
      </c>
      <c r="D145">
        <v>1</v>
      </c>
      <c r="E145">
        <v>20</v>
      </c>
      <c r="F145" s="9" t="s">
        <v>295</v>
      </c>
      <c r="G145" s="9" t="s">
        <v>755</v>
      </c>
      <c r="H145" t="s">
        <v>1072</v>
      </c>
      <c r="I145">
        <f t="shared" si="7"/>
        <v>300</v>
      </c>
      <c r="J145">
        <f t="shared" si="8"/>
        <v>136.07771100000002</v>
      </c>
      <c r="K145">
        <v>4.1879999999999997</v>
      </c>
      <c r="L145">
        <f t="shared" si="9"/>
        <v>569.89345366800001</v>
      </c>
    </row>
    <row r="146" spans="1:12" x14ac:dyDescent="0.2">
      <c r="A146" s="4">
        <v>43402</v>
      </c>
      <c r="B146" t="s">
        <v>201</v>
      </c>
      <c r="C146">
        <v>3</v>
      </c>
      <c r="D146">
        <v>1</v>
      </c>
      <c r="E146">
        <v>40</v>
      </c>
      <c r="F146" s="9" t="s">
        <v>52</v>
      </c>
      <c r="G146" s="9" t="s">
        <v>755</v>
      </c>
      <c r="H146" t="s">
        <v>1072</v>
      </c>
      <c r="I146">
        <f t="shared" ref="I146:I154" si="10">C146*D146*E146</f>
        <v>120</v>
      </c>
      <c r="J146">
        <f t="shared" si="8"/>
        <v>54.431084400000003</v>
      </c>
      <c r="K146">
        <v>4.1879999999999997</v>
      </c>
      <c r="L146">
        <f t="shared" si="9"/>
        <v>227.95738146720001</v>
      </c>
    </row>
    <row r="147" spans="1:12" x14ac:dyDescent="0.2">
      <c r="A147" s="4">
        <v>43402</v>
      </c>
      <c r="B147" t="s">
        <v>201</v>
      </c>
      <c r="C147">
        <v>16</v>
      </c>
      <c r="D147">
        <v>1</v>
      </c>
      <c r="E147">
        <v>20</v>
      </c>
      <c r="F147" s="9" t="s">
        <v>200</v>
      </c>
      <c r="G147" s="9" t="s">
        <v>755</v>
      </c>
      <c r="H147" t="s">
        <v>1072</v>
      </c>
      <c r="I147">
        <f t="shared" si="10"/>
        <v>320</v>
      </c>
      <c r="J147">
        <f t="shared" si="8"/>
        <v>145.14955840000002</v>
      </c>
      <c r="K147">
        <v>4.1879999999999997</v>
      </c>
      <c r="L147">
        <f t="shared" si="9"/>
        <v>607.88635057919998</v>
      </c>
    </row>
    <row r="148" spans="1:12" x14ac:dyDescent="0.2">
      <c r="A148" s="4">
        <v>43403</v>
      </c>
      <c r="B148" t="s">
        <v>201</v>
      </c>
      <c r="C148">
        <v>15</v>
      </c>
      <c r="D148">
        <v>1</v>
      </c>
      <c r="E148">
        <v>20</v>
      </c>
      <c r="F148" s="9" t="s">
        <v>51</v>
      </c>
      <c r="G148" s="9" t="s">
        <v>755</v>
      </c>
      <c r="H148" t="s">
        <v>1072</v>
      </c>
      <c r="I148">
        <f t="shared" si="10"/>
        <v>300</v>
      </c>
      <c r="J148">
        <f t="shared" si="8"/>
        <v>136.07771100000002</v>
      </c>
      <c r="K148">
        <v>4.1879999999999997</v>
      </c>
      <c r="L148">
        <f t="shared" si="9"/>
        <v>569.89345366800001</v>
      </c>
    </row>
    <row r="149" spans="1:12" x14ac:dyDescent="0.2">
      <c r="A149" s="4">
        <v>43434</v>
      </c>
      <c r="B149" t="s">
        <v>538</v>
      </c>
      <c r="C149">
        <v>8</v>
      </c>
      <c r="D149">
        <v>6</v>
      </c>
      <c r="E149">
        <v>10</v>
      </c>
      <c r="F149" t="s">
        <v>539</v>
      </c>
      <c r="G149" t="s">
        <v>896</v>
      </c>
      <c r="H149" s="6" t="s">
        <v>1071</v>
      </c>
      <c r="I149">
        <f t="shared" si="10"/>
        <v>480</v>
      </c>
      <c r="J149">
        <f t="shared" si="8"/>
        <v>217.72433760000001</v>
      </c>
      <c r="K149">
        <v>0.49099999999999999</v>
      </c>
      <c r="L149">
        <f t="shared" si="9"/>
        <v>106.9026497616</v>
      </c>
    </row>
    <row r="150" spans="1:12" x14ac:dyDescent="0.2">
      <c r="A150" s="4">
        <v>43439</v>
      </c>
      <c r="B150" t="s">
        <v>538</v>
      </c>
      <c r="C150">
        <v>3</v>
      </c>
      <c r="D150">
        <v>6</v>
      </c>
      <c r="E150">
        <v>10</v>
      </c>
      <c r="F150" t="s">
        <v>539</v>
      </c>
      <c r="G150" t="s">
        <v>896</v>
      </c>
      <c r="H150" s="6" t="s">
        <v>1071</v>
      </c>
      <c r="I150">
        <f t="shared" si="10"/>
        <v>180</v>
      </c>
      <c r="J150">
        <f t="shared" si="8"/>
        <v>81.646626600000005</v>
      </c>
      <c r="K150">
        <v>0.49099999999999999</v>
      </c>
      <c r="L150">
        <f t="shared" si="9"/>
        <v>40.088493660600001</v>
      </c>
    </row>
    <row r="151" spans="1:12" x14ac:dyDescent="0.2">
      <c r="A151" s="4">
        <v>43434</v>
      </c>
      <c r="B151" t="s">
        <v>531</v>
      </c>
      <c r="C151">
        <v>11</v>
      </c>
      <c r="D151">
        <v>100</v>
      </c>
      <c r="E151">
        <f>2.6/16</f>
        <v>0.16250000000000001</v>
      </c>
      <c r="F151" t="s">
        <v>532</v>
      </c>
      <c r="G151" s="6" t="s">
        <v>853</v>
      </c>
      <c r="H151" s="6" t="s">
        <v>1071</v>
      </c>
      <c r="I151">
        <f t="shared" si="10"/>
        <v>178.75</v>
      </c>
      <c r="J151">
        <f t="shared" si="8"/>
        <v>81.079636137500003</v>
      </c>
      <c r="K151">
        <v>1.2</v>
      </c>
      <c r="L151">
        <f t="shared" si="9"/>
        <v>97.295563365000007</v>
      </c>
    </row>
    <row r="152" spans="1:12" x14ac:dyDescent="0.2">
      <c r="A152" s="28"/>
      <c r="B152" t="s">
        <v>48</v>
      </c>
      <c r="C152" s="28">
        <v>1</v>
      </c>
      <c r="D152">
        <v>1</v>
      </c>
      <c r="E152">
        <f>30*(2.8/16)</f>
        <v>5.25</v>
      </c>
      <c r="F152" t="s">
        <v>300</v>
      </c>
      <c r="G152" t="s">
        <v>300</v>
      </c>
      <c r="H152" t="s">
        <v>1071</v>
      </c>
      <c r="I152">
        <f t="shared" si="10"/>
        <v>5.25</v>
      </c>
      <c r="J152">
        <f t="shared" si="8"/>
        <v>2.3813599425</v>
      </c>
      <c r="K152">
        <v>0.26100000000000001</v>
      </c>
      <c r="L152">
        <f t="shared" si="9"/>
        <v>0.62153494499250006</v>
      </c>
    </row>
    <row r="153" spans="1:12" x14ac:dyDescent="0.2">
      <c r="B153" t="s">
        <v>48</v>
      </c>
      <c r="C153" s="28">
        <v>1</v>
      </c>
      <c r="D153">
        <v>1</v>
      </c>
      <c r="E153">
        <f>30*(2.8/16)</f>
        <v>5.25</v>
      </c>
      <c r="F153" t="s">
        <v>300</v>
      </c>
      <c r="G153" t="s">
        <v>300</v>
      </c>
      <c r="H153" t="s">
        <v>1071</v>
      </c>
      <c r="I153">
        <f t="shared" si="10"/>
        <v>5.25</v>
      </c>
      <c r="J153">
        <f t="shared" si="8"/>
        <v>2.3813599425</v>
      </c>
      <c r="K153">
        <v>0.26100000000000001</v>
      </c>
      <c r="L153">
        <f t="shared" si="9"/>
        <v>0.62153494499250006</v>
      </c>
    </row>
    <row r="154" spans="1:12" x14ac:dyDescent="0.2">
      <c r="B154" t="s">
        <v>48</v>
      </c>
      <c r="C154" s="28">
        <v>1</v>
      </c>
      <c r="D154">
        <v>1</v>
      </c>
      <c r="E154">
        <f>14/16</f>
        <v>0.875</v>
      </c>
      <c r="F154" t="s">
        <v>375</v>
      </c>
      <c r="G154" t="s">
        <v>375</v>
      </c>
      <c r="H154" t="s">
        <v>1071</v>
      </c>
      <c r="I154">
        <f t="shared" si="10"/>
        <v>0.875</v>
      </c>
      <c r="J154">
        <f t="shared" si="8"/>
        <v>0.39689332375000003</v>
      </c>
      <c r="K154">
        <v>0.87</v>
      </c>
      <c r="L154">
        <f t="shared" si="9"/>
        <v>0.3452971916625</v>
      </c>
    </row>
    <row r="155" spans="1:12" x14ac:dyDescent="0.2">
      <c r="A155" s="4">
        <v>43439</v>
      </c>
      <c r="B155" t="s">
        <v>538</v>
      </c>
      <c r="C155">
        <v>1</v>
      </c>
      <c r="D155">
        <v>6</v>
      </c>
      <c r="E155" t="s">
        <v>422</v>
      </c>
      <c r="F155" t="s">
        <v>423</v>
      </c>
      <c r="G155" s="14" t="s">
        <v>919</v>
      </c>
      <c r="H155" s="6" t="s">
        <v>1071</v>
      </c>
      <c r="I155">
        <v>0</v>
      </c>
      <c r="J155">
        <f t="shared" si="8"/>
        <v>0</v>
      </c>
      <c r="K155">
        <v>33.646999999999998</v>
      </c>
      <c r="L155">
        <f t="shared" si="9"/>
        <v>0</v>
      </c>
    </row>
    <row r="156" spans="1:12" x14ac:dyDescent="0.2">
      <c r="A156" s="4">
        <v>43403</v>
      </c>
      <c r="B156" t="s">
        <v>291</v>
      </c>
      <c r="C156" s="35">
        <v>1</v>
      </c>
      <c r="D156">
        <v>1</v>
      </c>
      <c r="E156" s="8">
        <v>5</v>
      </c>
      <c r="F156" s="8" t="s">
        <v>293</v>
      </c>
      <c r="G156" s="8" t="s">
        <v>810</v>
      </c>
      <c r="H156" t="s">
        <v>1071</v>
      </c>
      <c r="I156">
        <f t="shared" ref="I156:I178" si="11">C156*D156*E156</f>
        <v>5</v>
      </c>
      <c r="J156">
        <f t="shared" si="8"/>
        <v>2.2679618500000003</v>
      </c>
      <c r="K156" s="8">
        <v>6.2789999999999999</v>
      </c>
      <c r="L156">
        <f t="shared" si="9"/>
        <v>14.240532456150001</v>
      </c>
    </row>
    <row r="157" spans="1:12" x14ac:dyDescent="0.2">
      <c r="A157" s="4">
        <v>43403</v>
      </c>
      <c r="B157" t="s">
        <v>291</v>
      </c>
      <c r="C157" s="39">
        <v>1</v>
      </c>
      <c r="D157">
        <v>1</v>
      </c>
      <c r="E157">
        <v>10</v>
      </c>
      <c r="F157" t="s">
        <v>292</v>
      </c>
      <c r="G157" t="s">
        <v>809</v>
      </c>
      <c r="H157" t="s">
        <v>1071</v>
      </c>
      <c r="I157">
        <f t="shared" si="11"/>
        <v>10</v>
      </c>
      <c r="J157">
        <f t="shared" si="8"/>
        <v>4.5359237000000006</v>
      </c>
      <c r="K157">
        <v>6.2789999999999999</v>
      </c>
      <c r="L157">
        <f t="shared" si="9"/>
        <v>28.481064912300003</v>
      </c>
    </row>
    <row r="158" spans="1:12" x14ac:dyDescent="0.2">
      <c r="A158" s="28"/>
      <c r="B158" t="s">
        <v>48</v>
      </c>
      <c r="C158" s="28">
        <v>4</v>
      </c>
      <c r="D158">
        <v>1</v>
      </c>
      <c r="E158">
        <v>10</v>
      </c>
      <c r="F158" t="s">
        <v>325</v>
      </c>
      <c r="G158" t="s">
        <v>794</v>
      </c>
      <c r="H158" t="s">
        <v>1071</v>
      </c>
      <c r="I158">
        <f t="shared" si="11"/>
        <v>40</v>
      </c>
      <c r="J158">
        <f t="shared" si="8"/>
        <v>18.143694800000002</v>
      </c>
      <c r="K158">
        <v>0.20599999999999999</v>
      </c>
      <c r="L158">
        <f t="shared" si="9"/>
        <v>3.7376011288000002</v>
      </c>
    </row>
    <row r="159" spans="1:12" x14ac:dyDescent="0.2">
      <c r="B159" t="s">
        <v>48</v>
      </c>
      <c r="C159" s="28">
        <v>3</v>
      </c>
      <c r="D159">
        <v>1</v>
      </c>
      <c r="E159">
        <v>10</v>
      </c>
      <c r="F159" t="s">
        <v>344</v>
      </c>
      <c r="G159" t="s">
        <v>794</v>
      </c>
      <c r="H159" t="s">
        <v>1071</v>
      </c>
      <c r="I159">
        <f t="shared" si="11"/>
        <v>30</v>
      </c>
      <c r="J159">
        <f t="shared" si="8"/>
        <v>13.607771100000001</v>
      </c>
      <c r="K159">
        <v>0.20599999999999999</v>
      </c>
      <c r="L159">
        <f t="shared" si="9"/>
        <v>2.8032008465999998</v>
      </c>
    </row>
    <row r="160" spans="1:12" x14ac:dyDescent="0.2">
      <c r="A160" s="4">
        <v>43434</v>
      </c>
      <c r="B160" t="s">
        <v>538</v>
      </c>
      <c r="C160">
        <v>4</v>
      </c>
      <c r="D160">
        <v>2</v>
      </c>
      <c r="E160">
        <f>1.5*9.59</f>
        <v>14.385</v>
      </c>
      <c r="F160" t="s">
        <v>563</v>
      </c>
      <c r="G160" s="6" t="s">
        <v>980</v>
      </c>
      <c r="H160" s="9" t="s">
        <v>1071</v>
      </c>
      <c r="I160">
        <f t="shared" si="11"/>
        <v>115.08</v>
      </c>
      <c r="J160">
        <f t="shared" si="8"/>
        <v>52.199409939600002</v>
      </c>
      <c r="K160">
        <v>3.33</v>
      </c>
      <c r="L160">
        <f t="shared" si="9"/>
        <v>173.82403509886802</v>
      </c>
    </row>
    <row r="161" spans="1:12" x14ac:dyDescent="0.2">
      <c r="A161" s="4">
        <v>43437</v>
      </c>
      <c r="B161" t="s">
        <v>538</v>
      </c>
      <c r="C161">
        <v>1</v>
      </c>
      <c r="D161">
        <v>6</v>
      </c>
      <c r="E161">
        <v>7.125</v>
      </c>
      <c r="F161" t="s">
        <v>1007</v>
      </c>
      <c r="G161" s="6" t="s">
        <v>980</v>
      </c>
      <c r="H161" s="9" t="s">
        <v>1071</v>
      </c>
      <c r="I161">
        <f t="shared" si="11"/>
        <v>42.75</v>
      </c>
      <c r="J161">
        <f t="shared" si="8"/>
        <v>19.391073817500001</v>
      </c>
      <c r="K161">
        <v>3.33</v>
      </c>
      <c r="L161">
        <f t="shared" si="9"/>
        <v>64.572275812275009</v>
      </c>
    </row>
    <row r="162" spans="1:12" x14ac:dyDescent="0.2">
      <c r="A162" s="4">
        <v>43439</v>
      </c>
      <c r="B162" t="s">
        <v>538</v>
      </c>
      <c r="C162">
        <v>2</v>
      </c>
      <c r="D162">
        <v>6</v>
      </c>
      <c r="E162">
        <v>7.125</v>
      </c>
      <c r="F162" t="s">
        <v>1007</v>
      </c>
      <c r="G162" s="6" t="s">
        <v>980</v>
      </c>
      <c r="H162" s="9" t="s">
        <v>1071</v>
      </c>
      <c r="I162">
        <f t="shared" si="11"/>
        <v>85.5</v>
      </c>
      <c r="J162">
        <f t="shared" si="8"/>
        <v>38.782147635000001</v>
      </c>
      <c r="K162">
        <v>3.33</v>
      </c>
      <c r="L162">
        <f t="shared" si="9"/>
        <v>129.14455162455002</v>
      </c>
    </row>
    <row r="163" spans="1:12" x14ac:dyDescent="0.2">
      <c r="A163" s="4">
        <v>43434</v>
      </c>
      <c r="B163" t="s">
        <v>538</v>
      </c>
      <c r="C163">
        <v>2</v>
      </c>
      <c r="D163">
        <v>2</v>
      </c>
      <c r="E163">
        <f>105/16</f>
        <v>6.5625</v>
      </c>
      <c r="F163" t="s">
        <v>561</v>
      </c>
      <c r="G163" s="6" t="s">
        <v>980</v>
      </c>
      <c r="H163" s="9" t="s">
        <v>1071</v>
      </c>
      <c r="I163">
        <f t="shared" si="11"/>
        <v>26.25</v>
      </c>
      <c r="J163">
        <f t="shared" si="8"/>
        <v>11.9067997125</v>
      </c>
      <c r="K163">
        <v>3.33</v>
      </c>
      <c r="L163">
        <f t="shared" si="9"/>
        <v>39.649643042625001</v>
      </c>
    </row>
    <row r="164" spans="1:12" x14ac:dyDescent="0.2">
      <c r="A164" s="4">
        <v>43439</v>
      </c>
      <c r="B164" t="s">
        <v>538</v>
      </c>
      <c r="C164">
        <v>1</v>
      </c>
      <c r="D164">
        <v>4</v>
      </c>
      <c r="E164">
        <f>105/16</f>
        <v>6.5625</v>
      </c>
      <c r="F164" t="s">
        <v>456</v>
      </c>
      <c r="G164" s="6" t="s">
        <v>980</v>
      </c>
      <c r="H164" s="9" t="s">
        <v>1071</v>
      </c>
      <c r="I164">
        <f t="shared" si="11"/>
        <v>26.25</v>
      </c>
      <c r="J164">
        <f t="shared" si="8"/>
        <v>11.9067997125</v>
      </c>
      <c r="K164">
        <v>3.33</v>
      </c>
      <c r="L164">
        <f t="shared" si="9"/>
        <v>39.649643042625001</v>
      </c>
    </row>
    <row r="165" spans="1:12" x14ac:dyDescent="0.2">
      <c r="A165" s="4">
        <v>43434</v>
      </c>
      <c r="B165" t="s">
        <v>538</v>
      </c>
      <c r="C165">
        <v>1</v>
      </c>
      <c r="D165">
        <v>6</v>
      </c>
      <c r="E165">
        <v>5</v>
      </c>
      <c r="F165" t="s">
        <v>549</v>
      </c>
      <c r="G165" s="6" t="s">
        <v>980</v>
      </c>
      <c r="H165" s="9" t="s">
        <v>1071</v>
      </c>
      <c r="I165">
        <f t="shared" si="11"/>
        <v>30</v>
      </c>
      <c r="J165">
        <f t="shared" si="8"/>
        <v>13.607771100000001</v>
      </c>
      <c r="K165">
        <v>3.33</v>
      </c>
      <c r="L165">
        <f t="shared" si="9"/>
        <v>45.313877763000001</v>
      </c>
    </row>
    <row r="166" spans="1:12" x14ac:dyDescent="0.2">
      <c r="A166" s="4">
        <v>43437</v>
      </c>
      <c r="B166" t="s">
        <v>538</v>
      </c>
      <c r="C166">
        <v>1</v>
      </c>
      <c r="D166">
        <v>4</v>
      </c>
      <c r="E166">
        <f>1.13*10.16</f>
        <v>11.480799999999999</v>
      </c>
      <c r="F166" t="s">
        <v>572</v>
      </c>
      <c r="G166" s="6" t="s">
        <v>980</v>
      </c>
      <c r="H166" s="9" t="s">
        <v>1071</v>
      </c>
      <c r="I166">
        <f t="shared" si="11"/>
        <v>45.923199999999994</v>
      </c>
      <c r="J166">
        <f t="shared" si="8"/>
        <v>20.830413125983998</v>
      </c>
      <c r="K166">
        <v>3.33</v>
      </c>
      <c r="L166">
        <f t="shared" si="9"/>
        <v>69.365275709526713</v>
      </c>
    </row>
    <row r="167" spans="1:12" x14ac:dyDescent="0.2">
      <c r="A167" s="4">
        <v>43437</v>
      </c>
      <c r="B167" t="s">
        <v>538</v>
      </c>
      <c r="C167">
        <v>1</v>
      </c>
      <c r="D167">
        <v>12</v>
      </c>
      <c r="E167">
        <v>1.5625</v>
      </c>
      <c r="F167" t="s">
        <v>449</v>
      </c>
      <c r="G167" s="6" t="s">
        <v>980</v>
      </c>
      <c r="H167" s="9" t="s">
        <v>1071</v>
      </c>
      <c r="I167">
        <f t="shared" si="11"/>
        <v>18.75</v>
      </c>
      <c r="J167">
        <f t="shared" si="8"/>
        <v>8.5048569375000014</v>
      </c>
      <c r="K167">
        <v>3.33</v>
      </c>
      <c r="L167">
        <f t="shared" si="9"/>
        <v>28.321173601875007</v>
      </c>
    </row>
    <row r="168" spans="1:12" x14ac:dyDescent="0.2">
      <c r="A168" s="4">
        <v>43437</v>
      </c>
      <c r="B168" t="s">
        <v>538</v>
      </c>
      <c r="C168">
        <v>1</v>
      </c>
      <c r="D168">
        <v>4</v>
      </c>
      <c r="E168">
        <f>1.13*10.16</f>
        <v>11.480799999999999</v>
      </c>
      <c r="F168" t="s">
        <v>584</v>
      </c>
      <c r="G168" s="6" t="s">
        <v>980</v>
      </c>
      <c r="H168" s="9" t="s">
        <v>1071</v>
      </c>
      <c r="I168">
        <f t="shared" si="11"/>
        <v>45.923199999999994</v>
      </c>
      <c r="J168">
        <f t="shared" si="8"/>
        <v>20.830413125983998</v>
      </c>
      <c r="K168">
        <v>3.33</v>
      </c>
      <c r="L168">
        <f t="shared" si="9"/>
        <v>69.365275709526713</v>
      </c>
    </row>
    <row r="169" spans="1:12" x14ac:dyDescent="0.2">
      <c r="A169" s="4">
        <v>43437</v>
      </c>
      <c r="B169" t="s">
        <v>538</v>
      </c>
      <c r="C169">
        <v>2</v>
      </c>
      <c r="D169">
        <v>4</v>
      </c>
      <c r="E169">
        <f>1.13*11.68</f>
        <v>13.198399999999998</v>
      </c>
      <c r="F169" t="s">
        <v>585</v>
      </c>
      <c r="G169" s="6" t="s">
        <v>980</v>
      </c>
      <c r="H169" s="9" t="s">
        <v>1071</v>
      </c>
      <c r="I169">
        <f t="shared" si="11"/>
        <v>105.58719999999998</v>
      </c>
      <c r="J169">
        <f t="shared" si="8"/>
        <v>47.893548289663997</v>
      </c>
      <c r="K169">
        <v>3.33</v>
      </c>
      <c r="L169">
        <f t="shared" si="9"/>
        <v>159.48551580458113</v>
      </c>
    </row>
    <row r="170" spans="1:12" x14ac:dyDescent="0.2">
      <c r="A170" s="4">
        <v>43439</v>
      </c>
      <c r="B170" t="s">
        <v>538</v>
      </c>
      <c r="C170">
        <v>1</v>
      </c>
      <c r="D170">
        <v>24</v>
      </c>
      <c r="E170">
        <v>0.3125</v>
      </c>
      <c r="F170" t="s">
        <v>585</v>
      </c>
      <c r="G170" s="6" t="s">
        <v>980</v>
      </c>
      <c r="H170" s="9" t="s">
        <v>1071</v>
      </c>
      <c r="I170">
        <f t="shared" si="11"/>
        <v>7.5</v>
      </c>
      <c r="J170">
        <f t="shared" si="8"/>
        <v>3.4019427750000002</v>
      </c>
      <c r="K170">
        <v>3.33</v>
      </c>
      <c r="L170">
        <f t="shared" si="9"/>
        <v>11.32846944075</v>
      </c>
    </row>
    <row r="171" spans="1:12" x14ac:dyDescent="0.2">
      <c r="A171" s="4">
        <v>43439</v>
      </c>
      <c r="B171" t="s">
        <v>538</v>
      </c>
      <c r="C171">
        <v>1</v>
      </c>
      <c r="D171">
        <v>24</v>
      </c>
      <c r="E171">
        <f>6/16</f>
        <v>0.375</v>
      </c>
      <c r="F171" t="s">
        <v>594</v>
      </c>
      <c r="G171" s="6" t="s">
        <v>980</v>
      </c>
      <c r="H171" s="9" t="s">
        <v>1071</v>
      </c>
      <c r="I171">
        <f t="shared" si="11"/>
        <v>9</v>
      </c>
      <c r="J171">
        <f t="shared" si="8"/>
        <v>4.0823313299999997</v>
      </c>
      <c r="K171">
        <v>3.33</v>
      </c>
      <c r="L171">
        <f t="shared" si="9"/>
        <v>13.594163328899999</v>
      </c>
    </row>
    <row r="172" spans="1:12" x14ac:dyDescent="0.2">
      <c r="A172" s="4">
        <v>43439</v>
      </c>
      <c r="B172" t="s">
        <v>538</v>
      </c>
      <c r="C172">
        <v>1</v>
      </c>
      <c r="D172">
        <v>12</v>
      </c>
      <c r="E172">
        <v>1.5625</v>
      </c>
      <c r="F172" t="s">
        <v>449</v>
      </c>
      <c r="G172" s="6" t="s">
        <v>980</v>
      </c>
      <c r="H172" s="9" t="s">
        <v>1071</v>
      </c>
      <c r="I172">
        <f t="shared" si="11"/>
        <v>18.75</v>
      </c>
      <c r="J172">
        <f t="shared" si="8"/>
        <v>8.5048569375000014</v>
      </c>
      <c r="K172">
        <v>3.33</v>
      </c>
      <c r="L172">
        <f t="shared" si="9"/>
        <v>28.321173601875007</v>
      </c>
    </row>
    <row r="173" spans="1:12" x14ac:dyDescent="0.2">
      <c r="A173" s="4">
        <v>43439</v>
      </c>
      <c r="B173" t="s">
        <v>538</v>
      </c>
      <c r="C173">
        <v>1</v>
      </c>
      <c r="D173">
        <v>12</v>
      </c>
      <c r="E173">
        <v>10.4375</v>
      </c>
      <c r="F173" t="s">
        <v>460</v>
      </c>
      <c r="G173" s="6" t="s">
        <v>980</v>
      </c>
      <c r="H173" s="9" t="s">
        <v>1071</v>
      </c>
      <c r="I173">
        <f t="shared" si="11"/>
        <v>125.25</v>
      </c>
      <c r="J173">
        <f t="shared" si="8"/>
        <v>56.812444342500001</v>
      </c>
      <c r="K173">
        <v>3.33</v>
      </c>
      <c r="L173">
        <f t="shared" si="9"/>
        <v>189.18543966052502</v>
      </c>
    </row>
    <row r="174" spans="1:12" x14ac:dyDescent="0.2">
      <c r="A174" s="4">
        <v>43434</v>
      </c>
      <c r="B174" t="s">
        <v>538</v>
      </c>
      <c r="C174">
        <v>4</v>
      </c>
      <c r="D174">
        <v>4</v>
      </c>
      <c r="E174">
        <v>7.79</v>
      </c>
      <c r="F174" t="s">
        <v>543</v>
      </c>
      <c r="G174" s="6" t="s">
        <v>1089</v>
      </c>
      <c r="H174" s="9" t="s">
        <v>1073</v>
      </c>
      <c r="I174">
        <f t="shared" si="11"/>
        <v>124.64</v>
      </c>
      <c r="J174">
        <f t="shared" si="8"/>
        <v>56.535752996799999</v>
      </c>
      <c r="K174">
        <v>3.33</v>
      </c>
      <c r="L174">
        <f t="shared" si="9"/>
        <v>188.26405747934399</v>
      </c>
    </row>
    <row r="175" spans="1:12" x14ac:dyDescent="0.2">
      <c r="A175" s="4">
        <v>43439</v>
      </c>
      <c r="B175" t="s">
        <v>538</v>
      </c>
      <c r="C175">
        <v>3</v>
      </c>
      <c r="D175">
        <v>4</v>
      </c>
      <c r="E175">
        <v>7.79</v>
      </c>
      <c r="F175" t="s">
        <v>543</v>
      </c>
      <c r="G175" s="6" t="s">
        <v>1089</v>
      </c>
      <c r="H175" s="9" t="s">
        <v>1073</v>
      </c>
      <c r="I175">
        <f t="shared" si="11"/>
        <v>93.48</v>
      </c>
      <c r="J175">
        <f t="shared" si="8"/>
        <v>42.4018147476</v>
      </c>
      <c r="K175">
        <v>3.33</v>
      </c>
      <c r="L175">
        <f t="shared" si="9"/>
        <v>141.19804310950801</v>
      </c>
    </row>
    <row r="176" spans="1:12" x14ac:dyDescent="0.2">
      <c r="A176" s="4">
        <v>43437</v>
      </c>
      <c r="B176" t="s">
        <v>531</v>
      </c>
      <c r="C176">
        <v>3</v>
      </c>
      <c r="D176">
        <v>1</v>
      </c>
      <c r="E176">
        <v>30</v>
      </c>
      <c r="F176" t="s">
        <v>411</v>
      </c>
      <c r="G176" t="s">
        <v>849</v>
      </c>
      <c r="H176" s="6" t="s">
        <v>1071</v>
      </c>
      <c r="I176">
        <f t="shared" si="11"/>
        <v>90</v>
      </c>
      <c r="J176">
        <f t="shared" si="8"/>
        <v>40.823313300000002</v>
      </c>
      <c r="K176">
        <v>0.75700000000000001</v>
      </c>
      <c r="L176">
        <f t="shared" si="9"/>
        <v>30.903248168100003</v>
      </c>
    </row>
    <row r="177" spans="1:12" x14ac:dyDescent="0.2">
      <c r="A177" s="4">
        <v>43439</v>
      </c>
      <c r="B177" t="s">
        <v>531</v>
      </c>
      <c r="C177">
        <v>1</v>
      </c>
      <c r="D177">
        <v>1</v>
      </c>
      <c r="E177">
        <v>30</v>
      </c>
      <c r="F177" t="s">
        <v>411</v>
      </c>
      <c r="G177" t="s">
        <v>849</v>
      </c>
      <c r="H177" s="6" t="s">
        <v>1071</v>
      </c>
      <c r="I177">
        <f t="shared" si="11"/>
        <v>30</v>
      </c>
      <c r="J177">
        <f t="shared" si="8"/>
        <v>13.607771100000001</v>
      </c>
      <c r="K177">
        <v>0.75700000000000001</v>
      </c>
      <c r="L177">
        <f t="shared" si="9"/>
        <v>10.3010827227</v>
      </c>
    </row>
    <row r="178" spans="1:12" x14ac:dyDescent="0.2">
      <c r="A178" s="4">
        <v>43434</v>
      </c>
      <c r="B178" t="s">
        <v>525</v>
      </c>
      <c r="C178">
        <v>12</v>
      </c>
      <c r="D178">
        <v>1</v>
      </c>
      <c r="E178">
        <v>10</v>
      </c>
      <c r="F178" t="s">
        <v>526</v>
      </c>
      <c r="G178" s="9" t="s">
        <v>889</v>
      </c>
      <c r="H178" s="9" t="s">
        <v>1072</v>
      </c>
      <c r="I178">
        <f t="shared" si="11"/>
        <v>120</v>
      </c>
      <c r="J178">
        <f t="shared" si="8"/>
        <v>54.431084400000003</v>
      </c>
      <c r="K178">
        <v>32.845999999999997</v>
      </c>
      <c r="L178">
        <f t="shared" si="9"/>
        <v>1787.8433982023998</v>
      </c>
    </row>
    <row r="179" spans="1:12" x14ac:dyDescent="0.2">
      <c r="A179" s="4">
        <v>43439</v>
      </c>
      <c r="B179" t="s">
        <v>538</v>
      </c>
      <c r="C179">
        <v>1</v>
      </c>
      <c r="D179">
        <v>12</v>
      </c>
      <c r="E179" t="s">
        <v>407</v>
      </c>
      <c r="F179" t="s">
        <v>542</v>
      </c>
      <c r="G179" s="14" t="s">
        <v>916</v>
      </c>
      <c r="H179" t="s">
        <v>1071</v>
      </c>
      <c r="I179">
        <v>0</v>
      </c>
      <c r="J179">
        <f t="shared" si="8"/>
        <v>0</v>
      </c>
      <c r="K179">
        <v>0.55000000000000004</v>
      </c>
      <c r="L179">
        <f t="shared" si="9"/>
        <v>0</v>
      </c>
    </row>
    <row r="180" spans="1:12" x14ac:dyDescent="0.2">
      <c r="A180" s="4">
        <v>43437</v>
      </c>
      <c r="B180" t="s">
        <v>538</v>
      </c>
      <c r="C180">
        <v>1</v>
      </c>
      <c r="D180">
        <v>1</v>
      </c>
      <c r="E180">
        <v>25</v>
      </c>
      <c r="F180" t="s">
        <v>573</v>
      </c>
      <c r="G180" t="s">
        <v>916</v>
      </c>
      <c r="H180" s="9" t="s">
        <v>1071</v>
      </c>
      <c r="I180">
        <f>C180*D180*E180</f>
        <v>25</v>
      </c>
      <c r="J180">
        <f t="shared" si="8"/>
        <v>11.33980925</v>
      </c>
      <c r="K180">
        <v>0.55000000000000004</v>
      </c>
      <c r="L180">
        <f t="shared" si="9"/>
        <v>6.2368950875000007</v>
      </c>
    </row>
    <row r="181" spans="1:12" x14ac:dyDescent="0.2">
      <c r="A181" s="4">
        <v>43437</v>
      </c>
      <c r="B181" t="s">
        <v>538</v>
      </c>
      <c r="C181">
        <v>1</v>
      </c>
      <c r="D181">
        <v>6</v>
      </c>
      <c r="E181">
        <v>5</v>
      </c>
      <c r="F181" t="s">
        <v>579</v>
      </c>
      <c r="G181" s="14" t="s">
        <v>916</v>
      </c>
      <c r="H181" s="9" t="s">
        <v>1071</v>
      </c>
      <c r="I181">
        <f>C181*D181*E181</f>
        <v>30</v>
      </c>
      <c r="J181">
        <f t="shared" si="8"/>
        <v>13.607771100000001</v>
      </c>
      <c r="K181">
        <v>0.55000000000000004</v>
      </c>
      <c r="L181">
        <f t="shared" si="9"/>
        <v>7.4842741050000008</v>
      </c>
    </row>
    <row r="182" spans="1:12" x14ac:dyDescent="0.2">
      <c r="A182" s="4">
        <v>43439</v>
      </c>
      <c r="B182" t="s">
        <v>538</v>
      </c>
      <c r="C182">
        <v>1</v>
      </c>
      <c r="D182">
        <v>24</v>
      </c>
      <c r="E182">
        <v>1</v>
      </c>
      <c r="F182" t="s">
        <v>433</v>
      </c>
      <c r="G182" t="s">
        <v>900</v>
      </c>
      <c r="H182" s="9" t="s">
        <v>1071</v>
      </c>
      <c r="I182">
        <f>C182*D182*E182</f>
        <v>24</v>
      </c>
      <c r="J182">
        <f t="shared" si="8"/>
        <v>10.886216880000001</v>
      </c>
      <c r="K182">
        <v>0.76</v>
      </c>
      <c r="L182">
        <f t="shared" si="9"/>
        <v>8.2735248288000012</v>
      </c>
    </row>
    <row r="183" spans="1:12" x14ac:dyDescent="0.2">
      <c r="A183" s="4">
        <v>43434</v>
      </c>
      <c r="B183" t="s">
        <v>538</v>
      </c>
      <c r="C183">
        <v>2</v>
      </c>
      <c r="D183">
        <v>24</v>
      </c>
      <c r="E183">
        <v>1</v>
      </c>
      <c r="F183" t="s">
        <v>433</v>
      </c>
      <c r="G183" t="s">
        <v>900</v>
      </c>
      <c r="H183" s="9" t="s">
        <v>1071</v>
      </c>
      <c r="I183">
        <f>C183*D183*E183</f>
        <v>48</v>
      </c>
      <c r="J183">
        <f t="shared" si="8"/>
        <v>21.772433760000002</v>
      </c>
      <c r="K183">
        <v>0.76</v>
      </c>
      <c r="L183">
        <f t="shared" si="9"/>
        <v>16.547049657600002</v>
      </c>
    </row>
    <row r="184" spans="1:12" x14ac:dyDescent="0.2">
      <c r="A184" s="4">
        <v>43439</v>
      </c>
      <c r="B184" t="s">
        <v>538</v>
      </c>
      <c r="C184">
        <v>1</v>
      </c>
      <c r="D184">
        <v>500</v>
      </c>
      <c r="E184" t="s">
        <v>1088</v>
      </c>
      <c r="F184" t="s">
        <v>430</v>
      </c>
      <c r="G184" s="14" t="s">
        <v>881</v>
      </c>
      <c r="H184" s="9" t="s">
        <v>1071</v>
      </c>
      <c r="I184">
        <v>0</v>
      </c>
      <c r="J184">
        <f t="shared" si="8"/>
        <v>0</v>
      </c>
      <c r="K184">
        <v>2.5299999999999998</v>
      </c>
      <c r="L184">
        <f t="shared" si="9"/>
        <v>0</v>
      </c>
    </row>
    <row r="185" spans="1:12" x14ac:dyDescent="0.2">
      <c r="A185" s="4">
        <v>43439</v>
      </c>
      <c r="B185" t="s">
        <v>538</v>
      </c>
      <c r="C185">
        <v>1</v>
      </c>
      <c r="D185">
        <v>150</v>
      </c>
      <c r="E185">
        <v>3.125E-2</v>
      </c>
      <c r="F185" t="s">
        <v>442</v>
      </c>
      <c r="G185" s="6" t="s">
        <v>881</v>
      </c>
      <c r="H185" s="9" t="s">
        <v>1071</v>
      </c>
      <c r="I185">
        <f t="shared" ref="I185:I248" si="12">C185*D185*E185</f>
        <v>4.6875</v>
      </c>
      <c r="J185">
        <f t="shared" si="8"/>
        <v>2.1262142343750003</v>
      </c>
      <c r="K185">
        <v>2.5299999999999998</v>
      </c>
      <c r="L185">
        <f t="shared" si="9"/>
        <v>5.3793220129687507</v>
      </c>
    </row>
    <row r="186" spans="1:12" x14ac:dyDescent="0.2">
      <c r="A186" s="4">
        <v>43437</v>
      </c>
      <c r="B186" t="s">
        <v>538</v>
      </c>
      <c r="C186">
        <v>1</v>
      </c>
      <c r="D186">
        <v>1</v>
      </c>
      <c r="E186">
        <v>10</v>
      </c>
      <c r="F186" t="s">
        <v>454</v>
      </c>
      <c r="G186" t="s">
        <v>879</v>
      </c>
      <c r="H186" s="9" t="s">
        <v>1071</v>
      </c>
      <c r="I186">
        <f t="shared" si="12"/>
        <v>10</v>
      </c>
      <c r="J186">
        <f t="shared" si="8"/>
        <v>4.5359237000000006</v>
      </c>
      <c r="K186">
        <v>1.4179999999999999</v>
      </c>
      <c r="L186">
        <f t="shared" si="9"/>
        <v>6.4319398066000009</v>
      </c>
    </row>
    <row r="187" spans="1:12" x14ac:dyDescent="0.2">
      <c r="A187" s="4">
        <v>43434</v>
      </c>
      <c r="B187" t="s">
        <v>517</v>
      </c>
      <c r="C187">
        <v>1</v>
      </c>
      <c r="D187">
        <v>1</v>
      </c>
      <c r="E187">
        <v>2</v>
      </c>
      <c r="F187" t="s">
        <v>380</v>
      </c>
      <c r="G187" t="s">
        <v>841</v>
      </c>
      <c r="H187" s="9" t="s">
        <v>1073</v>
      </c>
      <c r="I187">
        <f t="shared" si="12"/>
        <v>2</v>
      </c>
      <c r="J187">
        <f t="shared" si="8"/>
        <v>0.90718474000000004</v>
      </c>
      <c r="K187">
        <v>5.32</v>
      </c>
      <c r="L187">
        <f t="shared" si="9"/>
        <v>4.8262228168000005</v>
      </c>
    </row>
    <row r="188" spans="1:12" x14ac:dyDescent="0.2">
      <c r="A188" s="4">
        <v>43439</v>
      </c>
      <c r="B188" t="s">
        <v>517</v>
      </c>
      <c r="C188">
        <v>1</v>
      </c>
      <c r="D188">
        <v>1</v>
      </c>
      <c r="E188">
        <v>2</v>
      </c>
      <c r="F188" t="s">
        <v>380</v>
      </c>
      <c r="G188" t="s">
        <v>841</v>
      </c>
      <c r="H188" s="9" t="s">
        <v>1073</v>
      </c>
      <c r="I188">
        <f t="shared" si="12"/>
        <v>2</v>
      </c>
      <c r="J188">
        <f t="shared" si="8"/>
        <v>0.90718474000000004</v>
      </c>
      <c r="K188">
        <v>5.32</v>
      </c>
      <c r="L188">
        <f t="shared" si="9"/>
        <v>4.8262228168000005</v>
      </c>
    </row>
    <row r="189" spans="1:12" x14ac:dyDescent="0.2">
      <c r="A189" s="28"/>
      <c r="B189" t="s">
        <v>48</v>
      </c>
      <c r="C189" s="28">
        <v>1</v>
      </c>
      <c r="D189">
        <v>1</v>
      </c>
      <c r="E189">
        <f t="shared" ref="E189:E194" si="13">10/9*50</f>
        <v>55.555555555555557</v>
      </c>
      <c r="F189" t="s">
        <v>301</v>
      </c>
      <c r="G189" t="s">
        <v>620</v>
      </c>
      <c r="H189" t="s">
        <v>1071</v>
      </c>
      <c r="I189">
        <f t="shared" si="12"/>
        <v>55.555555555555557</v>
      </c>
      <c r="J189">
        <f t="shared" si="8"/>
        <v>25.199576111111114</v>
      </c>
      <c r="K189">
        <v>0.40899999999999997</v>
      </c>
      <c r="L189">
        <f t="shared" si="9"/>
        <v>10.306626629444445</v>
      </c>
    </row>
    <row r="190" spans="1:12" x14ac:dyDescent="0.2">
      <c r="B190" t="s">
        <v>48</v>
      </c>
      <c r="C190" s="28">
        <v>1</v>
      </c>
      <c r="D190">
        <v>1</v>
      </c>
      <c r="E190">
        <f t="shared" si="13"/>
        <v>55.555555555555557</v>
      </c>
      <c r="F190" t="s">
        <v>301</v>
      </c>
      <c r="G190" t="s">
        <v>620</v>
      </c>
      <c r="H190" t="s">
        <v>1071</v>
      </c>
      <c r="I190">
        <f t="shared" si="12"/>
        <v>55.555555555555557</v>
      </c>
      <c r="J190">
        <f t="shared" si="8"/>
        <v>25.199576111111114</v>
      </c>
      <c r="K190">
        <v>0.40899999999999997</v>
      </c>
      <c r="L190">
        <f t="shared" si="9"/>
        <v>10.306626629444445</v>
      </c>
    </row>
    <row r="191" spans="1:12" x14ac:dyDescent="0.2">
      <c r="B191" t="s">
        <v>48</v>
      </c>
      <c r="C191" s="28">
        <v>1</v>
      </c>
      <c r="D191">
        <v>1</v>
      </c>
      <c r="E191">
        <f t="shared" si="13"/>
        <v>55.555555555555557</v>
      </c>
      <c r="F191" t="s">
        <v>301</v>
      </c>
      <c r="G191" t="s">
        <v>620</v>
      </c>
      <c r="H191" t="s">
        <v>1071</v>
      </c>
      <c r="I191">
        <f t="shared" si="12"/>
        <v>55.555555555555557</v>
      </c>
      <c r="J191">
        <f t="shared" si="8"/>
        <v>25.199576111111114</v>
      </c>
      <c r="K191">
        <v>0.40899999999999997</v>
      </c>
      <c r="L191">
        <f t="shared" si="9"/>
        <v>10.306626629444445</v>
      </c>
    </row>
    <row r="192" spans="1:12" x14ac:dyDescent="0.2">
      <c r="B192" t="s">
        <v>48</v>
      </c>
      <c r="C192" s="28">
        <v>2</v>
      </c>
      <c r="D192">
        <v>1</v>
      </c>
      <c r="E192">
        <f t="shared" si="13"/>
        <v>55.555555555555557</v>
      </c>
      <c r="F192" t="s">
        <v>348</v>
      </c>
      <c r="G192" t="s">
        <v>620</v>
      </c>
      <c r="H192" t="s">
        <v>1071</v>
      </c>
      <c r="I192">
        <f t="shared" si="12"/>
        <v>111.11111111111111</v>
      </c>
      <c r="J192">
        <f t="shared" si="8"/>
        <v>50.399152222222227</v>
      </c>
      <c r="K192">
        <v>0.40899999999999997</v>
      </c>
      <c r="L192">
        <f t="shared" si="9"/>
        <v>20.613253258888889</v>
      </c>
    </row>
    <row r="193" spans="1:12" x14ac:dyDescent="0.2">
      <c r="B193" t="s">
        <v>48</v>
      </c>
      <c r="C193" s="28">
        <v>1</v>
      </c>
      <c r="D193">
        <v>1</v>
      </c>
      <c r="E193">
        <f t="shared" si="13"/>
        <v>55.555555555555557</v>
      </c>
      <c r="F193" t="s">
        <v>348</v>
      </c>
      <c r="G193" t="s">
        <v>620</v>
      </c>
      <c r="H193" t="s">
        <v>1071</v>
      </c>
      <c r="I193">
        <f t="shared" si="12"/>
        <v>55.555555555555557</v>
      </c>
      <c r="J193">
        <f t="shared" si="8"/>
        <v>25.199576111111114</v>
      </c>
      <c r="K193">
        <v>0.40899999999999997</v>
      </c>
      <c r="L193">
        <f t="shared" si="9"/>
        <v>10.306626629444445</v>
      </c>
    </row>
    <row r="194" spans="1:12" x14ac:dyDescent="0.2">
      <c r="B194" t="s">
        <v>48</v>
      </c>
      <c r="C194" s="28">
        <v>2</v>
      </c>
      <c r="D194">
        <v>1</v>
      </c>
      <c r="E194">
        <f t="shared" si="13"/>
        <v>55.555555555555557</v>
      </c>
      <c r="F194" t="s">
        <v>301</v>
      </c>
      <c r="G194" t="s">
        <v>620</v>
      </c>
      <c r="H194" t="s">
        <v>1071</v>
      </c>
      <c r="I194">
        <f t="shared" si="12"/>
        <v>111.11111111111111</v>
      </c>
      <c r="J194">
        <f t="shared" si="8"/>
        <v>50.399152222222227</v>
      </c>
      <c r="K194">
        <v>0.40899999999999997</v>
      </c>
      <c r="L194">
        <f t="shared" si="9"/>
        <v>20.613253258888889</v>
      </c>
    </row>
    <row r="195" spans="1:12" x14ac:dyDescent="0.2">
      <c r="A195" s="4">
        <v>43439</v>
      </c>
      <c r="B195" t="s">
        <v>538</v>
      </c>
      <c r="C195">
        <v>2</v>
      </c>
      <c r="D195">
        <v>4</v>
      </c>
      <c r="E195">
        <v>8.35</v>
      </c>
      <c r="F195" t="s">
        <v>595</v>
      </c>
      <c r="G195" t="s">
        <v>89</v>
      </c>
      <c r="H195" s="9" t="s">
        <v>1071</v>
      </c>
      <c r="I195">
        <f t="shared" si="12"/>
        <v>66.8</v>
      </c>
      <c r="J195">
        <f t="shared" ref="J195:J258" si="14">CONVERT(I195,"lbm","kg")</f>
        <v>30.299970316</v>
      </c>
      <c r="K195">
        <v>0.40899999999999997</v>
      </c>
      <c r="L195">
        <f t="shared" ref="L195:L258" si="15">J195*K195</f>
        <v>12.392687859243999</v>
      </c>
    </row>
    <row r="196" spans="1:12" x14ac:dyDescent="0.2">
      <c r="B196" t="s">
        <v>48</v>
      </c>
      <c r="C196" s="28">
        <v>1</v>
      </c>
      <c r="D196">
        <v>1</v>
      </c>
      <c r="E196">
        <v>1</v>
      </c>
      <c r="F196" t="s">
        <v>376</v>
      </c>
      <c r="G196" t="s">
        <v>822</v>
      </c>
      <c r="H196" t="s">
        <v>1071</v>
      </c>
      <c r="I196">
        <f t="shared" si="12"/>
        <v>1</v>
      </c>
      <c r="J196">
        <f t="shared" si="14"/>
        <v>0.45359237000000002</v>
      </c>
      <c r="K196">
        <v>3.33</v>
      </c>
      <c r="L196">
        <f t="shared" si="15"/>
        <v>1.5104625921000001</v>
      </c>
    </row>
    <row r="197" spans="1:12" x14ac:dyDescent="0.2">
      <c r="A197" s="4">
        <v>43434</v>
      </c>
      <c r="B197" t="s">
        <v>517</v>
      </c>
      <c r="C197">
        <v>12</v>
      </c>
      <c r="D197">
        <v>2</v>
      </c>
      <c r="E197">
        <v>20</v>
      </c>
      <c r="F197" t="s">
        <v>381</v>
      </c>
      <c r="G197" t="s">
        <v>843</v>
      </c>
      <c r="H197" s="9" t="s">
        <v>1073</v>
      </c>
      <c r="I197">
        <f t="shared" si="12"/>
        <v>480</v>
      </c>
      <c r="J197">
        <f t="shared" si="14"/>
        <v>217.72433760000001</v>
      </c>
      <c r="K197">
        <v>3.754</v>
      </c>
      <c r="L197">
        <f t="shared" si="15"/>
        <v>817.33716335040003</v>
      </c>
    </row>
    <row r="198" spans="1:12" x14ac:dyDescent="0.2">
      <c r="A198" s="4">
        <v>43434</v>
      </c>
      <c r="B198" t="s">
        <v>517</v>
      </c>
      <c r="C198">
        <v>1</v>
      </c>
      <c r="D198">
        <v>15</v>
      </c>
      <c r="E198">
        <v>2</v>
      </c>
      <c r="F198" t="s">
        <v>385</v>
      </c>
      <c r="G198" t="s">
        <v>843</v>
      </c>
      <c r="H198" s="9" t="s">
        <v>1073</v>
      </c>
      <c r="I198">
        <f t="shared" si="12"/>
        <v>30</v>
      </c>
      <c r="J198">
        <f t="shared" si="14"/>
        <v>13.607771100000001</v>
      </c>
      <c r="K198">
        <v>3.754</v>
      </c>
      <c r="L198">
        <f t="shared" si="15"/>
        <v>51.083572709400002</v>
      </c>
    </row>
    <row r="199" spans="1:12" x14ac:dyDescent="0.2">
      <c r="A199" s="4">
        <v>43434</v>
      </c>
      <c r="B199" t="s">
        <v>517</v>
      </c>
      <c r="C199">
        <v>2</v>
      </c>
      <c r="D199">
        <v>15</v>
      </c>
      <c r="E199">
        <f>24/16</f>
        <v>1.5</v>
      </c>
      <c r="F199" t="s">
        <v>386</v>
      </c>
      <c r="G199" t="s">
        <v>843</v>
      </c>
      <c r="H199" s="9" t="s">
        <v>1073</v>
      </c>
      <c r="I199">
        <f t="shared" si="12"/>
        <v>45</v>
      </c>
      <c r="J199">
        <f t="shared" si="14"/>
        <v>20.411656650000001</v>
      </c>
      <c r="K199">
        <v>3.754</v>
      </c>
      <c r="L199">
        <f t="shared" si="15"/>
        <v>76.62535906410001</v>
      </c>
    </row>
    <row r="200" spans="1:12" x14ac:dyDescent="0.2">
      <c r="A200" s="4">
        <v>43437</v>
      </c>
      <c r="B200" t="s">
        <v>517</v>
      </c>
      <c r="C200">
        <v>13</v>
      </c>
      <c r="D200">
        <v>2</v>
      </c>
      <c r="E200">
        <v>20</v>
      </c>
      <c r="F200" t="s">
        <v>381</v>
      </c>
      <c r="G200" t="s">
        <v>843</v>
      </c>
      <c r="H200" s="9" t="s">
        <v>1073</v>
      </c>
      <c r="I200">
        <f t="shared" si="12"/>
        <v>520</v>
      </c>
      <c r="J200">
        <f t="shared" si="14"/>
        <v>235.8680324</v>
      </c>
      <c r="K200">
        <v>3.754</v>
      </c>
      <c r="L200">
        <f t="shared" si="15"/>
        <v>885.44859362960005</v>
      </c>
    </row>
    <row r="201" spans="1:12" x14ac:dyDescent="0.2">
      <c r="A201" s="4">
        <v>43437</v>
      </c>
      <c r="B201" t="s">
        <v>517</v>
      </c>
      <c r="C201">
        <v>2</v>
      </c>
      <c r="D201">
        <v>15</v>
      </c>
      <c r="E201">
        <v>2</v>
      </c>
      <c r="F201" t="s">
        <v>385</v>
      </c>
      <c r="G201" t="s">
        <v>843</v>
      </c>
      <c r="H201" s="9" t="s">
        <v>1073</v>
      </c>
      <c r="I201">
        <f t="shared" si="12"/>
        <v>60</v>
      </c>
      <c r="J201">
        <f t="shared" si="14"/>
        <v>27.215542200000002</v>
      </c>
      <c r="K201">
        <v>3.754</v>
      </c>
      <c r="L201">
        <f t="shared" si="15"/>
        <v>102.1671454188</v>
      </c>
    </row>
    <row r="202" spans="1:12" x14ac:dyDescent="0.2">
      <c r="A202" s="4">
        <v>43439</v>
      </c>
      <c r="B202" t="s">
        <v>517</v>
      </c>
      <c r="C202">
        <v>8</v>
      </c>
      <c r="D202">
        <v>2</v>
      </c>
      <c r="E202">
        <v>20</v>
      </c>
      <c r="F202" t="s">
        <v>381</v>
      </c>
      <c r="G202" t="s">
        <v>843</v>
      </c>
      <c r="H202" s="9" t="s">
        <v>1073</v>
      </c>
      <c r="I202">
        <f t="shared" si="12"/>
        <v>320</v>
      </c>
      <c r="J202">
        <f t="shared" si="14"/>
        <v>145.14955840000002</v>
      </c>
      <c r="K202">
        <v>3.754</v>
      </c>
      <c r="L202">
        <f t="shared" si="15"/>
        <v>544.89144223360006</v>
      </c>
    </row>
    <row r="203" spans="1:12" x14ac:dyDescent="0.2">
      <c r="A203" s="4">
        <v>43439</v>
      </c>
      <c r="B203" t="s">
        <v>517</v>
      </c>
      <c r="C203">
        <v>2</v>
      </c>
      <c r="D203">
        <v>15</v>
      </c>
      <c r="E203">
        <v>2</v>
      </c>
      <c r="F203" t="s">
        <v>385</v>
      </c>
      <c r="G203" t="s">
        <v>843</v>
      </c>
      <c r="H203" s="9" t="s">
        <v>1073</v>
      </c>
      <c r="I203">
        <f t="shared" si="12"/>
        <v>60</v>
      </c>
      <c r="J203">
        <f t="shared" si="14"/>
        <v>27.215542200000002</v>
      </c>
      <c r="K203">
        <v>3.754</v>
      </c>
      <c r="L203">
        <f t="shared" si="15"/>
        <v>102.1671454188</v>
      </c>
    </row>
    <row r="204" spans="1:12" x14ac:dyDescent="0.2">
      <c r="A204" s="4">
        <v>43439</v>
      </c>
      <c r="B204" t="s">
        <v>517</v>
      </c>
      <c r="C204">
        <v>4</v>
      </c>
      <c r="D204">
        <v>15</v>
      </c>
      <c r="E204">
        <f>24/16</f>
        <v>1.5</v>
      </c>
      <c r="F204" t="s">
        <v>386</v>
      </c>
      <c r="G204" t="s">
        <v>843</v>
      </c>
      <c r="H204" s="9" t="s">
        <v>1073</v>
      </c>
      <c r="I204">
        <f t="shared" si="12"/>
        <v>90</v>
      </c>
      <c r="J204">
        <f t="shared" si="14"/>
        <v>40.823313300000002</v>
      </c>
      <c r="K204">
        <v>3.754</v>
      </c>
      <c r="L204">
        <f t="shared" si="15"/>
        <v>153.25071812820002</v>
      </c>
    </row>
    <row r="205" spans="1:12" x14ac:dyDescent="0.2">
      <c r="A205" s="28"/>
      <c r="B205" t="s">
        <v>48</v>
      </c>
      <c r="C205" s="28">
        <v>2</v>
      </c>
      <c r="D205">
        <v>1</v>
      </c>
      <c r="E205">
        <f t="shared" ref="E205:E210" si="16">10/9*35</f>
        <v>38.888888888888893</v>
      </c>
      <c r="F205" t="s">
        <v>302</v>
      </c>
      <c r="G205" t="s">
        <v>785</v>
      </c>
      <c r="H205" t="s">
        <v>1071</v>
      </c>
      <c r="I205">
        <f t="shared" si="12"/>
        <v>77.777777777777786</v>
      </c>
      <c r="J205">
        <f t="shared" si="14"/>
        <v>35.27940655555556</v>
      </c>
      <c r="K205">
        <v>0.52600000000000002</v>
      </c>
      <c r="L205">
        <f t="shared" si="15"/>
        <v>18.556967848222225</v>
      </c>
    </row>
    <row r="206" spans="1:12" x14ac:dyDescent="0.2">
      <c r="B206" t="s">
        <v>48</v>
      </c>
      <c r="C206" s="28">
        <v>1</v>
      </c>
      <c r="D206">
        <v>1</v>
      </c>
      <c r="E206">
        <f t="shared" si="16"/>
        <v>38.888888888888893</v>
      </c>
      <c r="F206" t="s">
        <v>302</v>
      </c>
      <c r="G206" t="s">
        <v>785</v>
      </c>
      <c r="H206" t="s">
        <v>1071</v>
      </c>
      <c r="I206">
        <f t="shared" si="12"/>
        <v>38.888888888888893</v>
      </c>
      <c r="J206">
        <f t="shared" si="14"/>
        <v>17.63970327777778</v>
      </c>
      <c r="K206">
        <v>0.52600000000000002</v>
      </c>
      <c r="L206">
        <f t="shared" si="15"/>
        <v>9.2784839241111126</v>
      </c>
    </row>
    <row r="207" spans="1:12" x14ac:dyDescent="0.2">
      <c r="B207" t="s">
        <v>48</v>
      </c>
      <c r="C207" s="28">
        <v>2</v>
      </c>
      <c r="D207">
        <v>1</v>
      </c>
      <c r="E207">
        <f t="shared" si="16"/>
        <v>38.888888888888893</v>
      </c>
      <c r="F207" t="s">
        <v>302</v>
      </c>
      <c r="G207" t="s">
        <v>785</v>
      </c>
      <c r="H207" t="s">
        <v>1071</v>
      </c>
      <c r="I207">
        <f t="shared" si="12"/>
        <v>77.777777777777786</v>
      </c>
      <c r="J207">
        <f t="shared" si="14"/>
        <v>35.27940655555556</v>
      </c>
      <c r="K207">
        <v>0.52600000000000002</v>
      </c>
      <c r="L207">
        <f t="shared" si="15"/>
        <v>18.556967848222225</v>
      </c>
    </row>
    <row r="208" spans="1:12" x14ac:dyDescent="0.2">
      <c r="B208" t="s">
        <v>48</v>
      </c>
      <c r="C208" s="28">
        <v>1</v>
      </c>
      <c r="D208">
        <v>1</v>
      </c>
      <c r="E208">
        <f t="shared" si="16"/>
        <v>38.888888888888893</v>
      </c>
      <c r="F208" t="s">
        <v>302</v>
      </c>
      <c r="G208" t="s">
        <v>785</v>
      </c>
      <c r="H208" t="s">
        <v>1071</v>
      </c>
      <c r="I208">
        <f t="shared" si="12"/>
        <v>38.888888888888893</v>
      </c>
      <c r="J208">
        <f t="shared" si="14"/>
        <v>17.63970327777778</v>
      </c>
      <c r="K208">
        <v>0.52600000000000002</v>
      </c>
      <c r="L208">
        <f t="shared" si="15"/>
        <v>9.2784839241111126</v>
      </c>
    </row>
    <row r="209" spans="1:12" x14ac:dyDescent="0.2">
      <c r="B209" t="s">
        <v>48</v>
      </c>
      <c r="C209" s="28">
        <v>2</v>
      </c>
      <c r="D209">
        <v>1</v>
      </c>
      <c r="E209">
        <f t="shared" si="16"/>
        <v>38.888888888888893</v>
      </c>
      <c r="F209" t="s">
        <v>302</v>
      </c>
      <c r="G209" t="s">
        <v>785</v>
      </c>
      <c r="H209" t="s">
        <v>1071</v>
      </c>
      <c r="I209">
        <f t="shared" si="12"/>
        <v>77.777777777777786</v>
      </c>
      <c r="J209">
        <f t="shared" si="14"/>
        <v>35.27940655555556</v>
      </c>
      <c r="K209">
        <v>0.52600000000000002</v>
      </c>
      <c r="L209">
        <f t="shared" si="15"/>
        <v>18.556967848222225</v>
      </c>
    </row>
    <row r="210" spans="1:12" x14ac:dyDescent="0.2">
      <c r="B210" t="s">
        <v>48</v>
      </c>
      <c r="C210" s="28">
        <v>1</v>
      </c>
      <c r="D210">
        <v>1</v>
      </c>
      <c r="E210">
        <f t="shared" si="16"/>
        <v>38.888888888888893</v>
      </c>
      <c r="F210" t="s">
        <v>362</v>
      </c>
      <c r="G210" t="s">
        <v>785</v>
      </c>
      <c r="H210" t="s">
        <v>1071</v>
      </c>
      <c r="I210">
        <f t="shared" si="12"/>
        <v>38.888888888888893</v>
      </c>
      <c r="J210">
        <f t="shared" si="14"/>
        <v>17.63970327777778</v>
      </c>
      <c r="K210">
        <v>0.52600000000000002</v>
      </c>
      <c r="L210">
        <f t="shared" si="15"/>
        <v>9.2784839241111126</v>
      </c>
    </row>
    <row r="211" spans="1:12" x14ac:dyDescent="0.2">
      <c r="A211" s="4">
        <v>43434</v>
      </c>
      <c r="B211" t="s">
        <v>527</v>
      </c>
      <c r="C211">
        <v>6</v>
      </c>
      <c r="D211">
        <v>1</v>
      </c>
      <c r="E211">
        <v>10</v>
      </c>
      <c r="F211" t="s">
        <v>528</v>
      </c>
      <c r="G211" t="s">
        <v>884</v>
      </c>
      <c r="H211" s="9" t="s">
        <v>1072</v>
      </c>
      <c r="I211">
        <f t="shared" si="12"/>
        <v>60</v>
      </c>
      <c r="J211">
        <f t="shared" si="14"/>
        <v>27.215542200000002</v>
      </c>
      <c r="K211">
        <v>3.0209999999999999</v>
      </c>
      <c r="L211">
        <f t="shared" si="15"/>
        <v>82.218152986199996</v>
      </c>
    </row>
    <row r="212" spans="1:12" x14ac:dyDescent="0.2">
      <c r="A212" s="4">
        <v>43434</v>
      </c>
      <c r="B212" t="s">
        <v>527</v>
      </c>
      <c r="C212">
        <v>8</v>
      </c>
      <c r="D212">
        <v>1</v>
      </c>
      <c r="E212">
        <v>10</v>
      </c>
      <c r="F212" t="s">
        <v>529</v>
      </c>
      <c r="G212" t="s">
        <v>884</v>
      </c>
      <c r="H212" s="9" t="s">
        <v>1072</v>
      </c>
      <c r="I212">
        <f t="shared" si="12"/>
        <v>80</v>
      </c>
      <c r="J212">
        <f t="shared" si="14"/>
        <v>36.287389600000004</v>
      </c>
      <c r="K212">
        <v>3.0209999999999999</v>
      </c>
      <c r="L212">
        <f t="shared" si="15"/>
        <v>109.6242039816</v>
      </c>
    </row>
    <row r="213" spans="1:12" x14ac:dyDescent="0.2">
      <c r="A213" s="4">
        <v>43437</v>
      </c>
      <c r="B213" t="s">
        <v>527</v>
      </c>
      <c r="C213">
        <v>10</v>
      </c>
      <c r="D213">
        <v>1</v>
      </c>
      <c r="E213">
        <v>10</v>
      </c>
      <c r="F213" t="s">
        <v>528</v>
      </c>
      <c r="G213" t="s">
        <v>884</v>
      </c>
      <c r="H213" s="9" t="s">
        <v>1072</v>
      </c>
      <c r="I213">
        <f t="shared" si="12"/>
        <v>100</v>
      </c>
      <c r="J213">
        <f t="shared" si="14"/>
        <v>45.359237</v>
      </c>
      <c r="K213">
        <v>3.0209999999999999</v>
      </c>
      <c r="L213">
        <f t="shared" si="15"/>
        <v>137.030254977</v>
      </c>
    </row>
    <row r="214" spans="1:12" x14ac:dyDescent="0.2">
      <c r="A214" s="4">
        <v>43437</v>
      </c>
      <c r="B214" t="s">
        <v>527</v>
      </c>
      <c r="C214">
        <v>5</v>
      </c>
      <c r="D214">
        <v>1</v>
      </c>
      <c r="E214">
        <v>10</v>
      </c>
      <c r="F214" t="s">
        <v>529</v>
      </c>
      <c r="G214" t="s">
        <v>884</v>
      </c>
      <c r="H214" s="9" t="s">
        <v>1072</v>
      </c>
      <c r="I214">
        <f t="shared" si="12"/>
        <v>50</v>
      </c>
      <c r="J214">
        <f t="shared" si="14"/>
        <v>22.6796185</v>
      </c>
      <c r="K214">
        <v>3.0209999999999999</v>
      </c>
      <c r="L214">
        <f t="shared" si="15"/>
        <v>68.515127488499999</v>
      </c>
    </row>
    <row r="215" spans="1:12" x14ac:dyDescent="0.2">
      <c r="A215" s="4">
        <v>43437</v>
      </c>
      <c r="B215" t="s">
        <v>527</v>
      </c>
      <c r="C215">
        <v>4</v>
      </c>
      <c r="D215">
        <v>1</v>
      </c>
      <c r="E215">
        <v>15</v>
      </c>
      <c r="F215" t="s">
        <v>1013</v>
      </c>
      <c r="G215" t="s">
        <v>884</v>
      </c>
      <c r="H215" s="9" t="s">
        <v>1072</v>
      </c>
      <c r="I215">
        <f t="shared" si="12"/>
        <v>60</v>
      </c>
      <c r="J215">
        <f t="shared" si="14"/>
        <v>27.215542200000002</v>
      </c>
      <c r="K215">
        <v>3.0209999999999999</v>
      </c>
      <c r="L215">
        <f t="shared" si="15"/>
        <v>82.218152986199996</v>
      </c>
    </row>
    <row r="216" spans="1:12" x14ac:dyDescent="0.2">
      <c r="A216" s="4">
        <v>43439</v>
      </c>
      <c r="B216" t="s">
        <v>527</v>
      </c>
      <c r="C216">
        <v>1</v>
      </c>
      <c r="D216">
        <v>1</v>
      </c>
      <c r="E216">
        <v>10</v>
      </c>
      <c r="F216" t="s">
        <v>528</v>
      </c>
      <c r="G216" t="s">
        <v>884</v>
      </c>
      <c r="H216" s="9" t="s">
        <v>1072</v>
      </c>
      <c r="I216">
        <f t="shared" si="12"/>
        <v>10</v>
      </c>
      <c r="J216">
        <f t="shared" si="14"/>
        <v>4.5359237000000006</v>
      </c>
      <c r="K216">
        <v>3.0209999999999999</v>
      </c>
      <c r="L216">
        <f t="shared" si="15"/>
        <v>13.703025497700001</v>
      </c>
    </row>
    <row r="217" spans="1:12" x14ac:dyDescent="0.2">
      <c r="A217" s="4">
        <v>43439</v>
      </c>
      <c r="B217" t="s">
        <v>527</v>
      </c>
      <c r="C217">
        <v>8</v>
      </c>
      <c r="D217">
        <v>1</v>
      </c>
      <c r="E217">
        <v>15</v>
      </c>
      <c r="F217" t="s">
        <v>1013</v>
      </c>
      <c r="G217" t="s">
        <v>884</v>
      </c>
      <c r="H217" s="9" t="s">
        <v>1072</v>
      </c>
      <c r="I217">
        <f t="shared" si="12"/>
        <v>120</v>
      </c>
      <c r="J217">
        <f t="shared" si="14"/>
        <v>54.431084400000003</v>
      </c>
      <c r="K217">
        <v>3.0209999999999999</v>
      </c>
      <c r="L217">
        <f t="shared" si="15"/>
        <v>164.43630597239999</v>
      </c>
    </row>
    <row r="218" spans="1:12" x14ac:dyDescent="0.2">
      <c r="A218" s="4">
        <v>43434</v>
      </c>
      <c r="B218" t="s">
        <v>538</v>
      </c>
      <c r="C218">
        <v>6</v>
      </c>
      <c r="D218">
        <v>1</v>
      </c>
      <c r="E218">
        <v>50</v>
      </c>
      <c r="F218" t="s">
        <v>431</v>
      </c>
      <c r="G218" t="s">
        <v>863</v>
      </c>
      <c r="H218" s="9" t="s">
        <v>1071</v>
      </c>
      <c r="I218">
        <f t="shared" si="12"/>
        <v>300</v>
      </c>
      <c r="J218">
        <f t="shared" si="14"/>
        <v>136.07771100000002</v>
      </c>
      <c r="K218">
        <v>0.35799999999999998</v>
      </c>
      <c r="L218">
        <f t="shared" si="15"/>
        <v>48.715820538000003</v>
      </c>
    </row>
    <row r="219" spans="1:12" x14ac:dyDescent="0.2">
      <c r="A219" s="4">
        <v>43434</v>
      </c>
      <c r="B219" t="s">
        <v>538</v>
      </c>
      <c r="C219">
        <v>4</v>
      </c>
      <c r="D219">
        <v>1</v>
      </c>
      <c r="E219">
        <v>25</v>
      </c>
      <c r="F219" t="s">
        <v>446</v>
      </c>
      <c r="G219" t="s">
        <v>863</v>
      </c>
      <c r="H219" s="9" t="s">
        <v>1071</v>
      </c>
      <c r="I219">
        <f t="shared" si="12"/>
        <v>100</v>
      </c>
      <c r="J219">
        <f t="shared" si="14"/>
        <v>45.359237</v>
      </c>
      <c r="K219">
        <v>0.35799999999999998</v>
      </c>
      <c r="L219">
        <f t="shared" si="15"/>
        <v>16.238606846</v>
      </c>
    </row>
    <row r="220" spans="1:12" x14ac:dyDescent="0.2">
      <c r="A220" s="4">
        <v>43437</v>
      </c>
      <c r="B220" t="s">
        <v>538</v>
      </c>
      <c r="C220">
        <v>1</v>
      </c>
      <c r="D220">
        <v>1</v>
      </c>
      <c r="E220">
        <v>50</v>
      </c>
      <c r="F220" t="s">
        <v>431</v>
      </c>
      <c r="G220" t="s">
        <v>863</v>
      </c>
      <c r="H220" s="9" t="s">
        <v>1071</v>
      </c>
      <c r="I220">
        <f t="shared" si="12"/>
        <v>50</v>
      </c>
      <c r="J220">
        <f t="shared" si="14"/>
        <v>22.6796185</v>
      </c>
      <c r="K220">
        <v>0.35799999999999998</v>
      </c>
      <c r="L220">
        <f t="shared" si="15"/>
        <v>8.1193034229999999</v>
      </c>
    </row>
    <row r="221" spans="1:12" x14ac:dyDescent="0.2">
      <c r="A221" s="4">
        <v>43439</v>
      </c>
      <c r="B221" t="s">
        <v>538</v>
      </c>
      <c r="C221">
        <v>5</v>
      </c>
      <c r="D221">
        <v>1</v>
      </c>
      <c r="E221">
        <v>50</v>
      </c>
      <c r="F221" t="s">
        <v>431</v>
      </c>
      <c r="G221" t="s">
        <v>863</v>
      </c>
      <c r="H221" s="9" t="s">
        <v>1071</v>
      </c>
      <c r="I221">
        <f t="shared" si="12"/>
        <v>250</v>
      </c>
      <c r="J221">
        <f t="shared" si="14"/>
        <v>113.3980925</v>
      </c>
      <c r="K221">
        <v>0.35799999999999998</v>
      </c>
      <c r="L221">
        <f t="shared" si="15"/>
        <v>40.596517114999997</v>
      </c>
    </row>
    <row r="222" spans="1:12" x14ac:dyDescent="0.2">
      <c r="A222" s="28"/>
      <c r="B222" t="s">
        <v>48</v>
      </c>
      <c r="C222" s="28">
        <v>1</v>
      </c>
      <c r="D222">
        <v>1</v>
      </c>
      <c r="E222">
        <f>4*4.54</f>
        <v>18.16</v>
      </c>
      <c r="F222" t="s">
        <v>303</v>
      </c>
      <c r="G222" t="s">
        <v>811</v>
      </c>
      <c r="H222" t="s">
        <v>1071</v>
      </c>
      <c r="I222">
        <f t="shared" si="12"/>
        <v>18.16</v>
      </c>
      <c r="J222">
        <f t="shared" si="14"/>
        <v>8.2372374392000012</v>
      </c>
      <c r="K222">
        <v>0.74299999999999999</v>
      </c>
      <c r="L222">
        <f t="shared" si="15"/>
        <v>6.1202674173256009</v>
      </c>
    </row>
    <row r="223" spans="1:12" x14ac:dyDescent="0.2">
      <c r="B223" t="s">
        <v>48</v>
      </c>
      <c r="C223" s="28">
        <v>1</v>
      </c>
      <c r="D223">
        <v>1</v>
      </c>
      <c r="E223">
        <f>4*4.54</f>
        <v>18.16</v>
      </c>
      <c r="F223" t="s">
        <v>303</v>
      </c>
      <c r="G223" t="s">
        <v>811</v>
      </c>
      <c r="H223" t="s">
        <v>1071</v>
      </c>
      <c r="I223">
        <f t="shared" si="12"/>
        <v>18.16</v>
      </c>
      <c r="J223">
        <f t="shared" si="14"/>
        <v>8.2372374392000012</v>
      </c>
      <c r="K223">
        <v>0.74299999999999999</v>
      </c>
      <c r="L223">
        <f t="shared" si="15"/>
        <v>6.1202674173256009</v>
      </c>
    </row>
    <row r="224" spans="1:12" x14ac:dyDescent="0.2">
      <c r="B224" t="s">
        <v>48</v>
      </c>
      <c r="C224" s="28">
        <v>1</v>
      </c>
      <c r="D224">
        <v>1</v>
      </c>
      <c r="E224">
        <f>4*4.54</f>
        <v>18.16</v>
      </c>
      <c r="F224" t="s">
        <v>363</v>
      </c>
      <c r="G224" t="s">
        <v>811</v>
      </c>
      <c r="H224" t="s">
        <v>1071</v>
      </c>
      <c r="I224">
        <f t="shared" si="12"/>
        <v>18.16</v>
      </c>
      <c r="J224">
        <f t="shared" si="14"/>
        <v>8.2372374392000012</v>
      </c>
      <c r="K224">
        <v>0.74299999999999999</v>
      </c>
      <c r="L224">
        <f t="shared" si="15"/>
        <v>6.1202674173256009</v>
      </c>
    </row>
    <row r="225" spans="1:12" x14ac:dyDescent="0.2">
      <c r="B225" t="s">
        <v>48</v>
      </c>
      <c r="C225" s="28">
        <v>2</v>
      </c>
      <c r="D225">
        <v>1</v>
      </c>
      <c r="E225">
        <v>25</v>
      </c>
      <c r="F225" t="s">
        <v>79</v>
      </c>
      <c r="G225" t="s">
        <v>215</v>
      </c>
      <c r="H225" t="s">
        <v>1071</v>
      </c>
      <c r="I225">
        <f t="shared" si="12"/>
        <v>50</v>
      </c>
      <c r="J225">
        <f t="shared" si="14"/>
        <v>22.6796185</v>
      </c>
      <c r="K225">
        <v>0.95</v>
      </c>
      <c r="L225">
        <f t="shared" si="15"/>
        <v>21.545637575000001</v>
      </c>
    </row>
    <row r="226" spans="1:12" x14ac:dyDescent="0.2">
      <c r="A226" s="28"/>
      <c r="B226" t="s">
        <v>48</v>
      </c>
      <c r="C226" s="28">
        <v>5</v>
      </c>
      <c r="D226">
        <v>1</v>
      </c>
      <c r="E226">
        <v>18</v>
      </c>
      <c r="F226" t="s">
        <v>304</v>
      </c>
      <c r="G226" t="s">
        <v>786</v>
      </c>
      <c r="H226" t="s">
        <v>1071</v>
      </c>
      <c r="I226">
        <f t="shared" si="12"/>
        <v>90</v>
      </c>
      <c r="J226">
        <f t="shared" si="14"/>
        <v>40.823313300000002</v>
      </c>
      <c r="K226">
        <v>0.47799999999999998</v>
      </c>
      <c r="L226">
        <f t="shared" si="15"/>
        <v>19.513543757400001</v>
      </c>
    </row>
    <row r="227" spans="1:12" x14ac:dyDescent="0.2">
      <c r="B227" t="s">
        <v>48</v>
      </c>
      <c r="C227" s="28">
        <v>2</v>
      </c>
      <c r="D227">
        <v>1</v>
      </c>
      <c r="E227">
        <v>18</v>
      </c>
      <c r="F227" t="s">
        <v>304</v>
      </c>
      <c r="G227" t="s">
        <v>786</v>
      </c>
      <c r="H227" t="s">
        <v>1071</v>
      </c>
      <c r="I227">
        <f t="shared" si="12"/>
        <v>36</v>
      </c>
      <c r="J227">
        <f t="shared" si="14"/>
        <v>16.329325319999999</v>
      </c>
      <c r="K227">
        <v>0.47799999999999998</v>
      </c>
      <c r="L227">
        <f t="shared" si="15"/>
        <v>7.8054175029599993</v>
      </c>
    </row>
    <row r="228" spans="1:12" x14ac:dyDescent="0.2">
      <c r="B228" t="s">
        <v>48</v>
      </c>
      <c r="C228" s="28">
        <v>3</v>
      </c>
      <c r="D228">
        <v>1</v>
      </c>
      <c r="E228">
        <v>18</v>
      </c>
      <c r="F228" t="s">
        <v>304</v>
      </c>
      <c r="G228" t="s">
        <v>786</v>
      </c>
      <c r="H228" t="s">
        <v>1071</v>
      </c>
      <c r="I228">
        <f t="shared" si="12"/>
        <v>54</v>
      </c>
      <c r="J228">
        <f t="shared" si="14"/>
        <v>24.493987980000004</v>
      </c>
      <c r="K228">
        <v>0.47799999999999998</v>
      </c>
      <c r="L228">
        <f t="shared" si="15"/>
        <v>11.708126254440002</v>
      </c>
    </row>
    <row r="229" spans="1:12" x14ac:dyDescent="0.2">
      <c r="B229" t="s">
        <v>48</v>
      </c>
      <c r="C229" s="28">
        <v>3</v>
      </c>
      <c r="D229">
        <v>1</v>
      </c>
      <c r="E229">
        <v>18</v>
      </c>
      <c r="F229" t="s">
        <v>304</v>
      </c>
      <c r="G229" t="s">
        <v>786</v>
      </c>
      <c r="H229" t="s">
        <v>1071</v>
      </c>
      <c r="I229">
        <f t="shared" si="12"/>
        <v>54</v>
      </c>
      <c r="J229">
        <f t="shared" si="14"/>
        <v>24.493987980000004</v>
      </c>
      <c r="K229">
        <v>0.47799999999999998</v>
      </c>
      <c r="L229">
        <f t="shared" si="15"/>
        <v>11.708126254440002</v>
      </c>
    </row>
    <row r="230" spans="1:12" x14ac:dyDescent="0.2">
      <c r="B230" t="s">
        <v>48</v>
      </c>
      <c r="C230" s="28">
        <v>8</v>
      </c>
      <c r="D230">
        <v>1</v>
      </c>
      <c r="E230">
        <v>18</v>
      </c>
      <c r="F230" t="s">
        <v>364</v>
      </c>
      <c r="G230" t="s">
        <v>786</v>
      </c>
      <c r="H230" t="s">
        <v>1071</v>
      </c>
      <c r="I230">
        <f t="shared" si="12"/>
        <v>144</v>
      </c>
      <c r="J230">
        <f t="shared" si="14"/>
        <v>65.317301279999995</v>
      </c>
      <c r="K230">
        <v>0.47799999999999998</v>
      </c>
      <c r="L230">
        <f t="shared" si="15"/>
        <v>31.221670011839997</v>
      </c>
    </row>
    <row r="231" spans="1:12" x14ac:dyDescent="0.2">
      <c r="A231" s="4">
        <v>43434</v>
      </c>
      <c r="B231" t="s">
        <v>538</v>
      </c>
      <c r="C231">
        <v>2</v>
      </c>
      <c r="D231">
        <v>8</v>
      </c>
      <c r="E231">
        <v>5</v>
      </c>
      <c r="F231" t="s">
        <v>542</v>
      </c>
      <c r="G231" s="6" t="s">
        <v>899</v>
      </c>
      <c r="H231" s="9" t="s">
        <v>1071</v>
      </c>
      <c r="I231">
        <f t="shared" si="12"/>
        <v>80</v>
      </c>
      <c r="J231">
        <f t="shared" si="14"/>
        <v>36.287389600000004</v>
      </c>
      <c r="K231">
        <v>0.55000000000000004</v>
      </c>
      <c r="L231">
        <f t="shared" si="15"/>
        <v>19.958064280000006</v>
      </c>
    </row>
    <row r="232" spans="1:12" x14ac:dyDescent="0.2">
      <c r="A232" s="4">
        <v>43399</v>
      </c>
      <c r="B232" t="s">
        <v>38</v>
      </c>
      <c r="C232">
        <v>36</v>
      </c>
      <c r="D232">
        <v>1</v>
      </c>
      <c r="E232">
        <v>2.0499999999999998</v>
      </c>
      <c r="F232" s="9" t="s">
        <v>181</v>
      </c>
      <c r="G232" s="9" t="s">
        <v>957</v>
      </c>
      <c r="H232" t="s">
        <v>1073</v>
      </c>
      <c r="I232">
        <f t="shared" si="12"/>
        <v>73.8</v>
      </c>
      <c r="J232">
        <f t="shared" si="14"/>
        <v>33.475116906000004</v>
      </c>
      <c r="K232">
        <v>3.2614999999999998</v>
      </c>
      <c r="L232">
        <f t="shared" si="15"/>
        <v>109.179093788919</v>
      </c>
    </row>
    <row r="233" spans="1:12" x14ac:dyDescent="0.2">
      <c r="A233" s="4">
        <v>43402</v>
      </c>
      <c r="B233" t="s">
        <v>38</v>
      </c>
      <c r="C233">
        <v>24</v>
      </c>
      <c r="D233">
        <v>1</v>
      </c>
      <c r="E233">
        <v>2.0499999999999998</v>
      </c>
      <c r="F233" s="9" t="s">
        <v>181</v>
      </c>
      <c r="G233" s="9" t="s">
        <v>957</v>
      </c>
      <c r="H233" t="s">
        <v>1073</v>
      </c>
      <c r="I233">
        <f t="shared" si="12"/>
        <v>49.199999999999996</v>
      </c>
      <c r="J233">
        <f t="shared" si="14"/>
        <v>22.316744604</v>
      </c>
      <c r="K233">
        <v>3.2614999999999998</v>
      </c>
      <c r="L233">
        <f t="shared" si="15"/>
        <v>72.786062525945994</v>
      </c>
    </row>
    <row r="234" spans="1:12" x14ac:dyDescent="0.2">
      <c r="A234" s="4">
        <v>43404</v>
      </c>
      <c r="B234" t="s">
        <v>38</v>
      </c>
      <c r="C234">
        <v>12</v>
      </c>
      <c r="D234">
        <v>1</v>
      </c>
      <c r="E234">
        <v>2.0499999999999998</v>
      </c>
      <c r="F234" s="9" t="s">
        <v>181</v>
      </c>
      <c r="G234" s="9" t="s">
        <v>957</v>
      </c>
      <c r="H234" t="s">
        <v>1073</v>
      </c>
      <c r="I234">
        <f t="shared" si="12"/>
        <v>24.599999999999998</v>
      </c>
      <c r="J234">
        <f t="shared" si="14"/>
        <v>11.158372302</v>
      </c>
      <c r="K234">
        <v>3.2614999999999998</v>
      </c>
      <c r="L234">
        <f t="shared" si="15"/>
        <v>36.393031262972997</v>
      </c>
    </row>
    <row r="235" spans="1:12" x14ac:dyDescent="0.2">
      <c r="A235" s="4">
        <v>43404</v>
      </c>
      <c r="B235" t="s">
        <v>38</v>
      </c>
      <c r="C235">
        <v>24</v>
      </c>
      <c r="D235">
        <v>1</v>
      </c>
      <c r="E235">
        <v>1.06</v>
      </c>
      <c r="F235" s="9" t="s">
        <v>294</v>
      </c>
      <c r="G235" s="9" t="s">
        <v>698</v>
      </c>
      <c r="H235" t="s">
        <v>1073</v>
      </c>
      <c r="I235">
        <f t="shared" si="12"/>
        <v>25.44</v>
      </c>
      <c r="J235">
        <f t="shared" si="14"/>
        <v>11.539389892800003</v>
      </c>
      <c r="K235">
        <v>3.2614999999999998</v>
      </c>
      <c r="L235">
        <f t="shared" si="15"/>
        <v>37.635720135367208</v>
      </c>
    </row>
    <row r="236" spans="1:12" x14ac:dyDescent="0.2">
      <c r="A236" s="28"/>
      <c r="B236" t="s">
        <v>48</v>
      </c>
      <c r="C236" s="28">
        <v>1</v>
      </c>
      <c r="D236">
        <v>1</v>
      </c>
      <c r="E236">
        <v>1</v>
      </c>
      <c r="F236" t="s">
        <v>307</v>
      </c>
      <c r="G236" t="s">
        <v>812</v>
      </c>
      <c r="H236" t="s">
        <v>1071</v>
      </c>
      <c r="I236">
        <f t="shared" si="12"/>
        <v>1</v>
      </c>
      <c r="J236">
        <f t="shared" si="14"/>
        <v>0.45359237000000002</v>
      </c>
      <c r="K236">
        <v>0.221</v>
      </c>
      <c r="L236">
        <f t="shared" si="15"/>
        <v>0.10024391377000001</v>
      </c>
    </row>
    <row r="237" spans="1:12" x14ac:dyDescent="0.2">
      <c r="A237" s="28"/>
      <c r="B237" t="s">
        <v>48</v>
      </c>
      <c r="C237" s="28">
        <v>1</v>
      </c>
      <c r="D237">
        <v>1</v>
      </c>
      <c r="E237">
        <v>1</v>
      </c>
      <c r="F237" t="s">
        <v>308</v>
      </c>
      <c r="G237" t="s">
        <v>812</v>
      </c>
      <c r="H237" t="s">
        <v>1071</v>
      </c>
      <c r="I237">
        <f t="shared" si="12"/>
        <v>1</v>
      </c>
      <c r="J237">
        <f t="shared" si="14"/>
        <v>0.45359237000000002</v>
      </c>
      <c r="K237">
        <v>0.221</v>
      </c>
      <c r="L237">
        <f t="shared" si="15"/>
        <v>0.10024391377000001</v>
      </c>
    </row>
    <row r="238" spans="1:12" x14ac:dyDescent="0.2">
      <c r="A238" s="28"/>
      <c r="B238" t="s">
        <v>48</v>
      </c>
      <c r="C238" s="28">
        <v>1</v>
      </c>
      <c r="D238">
        <v>1</v>
      </c>
      <c r="E238">
        <v>1</v>
      </c>
      <c r="F238" t="s">
        <v>309</v>
      </c>
      <c r="G238" t="s">
        <v>812</v>
      </c>
      <c r="H238" t="s">
        <v>1071</v>
      </c>
      <c r="I238">
        <f t="shared" si="12"/>
        <v>1</v>
      </c>
      <c r="J238">
        <f t="shared" si="14"/>
        <v>0.45359237000000002</v>
      </c>
      <c r="K238">
        <v>0.221</v>
      </c>
      <c r="L238">
        <f t="shared" si="15"/>
        <v>0.10024391377000001</v>
      </c>
    </row>
    <row r="239" spans="1:12" x14ac:dyDescent="0.2">
      <c r="B239" t="s">
        <v>48</v>
      </c>
      <c r="C239" s="28">
        <v>1</v>
      </c>
      <c r="D239">
        <v>1</v>
      </c>
      <c r="E239">
        <v>1</v>
      </c>
      <c r="F239" t="s">
        <v>307</v>
      </c>
      <c r="G239" t="s">
        <v>812</v>
      </c>
      <c r="H239" t="s">
        <v>1071</v>
      </c>
      <c r="I239">
        <f t="shared" si="12"/>
        <v>1</v>
      </c>
      <c r="J239">
        <f t="shared" si="14"/>
        <v>0.45359237000000002</v>
      </c>
      <c r="K239">
        <v>0.221</v>
      </c>
      <c r="L239">
        <f t="shared" si="15"/>
        <v>0.10024391377000001</v>
      </c>
    </row>
    <row r="240" spans="1:12" x14ac:dyDescent="0.2">
      <c r="A240" s="28"/>
      <c r="B240" t="s">
        <v>48</v>
      </c>
      <c r="C240" s="28">
        <v>2</v>
      </c>
      <c r="D240">
        <v>1</v>
      </c>
      <c r="E240">
        <v>0.25</v>
      </c>
      <c r="F240" t="s">
        <v>306</v>
      </c>
      <c r="G240" t="s">
        <v>782</v>
      </c>
      <c r="H240" t="s">
        <v>1071</v>
      </c>
      <c r="I240">
        <f t="shared" si="12"/>
        <v>0.5</v>
      </c>
      <c r="J240">
        <f t="shared" si="14"/>
        <v>0.22679618500000001</v>
      </c>
      <c r="K240">
        <v>0.221</v>
      </c>
      <c r="L240">
        <f t="shared" si="15"/>
        <v>5.0121956885000006E-2</v>
      </c>
    </row>
    <row r="241" spans="1:12" x14ac:dyDescent="0.2">
      <c r="B241" t="s">
        <v>48</v>
      </c>
      <c r="C241" s="28">
        <v>5</v>
      </c>
      <c r="D241">
        <v>1</v>
      </c>
      <c r="E241">
        <f>24*12/(16)</f>
        <v>18</v>
      </c>
      <c r="F241" t="s">
        <v>353</v>
      </c>
      <c r="G241" t="s">
        <v>995</v>
      </c>
      <c r="H241" t="s">
        <v>1071</v>
      </c>
      <c r="I241">
        <f t="shared" si="12"/>
        <v>90</v>
      </c>
      <c r="J241">
        <f t="shared" si="14"/>
        <v>40.823313300000002</v>
      </c>
      <c r="K241">
        <v>2.44</v>
      </c>
      <c r="L241">
        <f t="shared" si="15"/>
        <v>99.608884451999998</v>
      </c>
    </row>
    <row r="242" spans="1:12" x14ac:dyDescent="0.2">
      <c r="A242" s="4">
        <v>43437</v>
      </c>
      <c r="B242" t="s">
        <v>538</v>
      </c>
      <c r="C242">
        <v>1</v>
      </c>
      <c r="D242">
        <v>6</v>
      </c>
      <c r="E242">
        <v>5</v>
      </c>
      <c r="F242" t="s">
        <v>571</v>
      </c>
      <c r="G242" t="s">
        <v>878</v>
      </c>
      <c r="H242" s="9" t="s">
        <v>1071</v>
      </c>
      <c r="I242">
        <f t="shared" si="12"/>
        <v>30</v>
      </c>
      <c r="J242">
        <f t="shared" si="14"/>
        <v>13.607771100000001</v>
      </c>
      <c r="K242">
        <v>2.44</v>
      </c>
      <c r="L242">
        <f t="shared" si="15"/>
        <v>33.202961483999999</v>
      </c>
    </row>
    <row r="243" spans="1:12" x14ac:dyDescent="0.2">
      <c r="A243" s="4">
        <v>43439</v>
      </c>
      <c r="B243" t="s">
        <v>538</v>
      </c>
      <c r="C243">
        <v>1</v>
      </c>
      <c r="D243">
        <v>6</v>
      </c>
      <c r="E243">
        <v>5</v>
      </c>
      <c r="F243" t="s">
        <v>571</v>
      </c>
      <c r="G243" t="s">
        <v>878</v>
      </c>
      <c r="H243" s="9" t="s">
        <v>1071</v>
      </c>
      <c r="I243">
        <f t="shared" si="12"/>
        <v>30</v>
      </c>
      <c r="J243">
        <f t="shared" si="14"/>
        <v>13.607771100000001</v>
      </c>
      <c r="K243">
        <v>2.44</v>
      </c>
      <c r="L243">
        <f t="shared" si="15"/>
        <v>33.202961483999999</v>
      </c>
    </row>
    <row r="244" spans="1:12" x14ac:dyDescent="0.2">
      <c r="A244" s="28"/>
      <c r="B244" t="s">
        <v>48</v>
      </c>
      <c r="C244" s="28">
        <v>5</v>
      </c>
      <c r="D244">
        <v>1</v>
      </c>
      <c r="E244">
        <f>8*4</f>
        <v>32</v>
      </c>
      <c r="F244" t="s">
        <v>312</v>
      </c>
      <c r="G244" t="s">
        <v>789</v>
      </c>
      <c r="H244" t="s">
        <v>1071</v>
      </c>
      <c r="I244">
        <f t="shared" si="12"/>
        <v>160</v>
      </c>
      <c r="J244">
        <f t="shared" si="14"/>
        <v>72.574779200000009</v>
      </c>
      <c r="K244">
        <v>0.28399999999999997</v>
      </c>
      <c r="L244">
        <f t="shared" si="15"/>
        <v>20.611237292800002</v>
      </c>
    </row>
    <row r="245" spans="1:12" x14ac:dyDescent="0.2">
      <c r="B245" t="s">
        <v>48</v>
      </c>
      <c r="C245" s="28">
        <v>8</v>
      </c>
      <c r="D245">
        <v>1</v>
      </c>
      <c r="E245">
        <f>8*4</f>
        <v>32</v>
      </c>
      <c r="F245" t="s">
        <v>312</v>
      </c>
      <c r="G245" t="s">
        <v>789</v>
      </c>
      <c r="H245" t="s">
        <v>1071</v>
      </c>
      <c r="I245">
        <f t="shared" si="12"/>
        <v>256</v>
      </c>
      <c r="J245">
        <f t="shared" si="14"/>
        <v>116.11964672000001</v>
      </c>
      <c r="K245">
        <v>0.28399999999999997</v>
      </c>
      <c r="L245">
        <f t="shared" si="15"/>
        <v>32.977979668479996</v>
      </c>
    </row>
    <row r="246" spans="1:12" x14ac:dyDescent="0.2">
      <c r="B246" t="s">
        <v>48</v>
      </c>
      <c r="C246" s="28">
        <v>5</v>
      </c>
      <c r="D246">
        <v>1</v>
      </c>
      <c r="E246">
        <f>8*4</f>
        <v>32</v>
      </c>
      <c r="F246" t="s">
        <v>312</v>
      </c>
      <c r="G246" t="s">
        <v>789</v>
      </c>
      <c r="H246" t="s">
        <v>1071</v>
      </c>
      <c r="I246">
        <f t="shared" si="12"/>
        <v>160</v>
      </c>
      <c r="J246">
        <f t="shared" si="14"/>
        <v>72.574779200000009</v>
      </c>
      <c r="K246">
        <v>0.28399999999999997</v>
      </c>
      <c r="L246">
        <f t="shared" si="15"/>
        <v>20.611237292800002</v>
      </c>
    </row>
    <row r="247" spans="1:12" x14ac:dyDescent="0.2">
      <c r="B247" t="s">
        <v>48</v>
      </c>
      <c r="C247" s="28">
        <v>5</v>
      </c>
      <c r="D247">
        <v>1</v>
      </c>
      <c r="E247">
        <f>8*4</f>
        <v>32</v>
      </c>
      <c r="F247" t="s">
        <v>312</v>
      </c>
      <c r="G247" t="s">
        <v>789</v>
      </c>
      <c r="H247" t="s">
        <v>1071</v>
      </c>
      <c r="I247">
        <f t="shared" si="12"/>
        <v>160</v>
      </c>
      <c r="J247">
        <f t="shared" si="14"/>
        <v>72.574779200000009</v>
      </c>
      <c r="K247">
        <v>0.28399999999999997</v>
      </c>
      <c r="L247">
        <f t="shared" si="15"/>
        <v>20.611237292800002</v>
      </c>
    </row>
    <row r="248" spans="1:12" x14ac:dyDescent="0.2">
      <c r="B248" t="s">
        <v>48</v>
      </c>
      <c r="C248" s="28">
        <v>8</v>
      </c>
      <c r="D248">
        <v>1</v>
      </c>
      <c r="E248">
        <f>8*4</f>
        <v>32</v>
      </c>
      <c r="F248" t="s">
        <v>367</v>
      </c>
      <c r="G248" t="s">
        <v>789</v>
      </c>
      <c r="H248" t="s">
        <v>1071</v>
      </c>
      <c r="I248">
        <f t="shared" si="12"/>
        <v>256</v>
      </c>
      <c r="J248">
        <f t="shared" si="14"/>
        <v>116.11964672000001</v>
      </c>
      <c r="K248">
        <v>0.28399999999999997</v>
      </c>
      <c r="L248">
        <f t="shared" si="15"/>
        <v>32.977979668479996</v>
      </c>
    </row>
    <row r="249" spans="1:12" x14ac:dyDescent="0.2">
      <c r="A249" s="10">
        <v>43404</v>
      </c>
      <c r="B249" s="9" t="s">
        <v>946</v>
      </c>
      <c r="C249" s="35">
        <v>1</v>
      </c>
      <c r="D249">
        <v>1</v>
      </c>
      <c r="E249" s="9">
        <f>5*10</f>
        <v>50</v>
      </c>
      <c r="F249" s="9" t="s">
        <v>947</v>
      </c>
      <c r="G249" s="9" t="s">
        <v>950</v>
      </c>
      <c r="H249" t="s">
        <v>1073</v>
      </c>
      <c r="I249">
        <f t="shared" ref="I249:I312" si="17">C249*D249*E249</f>
        <v>50</v>
      </c>
      <c r="J249">
        <f t="shared" si="14"/>
        <v>22.6796185</v>
      </c>
      <c r="K249" s="6">
        <v>3.84</v>
      </c>
      <c r="L249">
        <f t="shared" si="15"/>
        <v>87.089735039999994</v>
      </c>
    </row>
    <row r="250" spans="1:12" x14ac:dyDescent="0.2">
      <c r="A250" s="10">
        <v>43404</v>
      </c>
      <c r="B250" s="9" t="s">
        <v>946</v>
      </c>
      <c r="C250" s="39">
        <v>1</v>
      </c>
      <c r="D250">
        <v>1</v>
      </c>
      <c r="E250" s="9">
        <f>5*10</f>
        <v>50</v>
      </c>
      <c r="F250" s="9" t="s">
        <v>948</v>
      </c>
      <c r="G250" s="9" t="s">
        <v>950</v>
      </c>
      <c r="H250" t="s">
        <v>1073</v>
      </c>
      <c r="I250">
        <f t="shared" si="17"/>
        <v>50</v>
      </c>
      <c r="J250">
        <f t="shared" si="14"/>
        <v>22.6796185</v>
      </c>
      <c r="K250" s="6">
        <v>3.84</v>
      </c>
      <c r="L250">
        <f t="shared" si="15"/>
        <v>87.089735039999994</v>
      </c>
    </row>
    <row r="251" spans="1:12" x14ac:dyDescent="0.2">
      <c r="A251" s="10">
        <v>43404</v>
      </c>
      <c r="B251" s="9" t="s">
        <v>946</v>
      </c>
      <c r="C251" s="39">
        <v>1</v>
      </c>
      <c r="D251">
        <v>1</v>
      </c>
      <c r="E251" s="9">
        <f>5*10</f>
        <v>50</v>
      </c>
      <c r="F251" s="9" t="s">
        <v>952</v>
      </c>
      <c r="G251" s="9" t="s">
        <v>950</v>
      </c>
      <c r="H251" t="s">
        <v>1073</v>
      </c>
      <c r="I251">
        <f t="shared" si="17"/>
        <v>50</v>
      </c>
      <c r="J251">
        <f t="shared" si="14"/>
        <v>22.6796185</v>
      </c>
      <c r="K251" s="6">
        <v>3.84</v>
      </c>
      <c r="L251">
        <f t="shared" si="15"/>
        <v>87.089735039999994</v>
      </c>
    </row>
    <row r="252" spans="1:12" x14ac:dyDescent="0.2">
      <c r="A252" s="4">
        <v>43434</v>
      </c>
      <c r="B252" t="s">
        <v>517</v>
      </c>
      <c r="C252">
        <v>4</v>
      </c>
      <c r="D252">
        <v>1</v>
      </c>
      <c r="E252">
        <f t="shared" ref="E252:E259" si="18">3*8.6</f>
        <v>25.799999999999997</v>
      </c>
      <c r="F252" t="s">
        <v>518</v>
      </c>
      <c r="G252" s="6" t="s">
        <v>888</v>
      </c>
      <c r="H252" s="9" t="s">
        <v>1073</v>
      </c>
      <c r="I252">
        <f t="shared" si="17"/>
        <v>103.19999999999999</v>
      </c>
      <c r="J252">
        <f t="shared" si="14"/>
        <v>46.810732584</v>
      </c>
      <c r="K252" s="6">
        <v>3.84</v>
      </c>
      <c r="L252">
        <f t="shared" si="15"/>
        <v>179.75321312256</v>
      </c>
    </row>
    <row r="253" spans="1:12" x14ac:dyDescent="0.2">
      <c r="A253" s="4">
        <v>43434</v>
      </c>
      <c r="B253" t="s">
        <v>517</v>
      </c>
      <c r="C253">
        <v>4</v>
      </c>
      <c r="D253">
        <v>1</v>
      </c>
      <c r="E253">
        <f t="shared" si="18"/>
        <v>25.799999999999997</v>
      </c>
      <c r="F253" t="s">
        <v>468</v>
      </c>
      <c r="G253" s="6" t="s">
        <v>888</v>
      </c>
      <c r="H253" s="9" t="s">
        <v>1073</v>
      </c>
      <c r="I253">
        <f t="shared" si="17"/>
        <v>103.19999999999999</v>
      </c>
      <c r="J253">
        <f t="shared" si="14"/>
        <v>46.810732584</v>
      </c>
      <c r="K253" s="6">
        <v>3.84</v>
      </c>
      <c r="L253">
        <f t="shared" si="15"/>
        <v>179.75321312256</v>
      </c>
    </row>
    <row r="254" spans="1:12" x14ac:dyDescent="0.2">
      <c r="A254" s="4">
        <v>43434</v>
      </c>
      <c r="B254" t="s">
        <v>517</v>
      </c>
      <c r="C254">
        <v>4</v>
      </c>
      <c r="D254">
        <v>1</v>
      </c>
      <c r="E254">
        <f t="shared" si="18"/>
        <v>25.799999999999997</v>
      </c>
      <c r="F254" t="s">
        <v>524</v>
      </c>
      <c r="G254" s="6" t="s">
        <v>888</v>
      </c>
      <c r="H254" s="9" t="s">
        <v>1073</v>
      </c>
      <c r="I254">
        <f t="shared" si="17"/>
        <v>103.19999999999999</v>
      </c>
      <c r="J254">
        <f t="shared" si="14"/>
        <v>46.810732584</v>
      </c>
      <c r="K254" s="6">
        <v>3.84</v>
      </c>
      <c r="L254">
        <f t="shared" si="15"/>
        <v>179.75321312256</v>
      </c>
    </row>
    <row r="255" spans="1:12" x14ac:dyDescent="0.2">
      <c r="A255" s="4">
        <v>43439</v>
      </c>
      <c r="B255" t="s">
        <v>517</v>
      </c>
      <c r="C255">
        <v>2</v>
      </c>
      <c r="D255">
        <v>1</v>
      </c>
      <c r="E255">
        <f t="shared" si="18"/>
        <v>25.799999999999997</v>
      </c>
      <c r="F255" t="s">
        <v>600</v>
      </c>
      <c r="G255" s="6" t="s">
        <v>888</v>
      </c>
      <c r="H255" s="9" t="s">
        <v>1073</v>
      </c>
      <c r="I255">
        <f t="shared" si="17"/>
        <v>51.599999999999994</v>
      </c>
      <c r="J255">
        <f t="shared" si="14"/>
        <v>23.405366292</v>
      </c>
      <c r="K255" s="6">
        <v>3.84</v>
      </c>
      <c r="L255">
        <f t="shared" si="15"/>
        <v>89.876606561279999</v>
      </c>
    </row>
    <row r="256" spans="1:12" x14ac:dyDescent="0.2">
      <c r="A256" s="4">
        <v>43439</v>
      </c>
      <c r="B256" t="s">
        <v>517</v>
      </c>
      <c r="C256">
        <v>2</v>
      </c>
      <c r="D256">
        <v>1</v>
      </c>
      <c r="E256">
        <f t="shared" si="18"/>
        <v>25.799999999999997</v>
      </c>
      <c r="F256" t="s">
        <v>466</v>
      </c>
      <c r="G256" s="6" t="s">
        <v>888</v>
      </c>
      <c r="H256" s="9" t="s">
        <v>1073</v>
      </c>
      <c r="I256">
        <f t="shared" si="17"/>
        <v>51.599999999999994</v>
      </c>
      <c r="J256">
        <f t="shared" si="14"/>
        <v>23.405366292</v>
      </c>
      <c r="K256" s="6">
        <v>3.84</v>
      </c>
      <c r="L256">
        <f t="shared" si="15"/>
        <v>89.876606561279999</v>
      </c>
    </row>
    <row r="257" spans="1:13" x14ac:dyDescent="0.2">
      <c r="A257" s="4">
        <v>43439</v>
      </c>
      <c r="B257" t="s">
        <v>517</v>
      </c>
      <c r="C257">
        <v>3</v>
      </c>
      <c r="D257">
        <v>1</v>
      </c>
      <c r="E257">
        <f t="shared" si="18"/>
        <v>25.799999999999997</v>
      </c>
      <c r="F257" t="s">
        <v>467</v>
      </c>
      <c r="G257" s="6" t="s">
        <v>888</v>
      </c>
      <c r="H257" s="9" t="s">
        <v>1073</v>
      </c>
      <c r="I257">
        <f t="shared" si="17"/>
        <v>77.399999999999991</v>
      </c>
      <c r="J257">
        <f t="shared" si="14"/>
        <v>35.108049437999995</v>
      </c>
      <c r="K257" s="6">
        <v>3.84</v>
      </c>
      <c r="L257">
        <f t="shared" si="15"/>
        <v>134.81490984191998</v>
      </c>
    </row>
    <row r="258" spans="1:13" x14ac:dyDescent="0.2">
      <c r="A258" s="4">
        <v>43439</v>
      </c>
      <c r="B258" t="s">
        <v>517</v>
      </c>
      <c r="C258">
        <v>3</v>
      </c>
      <c r="D258">
        <v>1</v>
      </c>
      <c r="E258">
        <f t="shared" si="18"/>
        <v>25.799999999999997</v>
      </c>
      <c r="F258" t="s">
        <v>468</v>
      </c>
      <c r="G258" s="6" t="s">
        <v>888</v>
      </c>
      <c r="H258" s="9" t="s">
        <v>1073</v>
      </c>
      <c r="I258">
        <f t="shared" si="17"/>
        <v>77.399999999999991</v>
      </c>
      <c r="J258">
        <f t="shared" si="14"/>
        <v>35.108049437999995</v>
      </c>
      <c r="K258" s="6">
        <v>3.84</v>
      </c>
      <c r="L258">
        <f t="shared" si="15"/>
        <v>134.81490984191998</v>
      </c>
    </row>
    <row r="259" spans="1:13" x14ac:dyDescent="0.2">
      <c r="A259" s="4">
        <v>43439</v>
      </c>
      <c r="B259" t="s">
        <v>517</v>
      </c>
      <c r="C259">
        <v>3</v>
      </c>
      <c r="D259">
        <v>1</v>
      </c>
      <c r="E259">
        <f t="shared" si="18"/>
        <v>25.799999999999997</v>
      </c>
      <c r="F259" t="s">
        <v>469</v>
      </c>
      <c r="G259" s="6" t="s">
        <v>888</v>
      </c>
      <c r="H259" s="9" t="s">
        <v>1073</v>
      </c>
      <c r="I259">
        <f t="shared" si="17"/>
        <v>77.399999999999991</v>
      </c>
      <c r="J259">
        <f t="shared" ref="J259:J322" si="19">CONVERT(I259,"lbm","kg")</f>
        <v>35.108049437999995</v>
      </c>
      <c r="K259" s="6">
        <v>3.84</v>
      </c>
      <c r="L259">
        <f t="shared" ref="L259:L322" si="20">J259*K259</f>
        <v>134.81490984191998</v>
      </c>
    </row>
    <row r="260" spans="1:13" x14ac:dyDescent="0.2">
      <c r="A260" s="4">
        <v>43434</v>
      </c>
      <c r="B260" t="s">
        <v>538</v>
      </c>
      <c r="C260">
        <v>1</v>
      </c>
      <c r="D260">
        <v>6</v>
      </c>
      <c r="E260">
        <v>4</v>
      </c>
      <c r="F260" t="s">
        <v>438</v>
      </c>
      <c r="G260" s="6" t="s">
        <v>866</v>
      </c>
      <c r="H260" s="9" t="s">
        <v>1071</v>
      </c>
      <c r="I260">
        <f t="shared" si="17"/>
        <v>24</v>
      </c>
      <c r="J260">
        <f t="shared" si="19"/>
        <v>10.886216880000001</v>
      </c>
      <c r="K260" s="6">
        <v>3.25</v>
      </c>
      <c r="L260">
        <f t="shared" si="20"/>
        <v>35.380204860000006</v>
      </c>
    </row>
    <row r="261" spans="1:13" x14ac:dyDescent="0.2">
      <c r="A261" s="4">
        <v>43439</v>
      </c>
      <c r="B261" t="s">
        <v>538</v>
      </c>
      <c r="C261">
        <v>1</v>
      </c>
      <c r="D261">
        <v>6</v>
      </c>
      <c r="E261">
        <v>4</v>
      </c>
      <c r="F261" t="s">
        <v>438</v>
      </c>
      <c r="G261" s="6" t="s">
        <v>866</v>
      </c>
      <c r="H261" s="9" t="s">
        <v>1071</v>
      </c>
      <c r="I261">
        <f t="shared" si="17"/>
        <v>24</v>
      </c>
      <c r="J261">
        <f t="shared" si="19"/>
        <v>10.886216880000001</v>
      </c>
      <c r="K261" s="6">
        <v>3.25</v>
      </c>
      <c r="L261">
        <f t="shared" si="20"/>
        <v>35.380204860000006</v>
      </c>
    </row>
    <row r="262" spans="1:13" x14ac:dyDescent="0.2">
      <c r="B262" t="s">
        <v>48</v>
      </c>
      <c r="C262" s="28">
        <v>2</v>
      </c>
      <c r="D262">
        <v>1</v>
      </c>
      <c r="E262">
        <v>10</v>
      </c>
      <c r="F262" t="s">
        <v>356</v>
      </c>
      <c r="G262" t="s">
        <v>819</v>
      </c>
      <c r="H262" t="s">
        <v>1071</v>
      </c>
      <c r="I262">
        <f t="shared" si="17"/>
        <v>20</v>
      </c>
      <c r="J262">
        <f t="shared" si="19"/>
        <v>9.0718474000000011</v>
      </c>
      <c r="K262">
        <v>0.193</v>
      </c>
      <c r="L262">
        <f t="shared" si="20"/>
        <v>1.7508665482000003</v>
      </c>
    </row>
    <row r="263" spans="1:13" x14ac:dyDescent="0.2">
      <c r="A263" s="4">
        <v>43399</v>
      </c>
      <c r="B263" t="s">
        <v>175</v>
      </c>
      <c r="C263" s="28">
        <v>1</v>
      </c>
      <c r="D263">
        <v>1</v>
      </c>
      <c r="E263">
        <v>140.66</v>
      </c>
      <c r="F263" t="s">
        <v>178</v>
      </c>
      <c r="G263" t="s">
        <v>756</v>
      </c>
      <c r="H263" t="s">
        <v>1072</v>
      </c>
      <c r="I263">
        <f t="shared" si="17"/>
        <v>140.66</v>
      </c>
      <c r="J263">
        <f t="shared" si="19"/>
        <v>63.8023027642</v>
      </c>
      <c r="K263">
        <v>34.744999999999997</v>
      </c>
      <c r="L263">
        <f t="shared" si="20"/>
        <v>2216.8110095421289</v>
      </c>
    </row>
    <row r="264" spans="1:13" x14ac:dyDescent="0.2">
      <c r="A264" s="4">
        <v>43399</v>
      </c>
      <c r="B264" t="s">
        <v>175</v>
      </c>
      <c r="C264" s="28">
        <v>1</v>
      </c>
      <c r="D264">
        <v>1</v>
      </c>
      <c r="E264" s="6">
        <v>200</v>
      </c>
      <c r="F264" s="6" t="s">
        <v>282</v>
      </c>
      <c r="G264" s="6" t="s">
        <v>756</v>
      </c>
      <c r="H264" t="s">
        <v>1072</v>
      </c>
      <c r="I264">
        <f t="shared" si="17"/>
        <v>200</v>
      </c>
      <c r="J264">
        <f t="shared" si="19"/>
        <v>90.718474000000001</v>
      </c>
      <c r="K264">
        <v>34.744999999999997</v>
      </c>
      <c r="L264">
        <f t="shared" si="20"/>
        <v>3152.01337913</v>
      </c>
    </row>
    <row r="265" spans="1:13" x14ac:dyDescent="0.2">
      <c r="B265" t="s">
        <v>48</v>
      </c>
      <c r="C265" s="28">
        <v>6</v>
      </c>
      <c r="D265">
        <v>1</v>
      </c>
      <c r="E265">
        <f>12*2.12</f>
        <v>25.44</v>
      </c>
      <c r="F265" t="s">
        <v>336</v>
      </c>
      <c r="G265" t="s">
        <v>185</v>
      </c>
      <c r="H265" t="s">
        <v>1071</v>
      </c>
      <c r="I265">
        <f t="shared" si="17"/>
        <v>152.64000000000001</v>
      </c>
      <c r="J265">
        <f t="shared" si="19"/>
        <v>69.236339356800002</v>
      </c>
      <c r="K265">
        <v>0.33200000000000002</v>
      </c>
      <c r="L265">
        <f t="shared" si="20"/>
        <v>22.986464666457604</v>
      </c>
    </row>
    <row r="266" spans="1:13" x14ac:dyDescent="0.2">
      <c r="A266" s="28"/>
      <c r="B266" t="s">
        <v>48</v>
      </c>
      <c r="C266" s="28">
        <v>1</v>
      </c>
      <c r="D266">
        <v>1</v>
      </c>
      <c r="E266">
        <v>10</v>
      </c>
      <c r="F266" t="s">
        <v>310</v>
      </c>
      <c r="G266" t="s">
        <v>823</v>
      </c>
      <c r="H266" t="s">
        <v>1071</v>
      </c>
      <c r="I266">
        <f t="shared" si="17"/>
        <v>10</v>
      </c>
      <c r="J266">
        <f t="shared" si="19"/>
        <v>4.5359237000000006</v>
      </c>
      <c r="K266">
        <v>0.22</v>
      </c>
      <c r="L266">
        <f t="shared" si="20"/>
        <v>0.99790321400000015</v>
      </c>
    </row>
    <row r="267" spans="1:13" x14ac:dyDescent="0.2">
      <c r="B267" t="s">
        <v>48</v>
      </c>
      <c r="C267" s="28">
        <v>1</v>
      </c>
      <c r="D267">
        <v>1</v>
      </c>
      <c r="E267">
        <v>10</v>
      </c>
      <c r="F267" t="s">
        <v>310</v>
      </c>
      <c r="G267" t="s">
        <v>829</v>
      </c>
      <c r="H267" t="s">
        <v>1071</v>
      </c>
      <c r="I267">
        <f t="shared" si="17"/>
        <v>10</v>
      </c>
      <c r="J267">
        <f t="shared" si="19"/>
        <v>4.5359237000000006</v>
      </c>
      <c r="K267">
        <v>0.22</v>
      </c>
      <c r="L267">
        <f t="shared" si="20"/>
        <v>0.99790321400000015</v>
      </c>
    </row>
    <row r="268" spans="1:13" x14ac:dyDescent="0.2">
      <c r="B268" t="s">
        <v>48</v>
      </c>
      <c r="C268" s="28">
        <v>1</v>
      </c>
      <c r="D268">
        <v>1</v>
      </c>
      <c r="E268">
        <v>10</v>
      </c>
      <c r="F268" t="s">
        <v>310</v>
      </c>
      <c r="G268" t="s">
        <v>829</v>
      </c>
      <c r="H268" t="s">
        <v>1071</v>
      </c>
      <c r="I268">
        <f t="shared" si="17"/>
        <v>10</v>
      </c>
      <c r="J268">
        <f t="shared" si="19"/>
        <v>4.5359237000000006</v>
      </c>
      <c r="K268">
        <v>0.22</v>
      </c>
      <c r="L268">
        <f t="shared" si="20"/>
        <v>0.99790321400000015</v>
      </c>
    </row>
    <row r="269" spans="1:13" x14ac:dyDescent="0.2">
      <c r="A269" s="4">
        <v>43399</v>
      </c>
      <c r="B269" t="s">
        <v>38</v>
      </c>
      <c r="C269">
        <v>12</v>
      </c>
      <c r="D269">
        <v>1</v>
      </c>
      <c r="E269">
        <f>5*8.6</f>
        <v>43</v>
      </c>
      <c r="F269" s="9" t="s">
        <v>39</v>
      </c>
      <c r="G269" s="9" t="s">
        <v>774</v>
      </c>
      <c r="H269" t="s">
        <v>1073</v>
      </c>
      <c r="I269">
        <f t="shared" si="17"/>
        <v>516</v>
      </c>
      <c r="J269">
        <f t="shared" si="19"/>
        <v>234.05366291999999</v>
      </c>
      <c r="K269">
        <v>1.23</v>
      </c>
      <c r="L269">
        <f t="shared" si="20"/>
        <v>287.88600539160001</v>
      </c>
      <c r="M269" s="8"/>
    </row>
    <row r="270" spans="1:13" x14ac:dyDescent="0.2">
      <c r="A270" s="4">
        <v>43399</v>
      </c>
      <c r="B270" t="s">
        <v>38</v>
      </c>
      <c r="C270">
        <v>4</v>
      </c>
      <c r="D270">
        <v>1</v>
      </c>
      <c r="E270">
        <f>5*8.6</f>
        <v>43</v>
      </c>
      <c r="F270" s="9" t="s">
        <v>40</v>
      </c>
      <c r="G270" s="9" t="s">
        <v>774</v>
      </c>
      <c r="H270" t="s">
        <v>1073</v>
      </c>
      <c r="I270">
        <f t="shared" si="17"/>
        <v>172</v>
      </c>
      <c r="J270">
        <f t="shared" si="19"/>
        <v>78.017887639999998</v>
      </c>
      <c r="K270">
        <v>1.23</v>
      </c>
      <c r="L270">
        <f t="shared" si="20"/>
        <v>95.962001797200003</v>
      </c>
    </row>
    <row r="271" spans="1:13" x14ac:dyDescent="0.2">
      <c r="A271" s="4">
        <v>43399</v>
      </c>
      <c r="B271" t="s">
        <v>38</v>
      </c>
      <c r="C271">
        <v>6</v>
      </c>
      <c r="D271">
        <v>1</v>
      </c>
      <c r="E271">
        <f>5*8.6</f>
        <v>43</v>
      </c>
      <c r="F271" s="9" t="s">
        <v>46</v>
      </c>
      <c r="G271" s="9" t="s">
        <v>774</v>
      </c>
      <c r="H271" t="s">
        <v>1073</v>
      </c>
      <c r="I271">
        <f t="shared" si="17"/>
        <v>258</v>
      </c>
      <c r="J271">
        <f t="shared" si="19"/>
        <v>117.02683146</v>
      </c>
      <c r="K271">
        <v>1.23</v>
      </c>
      <c r="L271">
        <f t="shared" si="20"/>
        <v>143.9430026958</v>
      </c>
    </row>
    <row r="272" spans="1:13" x14ac:dyDescent="0.2">
      <c r="A272" s="4">
        <v>43399</v>
      </c>
      <c r="B272" t="s">
        <v>38</v>
      </c>
      <c r="C272">
        <v>6</v>
      </c>
      <c r="D272">
        <v>1</v>
      </c>
      <c r="E272">
        <f>5*8.6</f>
        <v>43</v>
      </c>
      <c r="F272" s="9" t="s">
        <v>47</v>
      </c>
      <c r="G272" s="9" t="s">
        <v>774</v>
      </c>
      <c r="H272" t="s">
        <v>1073</v>
      </c>
      <c r="I272">
        <f t="shared" si="17"/>
        <v>258</v>
      </c>
      <c r="J272">
        <f t="shared" si="19"/>
        <v>117.02683146</v>
      </c>
      <c r="K272">
        <v>1.23</v>
      </c>
      <c r="L272">
        <f t="shared" si="20"/>
        <v>143.9430026958</v>
      </c>
    </row>
    <row r="273" spans="1:12" x14ac:dyDescent="0.2">
      <c r="A273" s="4">
        <v>43399</v>
      </c>
      <c r="B273" t="s">
        <v>38</v>
      </c>
      <c r="C273">
        <v>4</v>
      </c>
      <c r="D273">
        <v>1</v>
      </c>
      <c r="E273">
        <f>8.6</f>
        <v>8.6</v>
      </c>
      <c r="F273" s="9" t="s">
        <v>45</v>
      </c>
      <c r="G273" s="9" t="s">
        <v>774</v>
      </c>
      <c r="H273" t="s">
        <v>1073</v>
      </c>
      <c r="I273">
        <f t="shared" si="17"/>
        <v>34.4</v>
      </c>
      <c r="J273">
        <f t="shared" si="19"/>
        <v>15.603577528000001</v>
      </c>
      <c r="K273">
        <v>1.23</v>
      </c>
      <c r="L273">
        <f t="shared" si="20"/>
        <v>19.192400359440001</v>
      </c>
    </row>
    <row r="274" spans="1:12" x14ac:dyDescent="0.2">
      <c r="A274" s="4">
        <v>43402</v>
      </c>
      <c r="B274" t="s">
        <v>38</v>
      </c>
      <c r="C274">
        <v>12</v>
      </c>
      <c r="D274">
        <v>1</v>
      </c>
      <c r="E274">
        <f>5*8.6</f>
        <v>43</v>
      </c>
      <c r="F274" s="9" t="s">
        <v>39</v>
      </c>
      <c r="G274" s="9" t="s">
        <v>774</v>
      </c>
      <c r="H274" t="s">
        <v>1073</v>
      </c>
      <c r="I274">
        <f t="shared" si="17"/>
        <v>516</v>
      </c>
      <c r="J274">
        <f t="shared" si="19"/>
        <v>234.05366291999999</v>
      </c>
      <c r="K274">
        <v>1.23</v>
      </c>
      <c r="L274">
        <f t="shared" si="20"/>
        <v>287.88600539160001</v>
      </c>
    </row>
    <row r="275" spans="1:12" x14ac:dyDescent="0.2">
      <c r="A275" s="4">
        <v>43402</v>
      </c>
      <c r="B275" t="s">
        <v>38</v>
      </c>
      <c r="C275">
        <v>6</v>
      </c>
      <c r="D275">
        <v>1</v>
      </c>
      <c r="E275">
        <f>5*8.6</f>
        <v>43</v>
      </c>
      <c r="F275" s="9" t="s">
        <v>40</v>
      </c>
      <c r="G275" s="9" t="s">
        <v>774</v>
      </c>
      <c r="H275" t="s">
        <v>1073</v>
      </c>
      <c r="I275">
        <f t="shared" si="17"/>
        <v>258</v>
      </c>
      <c r="J275">
        <f t="shared" si="19"/>
        <v>117.02683146</v>
      </c>
      <c r="K275">
        <v>1.23</v>
      </c>
      <c r="L275">
        <f t="shared" si="20"/>
        <v>143.9430026958</v>
      </c>
    </row>
    <row r="276" spans="1:12" x14ac:dyDescent="0.2">
      <c r="A276" s="4">
        <v>43402</v>
      </c>
      <c r="B276" t="s">
        <v>38</v>
      </c>
      <c r="C276">
        <v>6</v>
      </c>
      <c r="D276">
        <v>1</v>
      </c>
      <c r="E276">
        <f>5*8.6</f>
        <v>43</v>
      </c>
      <c r="F276" s="9" t="s">
        <v>46</v>
      </c>
      <c r="G276" s="9" t="s">
        <v>774</v>
      </c>
      <c r="H276" t="s">
        <v>1073</v>
      </c>
      <c r="I276">
        <f t="shared" si="17"/>
        <v>258</v>
      </c>
      <c r="J276">
        <f t="shared" si="19"/>
        <v>117.02683146</v>
      </c>
      <c r="K276">
        <v>1.23</v>
      </c>
      <c r="L276">
        <f t="shared" si="20"/>
        <v>143.9430026958</v>
      </c>
    </row>
    <row r="277" spans="1:12" x14ac:dyDescent="0.2">
      <c r="A277" s="4">
        <v>43402</v>
      </c>
      <c r="B277" t="s">
        <v>38</v>
      </c>
      <c r="C277">
        <v>6</v>
      </c>
      <c r="D277">
        <v>1</v>
      </c>
      <c r="E277">
        <f>5*8.6</f>
        <v>43</v>
      </c>
      <c r="F277" s="9" t="s">
        <v>47</v>
      </c>
      <c r="G277" s="9" t="s">
        <v>774</v>
      </c>
      <c r="H277" t="s">
        <v>1073</v>
      </c>
      <c r="I277">
        <f t="shared" si="17"/>
        <v>258</v>
      </c>
      <c r="J277">
        <f t="shared" si="19"/>
        <v>117.02683146</v>
      </c>
      <c r="K277">
        <v>1.23</v>
      </c>
      <c r="L277">
        <f t="shared" si="20"/>
        <v>143.9430026958</v>
      </c>
    </row>
    <row r="278" spans="1:12" x14ac:dyDescent="0.2">
      <c r="A278" s="4">
        <v>43402</v>
      </c>
      <c r="B278" t="s">
        <v>38</v>
      </c>
      <c r="C278">
        <v>4</v>
      </c>
      <c r="D278">
        <v>1</v>
      </c>
      <c r="E278">
        <v>8.6</v>
      </c>
      <c r="F278" s="9" t="s">
        <v>45</v>
      </c>
      <c r="G278" s="9" t="s">
        <v>774</v>
      </c>
      <c r="H278" t="s">
        <v>1073</v>
      </c>
      <c r="I278">
        <f t="shared" si="17"/>
        <v>34.4</v>
      </c>
      <c r="J278">
        <f t="shared" si="19"/>
        <v>15.603577528000001</v>
      </c>
      <c r="K278">
        <v>1.23</v>
      </c>
      <c r="L278">
        <f t="shared" si="20"/>
        <v>19.192400359440001</v>
      </c>
    </row>
    <row r="279" spans="1:12" x14ac:dyDescent="0.2">
      <c r="A279" s="4">
        <v>43404</v>
      </c>
      <c r="B279" t="s">
        <v>38</v>
      </c>
      <c r="C279">
        <v>10</v>
      </c>
      <c r="D279">
        <v>1</v>
      </c>
      <c r="E279">
        <f>5*8.6</f>
        <v>43</v>
      </c>
      <c r="F279" s="9" t="s">
        <v>39</v>
      </c>
      <c r="G279" s="9" t="s">
        <v>774</v>
      </c>
      <c r="H279" t="s">
        <v>1073</v>
      </c>
      <c r="I279">
        <f t="shared" si="17"/>
        <v>430</v>
      </c>
      <c r="J279">
        <f t="shared" si="19"/>
        <v>195.04471910000001</v>
      </c>
      <c r="K279">
        <v>1.23</v>
      </c>
      <c r="L279">
        <f t="shared" si="20"/>
        <v>239.90500449300001</v>
      </c>
    </row>
    <row r="280" spans="1:12" x14ac:dyDescent="0.2">
      <c r="A280" s="4">
        <v>43404</v>
      </c>
      <c r="B280" t="s">
        <v>38</v>
      </c>
      <c r="C280">
        <v>10</v>
      </c>
      <c r="D280">
        <v>1</v>
      </c>
      <c r="E280">
        <f>5*8.6</f>
        <v>43</v>
      </c>
      <c r="F280" s="9" t="s">
        <v>40</v>
      </c>
      <c r="G280" s="9" t="s">
        <v>774</v>
      </c>
      <c r="H280" t="s">
        <v>1073</v>
      </c>
      <c r="I280">
        <f t="shared" si="17"/>
        <v>430</v>
      </c>
      <c r="J280">
        <f t="shared" si="19"/>
        <v>195.04471910000001</v>
      </c>
      <c r="K280">
        <v>1.23</v>
      </c>
      <c r="L280">
        <f t="shared" si="20"/>
        <v>239.90500449300001</v>
      </c>
    </row>
    <row r="281" spans="1:12" x14ac:dyDescent="0.2">
      <c r="A281" s="4">
        <v>43404</v>
      </c>
      <c r="B281" t="s">
        <v>38</v>
      </c>
      <c r="C281">
        <v>4</v>
      </c>
      <c r="D281">
        <v>1</v>
      </c>
      <c r="E281">
        <f>5*8.6</f>
        <v>43</v>
      </c>
      <c r="F281" s="9" t="s">
        <v>47</v>
      </c>
      <c r="G281" s="9" t="s">
        <v>774</v>
      </c>
      <c r="H281" t="s">
        <v>1073</v>
      </c>
      <c r="I281">
        <f t="shared" si="17"/>
        <v>172</v>
      </c>
      <c r="J281">
        <f t="shared" si="19"/>
        <v>78.017887639999998</v>
      </c>
      <c r="K281">
        <v>1.23</v>
      </c>
      <c r="L281">
        <f t="shared" si="20"/>
        <v>95.962001797200003</v>
      </c>
    </row>
    <row r="282" spans="1:12" x14ac:dyDescent="0.2">
      <c r="A282" s="4">
        <v>43437</v>
      </c>
      <c r="B282" t="s">
        <v>517</v>
      </c>
      <c r="C282">
        <v>1</v>
      </c>
      <c r="D282">
        <v>20</v>
      </c>
      <c r="E282">
        <f>1/2</f>
        <v>0.5</v>
      </c>
      <c r="F282" t="s">
        <v>465</v>
      </c>
      <c r="G282" t="s">
        <v>774</v>
      </c>
      <c r="H282" s="9" t="s">
        <v>1073</v>
      </c>
      <c r="I282">
        <f t="shared" si="17"/>
        <v>10</v>
      </c>
      <c r="J282">
        <f t="shared" si="19"/>
        <v>4.5359237000000006</v>
      </c>
      <c r="K282">
        <v>1.23</v>
      </c>
      <c r="L282">
        <f t="shared" si="20"/>
        <v>5.5791861510000009</v>
      </c>
    </row>
    <row r="283" spans="1:12" x14ac:dyDescent="0.2">
      <c r="A283" s="4">
        <v>43434</v>
      </c>
      <c r="B283" t="s">
        <v>538</v>
      </c>
      <c r="C283">
        <v>1</v>
      </c>
      <c r="D283">
        <v>4</v>
      </c>
      <c r="E283">
        <f>11.89</f>
        <v>11.89</v>
      </c>
      <c r="F283" t="s">
        <v>547</v>
      </c>
      <c r="G283" t="s">
        <v>865</v>
      </c>
      <c r="H283" s="9" t="s">
        <v>1071</v>
      </c>
      <c r="I283">
        <f t="shared" si="17"/>
        <v>47.56</v>
      </c>
      <c r="J283">
        <f t="shared" si="19"/>
        <v>21.572853117200001</v>
      </c>
      <c r="K283">
        <v>0.48799999999999999</v>
      </c>
      <c r="L283">
        <f t="shared" si="20"/>
        <v>10.5275523211936</v>
      </c>
    </row>
    <row r="284" spans="1:12" x14ac:dyDescent="0.2">
      <c r="A284" s="28"/>
      <c r="B284" t="s">
        <v>48</v>
      </c>
      <c r="C284" s="28">
        <v>10</v>
      </c>
      <c r="D284">
        <v>1</v>
      </c>
      <c r="E284">
        <v>5</v>
      </c>
      <c r="F284" t="s">
        <v>313</v>
      </c>
      <c r="G284" t="s">
        <v>313</v>
      </c>
      <c r="H284" t="s">
        <v>1071</v>
      </c>
      <c r="I284">
        <f t="shared" si="17"/>
        <v>50</v>
      </c>
      <c r="J284">
        <f t="shared" si="19"/>
        <v>22.6796185</v>
      </c>
      <c r="K284">
        <v>3.093</v>
      </c>
      <c r="L284">
        <f t="shared" si="20"/>
        <v>70.148060020499997</v>
      </c>
    </row>
    <row r="285" spans="1:12" x14ac:dyDescent="0.2">
      <c r="B285" t="s">
        <v>48</v>
      </c>
      <c r="C285" s="28">
        <v>4</v>
      </c>
      <c r="D285">
        <v>1</v>
      </c>
      <c r="E285">
        <v>5</v>
      </c>
      <c r="F285" t="s">
        <v>313</v>
      </c>
      <c r="G285" t="s">
        <v>313</v>
      </c>
      <c r="H285" t="s">
        <v>1071</v>
      </c>
      <c r="I285">
        <f t="shared" si="17"/>
        <v>20</v>
      </c>
      <c r="J285">
        <f t="shared" si="19"/>
        <v>9.0718474000000011</v>
      </c>
      <c r="K285">
        <v>3.093</v>
      </c>
      <c r="L285">
        <f t="shared" si="20"/>
        <v>28.059224008200005</v>
      </c>
    </row>
    <row r="286" spans="1:12" x14ac:dyDescent="0.2">
      <c r="B286" t="s">
        <v>48</v>
      </c>
      <c r="C286" s="28">
        <v>10</v>
      </c>
      <c r="D286">
        <v>1</v>
      </c>
      <c r="E286">
        <v>5</v>
      </c>
      <c r="F286" t="s">
        <v>313</v>
      </c>
      <c r="G286" t="s">
        <v>313</v>
      </c>
      <c r="H286" t="s">
        <v>1071</v>
      </c>
      <c r="I286">
        <f t="shared" si="17"/>
        <v>50</v>
      </c>
      <c r="J286">
        <f t="shared" si="19"/>
        <v>22.6796185</v>
      </c>
      <c r="K286">
        <v>3.093</v>
      </c>
      <c r="L286">
        <f t="shared" si="20"/>
        <v>70.148060020499997</v>
      </c>
    </row>
    <row r="287" spans="1:12" x14ac:dyDescent="0.2">
      <c r="B287" t="s">
        <v>48</v>
      </c>
      <c r="C287" s="28">
        <v>8</v>
      </c>
      <c r="D287">
        <v>1</v>
      </c>
      <c r="E287">
        <v>5</v>
      </c>
      <c r="F287" t="s">
        <v>313</v>
      </c>
      <c r="G287" t="s">
        <v>313</v>
      </c>
      <c r="H287" t="s">
        <v>1071</v>
      </c>
      <c r="I287">
        <f t="shared" si="17"/>
        <v>40</v>
      </c>
      <c r="J287">
        <f t="shared" si="19"/>
        <v>18.143694800000002</v>
      </c>
      <c r="K287">
        <v>3.093</v>
      </c>
      <c r="L287">
        <f t="shared" si="20"/>
        <v>56.118448016400009</v>
      </c>
    </row>
    <row r="288" spans="1:12" x14ac:dyDescent="0.2">
      <c r="B288" t="s">
        <v>48</v>
      </c>
      <c r="C288" s="28">
        <v>10</v>
      </c>
      <c r="D288">
        <v>1</v>
      </c>
      <c r="E288">
        <v>5</v>
      </c>
      <c r="F288" t="s">
        <v>313</v>
      </c>
      <c r="G288" t="s">
        <v>313</v>
      </c>
      <c r="H288" t="s">
        <v>1071</v>
      </c>
      <c r="I288">
        <f t="shared" si="17"/>
        <v>50</v>
      </c>
      <c r="J288">
        <f t="shared" si="19"/>
        <v>22.6796185</v>
      </c>
      <c r="K288">
        <v>3.093</v>
      </c>
      <c r="L288">
        <f t="shared" si="20"/>
        <v>70.148060020499997</v>
      </c>
    </row>
    <row r="289" spans="1:12" x14ac:dyDescent="0.2">
      <c r="B289" t="s">
        <v>48</v>
      </c>
      <c r="C289" s="28">
        <v>10</v>
      </c>
      <c r="D289">
        <v>1</v>
      </c>
      <c r="E289">
        <v>5</v>
      </c>
      <c r="F289" t="s">
        <v>313</v>
      </c>
      <c r="G289" t="s">
        <v>313</v>
      </c>
      <c r="H289" t="s">
        <v>1071</v>
      </c>
      <c r="I289">
        <f t="shared" si="17"/>
        <v>50</v>
      </c>
      <c r="J289">
        <f t="shared" si="19"/>
        <v>22.6796185</v>
      </c>
      <c r="K289">
        <v>3.093</v>
      </c>
      <c r="L289">
        <f t="shared" si="20"/>
        <v>70.148060020499997</v>
      </c>
    </row>
    <row r="290" spans="1:12" x14ac:dyDescent="0.2">
      <c r="B290" t="s">
        <v>48</v>
      </c>
      <c r="C290" s="28">
        <v>10</v>
      </c>
      <c r="D290">
        <v>1</v>
      </c>
      <c r="E290">
        <v>5</v>
      </c>
      <c r="F290" t="s">
        <v>368</v>
      </c>
      <c r="G290" t="s">
        <v>313</v>
      </c>
      <c r="H290" t="s">
        <v>1071</v>
      </c>
      <c r="I290">
        <f t="shared" si="17"/>
        <v>50</v>
      </c>
      <c r="J290">
        <f t="shared" si="19"/>
        <v>22.6796185</v>
      </c>
      <c r="K290">
        <v>3.093</v>
      </c>
      <c r="L290">
        <f t="shared" si="20"/>
        <v>70.148060020499997</v>
      </c>
    </row>
    <row r="291" spans="1:12" x14ac:dyDescent="0.2">
      <c r="A291" s="4">
        <v>43437</v>
      </c>
      <c r="B291" t="s">
        <v>538</v>
      </c>
      <c r="C291">
        <v>3</v>
      </c>
      <c r="D291">
        <v>4</v>
      </c>
      <c r="E291">
        <v>5</v>
      </c>
      <c r="F291" t="s">
        <v>586</v>
      </c>
      <c r="G291" s="6" t="s">
        <v>876</v>
      </c>
      <c r="H291" s="9" t="s">
        <v>1071</v>
      </c>
      <c r="I291">
        <f t="shared" si="17"/>
        <v>60</v>
      </c>
      <c r="J291">
        <f t="shared" si="19"/>
        <v>27.215542200000002</v>
      </c>
      <c r="K291">
        <v>5.99</v>
      </c>
      <c r="L291">
        <f t="shared" si="20"/>
        <v>163.02109777800001</v>
      </c>
    </row>
    <row r="292" spans="1:12" x14ac:dyDescent="0.2">
      <c r="A292" s="4">
        <v>43439</v>
      </c>
      <c r="B292" t="s">
        <v>538</v>
      </c>
      <c r="C292">
        <v>3</v>
      </c>
      <c r="D292">
        <v>4</v>
      </c>
      <c r="E292">
        <v>5</v>
      </c>
      <c r="F292" t="s">
        <v>586</v>
      </c>
      <c r="G292" s="6" t="s">
        <v>876</v>
      </c>
      <c r="H292" s="9" t="s">
        <v>1071</v>
      </c>
      <c r="I292">
        <f t="shared" si="17"/>
        <v>60</v>
      </c>
      <c r="J292">
        <f t="shared" si="19"/>
        <v>27.215542200000002</v>
      </c>
      <c r="K292">
        <v>5.99</v>
      </c>
      <c r="L292">
        <f t="shared" si="20"/>
        <v>163.02109777800001</v>
      </c>
    </row>
    <row r="293" spans="1:12" x14ac:dyDescent="0.2">
      <c r="A293" s="4">
        <v>43437</v>
      </c>
      <c r="B293" t="s">
        <v>531</v>
      </c>
      <c r="C293">
        <v>3</v>
      </c>
      <c r="D293">
        <v>4</v>
      </c>
      <c r="E293">
        <v>5</v>
      </c>
      <c r="F293" t="s">
        <v>418</v>
      </c>
      <c r="G293" s="6" t="s">
        <v>876</v>
      </c>
      <c r="H293" s="9" t="s">
        <v>1071</v>
      </c>
      <c r="I293">
        <f t="shared" si="17"/>
        <v>60</v>
      </c>
      <c r="J293">
        <f t="shared" si="19"/>
        <v>27.215542200000002</v>
      </c>
      <c r="K293" s="6">
        <v>5.99</v>
      </c>
      <c r="L293">
        <f t="shared" si="20"/>
        <v>163.02109777800001</v>
      </c>
    </row>
    <row r="294" spans="1:12" x14ac:dyDescent="0.2">
      <c r="A294" s="4">
        <v>43437</v>
      </c>
      <c r="B294" t="s">
        <v>538</v>
      </c>
      <c r="C294">
        <v>6</v>
      </c>
      <c r="D294">
        <v>4</v>
      </c>
      <c r="E294">
        <v>7.9</v>
      </c>
      <c r="F294" t="s">
        <v>455</v>
      </c>
      <c r="G294" t="s">
        <v>867</v>
      </c>
      <c r="H294" s="9" t="s">
        <v>1071</v>
      </c>
      <c r="I294">
        <f t="shared" si="17"/>
        <v>189.60000000000002</v>
      </c>
      <c r="J294">
        <f t="shared" si="19"/>
        <v>86.001113352000019</v>
      </c>
      <c r="K294">
        <v>2.6459999999999999</v>
      </c>
      <c r="L294">
        <f t="shared" si="20"/>
        <v>227.55894592939205</v>
      </c>
    </row>
    <row r="295" spans="1:12" x14ac:dyDescent="0.2">
      <c r="A295" s="4">
        <v>43439</v>
      </c>
      <c r="B295" t="s">
        <v>538</v>
      </c>
      <c r="C295">
        <v>3</v>
      </c>
      <c r="D295">
        <v>1</v>
      </c>
      <c r="E295">
        <v>35</v>
      </c>
      <c r="F295" t="s">
        <v>441</v>
      </c>
      <c r="G295" t="s">
        <v>867</v>
      </c>
      <c r="H295" s="9" t="s">
        <v>1071</v>
      </c>
      <c r="I295">
        <f t="shared" si="17"/>
        <v>105</v>
      </c>
      <c r="J295">
        <f t="shared" si="19"/>
        <v>47.627198849999999</v>
      </c>
      <c r="K295">
        <v>2.6459999999999999</v>
      </c>
      <c r="L295">
        <f t="shared" si="20"/>
        <v>126.02156815709999</v>
      </c>
    </row>
    <row r="296" spans="1:12" x14ac:dyDescent="0.2">
      <c r="A296" s="4">
        <v>43439</v>
      </c>
      <c r="B296" t="s">
        <v>538</v>
      </c>
      <c r="C296">
        <v>6</v>
      </c>
      <c r="D296">
        <v>4</v>
      </c>
      <c r="E296">
        <v>7.9</v>
      </c>
      <c r="F296" t="s">
        <v>455</v>
      </c>
      <c r="G296" t="s">
        <v>867</v>
      </c>
      <c r="H296" s="9" t="s">
        <v>1071</v>
      </c>
      <c r="I296">
        <f t="shared" si="17"/>
        <v>189.60000000000002</v>
      </c>
      <c r="J296">
        <f t="shared" si="19"/>
        <v>86.001113352000019</v>
      </c>
      <c r="K296">
        <v>2.6459999999999999</v>
      </c>
      <c r="L296">
        <f t="shared" si="20"/>
        <v>227.55894592939205</v>
      </c>
    </row>
    <row r="297" spans="1:12" x14ac:dyDescent="0.2">
      <c r="A297" s="4">
        <v>43434</v>
      </c>
      <c r="B297" t="s">
        <v>538</v>
      </c>
      <c r="C297">
        <v>6</v>
      </c>
      <c r="D297">
        <v>4</v>
      </c>
      <c r="E297">
        <v>7.9</v>
      </c>
      <c r="F297" t="s">
        <v>455</v>
      </c>
      <c r="G297" t="s">
        <v>867</v>
      </c>
      <c r="H297" s="9" t="s">
        <v>1071</v>
      </c>
      <c r="I297">
        <f t="shared" si="17"/>
        <v>189.60000000000002</v>
      </c>
      <c r="J297">
        <f t="shared" si="19"/>
        <v>86.001113352000019</v>
      </c>
      <c r="K297">
        <v>2.6459999999999999</v>
      </c>
      <c r="L297">
        <f t="shared" si="20"/>
        <v>227.55894592939205</v>
      </c>
    </row>
    <row r="298" spans="1:12" x14ac:dyDescent="0.2">
      <c r="A298" s="4">
        <v>43439</v>
      </c>
      <c r="B298" t="s">
        <v>538</v>
      </c>
      <c r="C298">
        <v>1</v>
      </c>
      <c r="D298">
        <v>6</v>
      </c>
      <c r="E298">
        <v>10</v>
      </c>
      <c r="F298" t="s">
        <v>445</v>
      </c>
      <c r="G298" t="s">
        <v>883</v>
      </c>
      <c r="H298" s="9" t="s">
        <v>1071</v>
      </c>
      <c r="I298">
        <f t="shared" si="17"/>
        <v>60</v>
      </c>
      <c r="J298">
        <f t="shared" si="19"/>
        <v>27.215542200000002</v>
      </c>
      <c r="K298">
        <v>3.206</v>
      </c>
      <c r="L298">
        <f t="shared" si="20"/>
        <v>87.253028293200003</v>
      </c>
    </row>
    <row r="299" spans="1:12" x14ac:dyDescent="0.2">
      <c r="A299" s="28"/>
      <c r="B299" t="s">
        <v>48</v>
      </c>
      <c r="C299" s="28">
        <v>3</v>
      </c>
      <c r="D299">
        <v>1</v>
      </c>
      <c r="E299">
        <v>20</v>
      </c>
      <c r="F299" t="s">
        <v>326</v>
      </c>
      <c r="G299" t="s">
        <v>790</v>
      </c>
      <c r="H299" t="s">
        <v>1071</v>
      </c>
      <c r="I299">
        <f t="shared" si="17"/>
        <v>60</v>
      </c>
      <c r="J299">
        <f t="shared" si="19"/>
        <v>27.215542200000002</v>
      </c>
      <c r="K299">
        <v>0.26900000000000002</v>
      </c>
      <c r="L299">
        <f t="shared" si="20"/>
        <v>7.3209808518000008</v>
      </c>
    </row>
    <row r="300" spans="1:12" x14ac:dyDescent="0.2">
      <c r="B300" t="s">
        <v>48</v>
      </c>
      <c r="C300" s="28">
        <v>1</v>
      </c>
      <c r="D300">
        <v>1</v>
      </c>
      <c r="E300">
        <v>20</v>
      </c>
      <c r="F300" t="s">
        <v>326</v>
      </c>
      <c r="G300" t="s">
        <v>790</v>
      </c>
      <c r="H300" t="s">
        <v>1071</v>
      </c>
      <c r="I300">
        <f t="shared" si="17"/>
        <v>20</v>
      </c>
      <c r="J300">
        <f t="shared" si="19"/>
        <v>9.0718474000000011</v>
      </c>
      <c r="K300">
        <v>0.26900000000000002</v>
      </c>
      <c r="L300">
        <f t="shared" si="20"/>
        <v>2.4403269506000003</v>
      </c>
    </row>
    <row r="301" spans="1:12" x14ac:dyDescent="0.2">
      <c r="B301" t="s">
        <v>48</v>
      </c>
      <c r="C301" s="28">
        <v>1</v>
      </c>
      <c r="D301">
        <v>1</v>
      </c>
      <c r="E301">
        <v>20</v>
      </c>
      <c r="F301" t="s">
        <v>326</v>
      </c>
      <c r="G301" t="s">
        <v>790</v>
      </c>
      <c r="H301" t="s">
        <v>1071</v>
      </c>
      <c r="I301">
        <f t="shared" si="17"/>
        <v>20</v>
      </c>
      <c r="J301">
        <f t="shared" si="19"/>
        <v>9.0718474000000011</v>
      </c>
      <c r="K301">
        <v>0.26900000000000002</v>
      </c>
      <c r="L301">
        <f t="shared" si="20"/>
        <v>2.4403269506000003</v>
      </c>
    </row>
    <row r="302" spans="1:12" x14ac:dyDescent="0.2">
      <c r="B302" t="s">
        <v>48</v>
      </c>
      <c r="C302" s="28">
        <v>1</v>
      </c>
      <c r="D302">
        <v>1</v>
      </c>
      <c r="E302">
        <v>25</v>
      </c>
      <c r="F302" t="s">
        <v>340</v>
      </c>
      <c r="G302" t="s">
        <v>790</v>
      </c>
      <c r="H302" t="s">
        <v>1071</v>
      </c>
      <c r="I302">
        <f t="shared" si="17"/>
        <v>25</v>
      </c>
      <c r="J302">
        <f t="shared" si="19"/>
        <v>11.33980925</v>
      </c>
      <c r="K302">
        <v>0.26900000000000002</v>
      </c>
      <c r="L302">
        <f t="shared" si="20"/>
        <v>3.0504086882500001</v>
      </c>
    </row>
    <row r="303" spans="1:12" x14ac:dyDescent="0.2">
      <c r="B303" t="s">
        <v>48</v>
      </c>
      <c r="C303" s="28">
        <v>1</v>
      </c>
      <c r="D303">
        <v>1</v>
      </c>
      <c r="E303">
        <v>25</v>
      </c>
      <c r="F303" t="s">
        <v>340</v>
      </c>
      <c r="G303" t="s">
        <v>790</v>
      </c>
      <c r="H303" t="s">
        <v>1071</v>
      </c>
      <c r="I303">
        <f t="shared" si="17"/>
        <v>25</v>
      </c>
      <c r="J303">
        <f t="shared" si="19"/>
        <v>11.33980925</v>
      </c>
      <c r="K303">
        <v>0.26900000000000002</v>
      </c>
      <c r="L303">
        <f t="shared" si="20"/>
        <v>3.0504086882500001</v>
      </c>
    </row>
    <row r="304" spans="1:12" x14ac:dyDescent="0.2">
      <c r="B304" t="s">
        <v>48</v>
      </c>
      <c r="C304" s="28">
        <v>1</v>
      </c>
      <c r="D304">
        <v>1</v>
      </c>
      <c r="E304">
        <v>25</v>
      </c>
      <c r="F304" t="s">
        <v>340</v>
      </c>
      <c r="G304" t="s">
        <v>790</v>
      </c>
      <c r="H304" t="s">
        <v>1071</v>
      </c>
      <c r="I304">
        <f t="shared" si="17"/>
        <v>25</v>
      </c>
      <c r="J304">
        <f t="shared" si="19"/>
        <v>11.33980925</v>
      </c>
      <c r="K304">
        <v>0.26900000000000002</v>
      </c>
      <c r="L304">
        <f t="shared" si="20"/>
        <v>3.0504086882500001</v>
      </c>
    </row>
    <row r="305" spans="1:12" x14ac:dyDescent="0.2">
      <c r="B305" t="s">
        <v>48</v>
      </c>
      <c r="C305" s="28">
        <v>1</v>
      </c>
      <c r="D305">
        <v>1</v>
      </c>
      <c r="E305">
        <v>25</v>
      </c>
      <c r="F305" t="s">
        <v>340</v>
      </c>
      <c r="G305" t="s">
        <v>790</v>
      </c>
      <c r="H305" t="s">
        <v>1071</v>
      </c>
      <c r="I305">
        <f t="shared" si="17"/>
        <v>25</v>
      </c>
      <c r="J305">
        <f t="shared" si="19"/>
        <v>11.33980925</v>
      </c>
      <c r="K305">
        <v>0.26900000000000002</v>
      </c>
      <c r="L305">
        <f t="shared" si="20"/>
        <v>3.0504086882500001</v>
      </c>
    </row>
    <row r="306" spans="1:12" x14ac:dyDescent="0.2">
      <c r="B306" t="s">
        <v>48</v>
      </c>
      <c r="C306" s="28">
        <v>1</v>
      </c>
      <c r="D306">
        <v>1</v>
      </c>
      <c r="E306">
        <v>25</v>
      </c>
      <c r="F306" t="s">
        <v>369</v>
      </c>
      <c r="G306" t="s">
        <v>790</v>
      </c>
      <c r="H306" t="s">
        <v>1071</v>
      </c>
      <c r="I306">
        <f t="shared" si="17"/>
        <v>25</v>
      </c>
      <c r="J306">
        <f t="shared" si="19"/>
        <v>11.33980925</v>
      </c>
      <c r="K306">
        <v>0.26900000000000002</v>
      </c>
      <c r="L306">
        <f t="shared" si="20"/>
        <v>3.0504086882500001</v>
      </c>
    </row>
    <row r="307" spans="1:12" x14ac:dyDescent="0.2">
      <c r="A307" s="28"/>
      <c r="B307" t="s">
        <v>48</v>
      </c>
      <c r="C307" s="28">
        <v>2</v>
      </c>
      <c r="D307">
        <v>1</v>
      </c>
      <c r="E307">
        <v>50</v>
      </c>
      <c r="F307" t="s">
        <v>315</v>
      </c>
      <c r="G307" t="s">
        <v>790</v>
      </c>
      <c r="H307" t="s">
        <v>1071</v>
      </c>
      <c r="I307">
        <f t="shared" si="17"/>
        <v>100</v>
      </c>
      <c r="J307">
        <f t="shared" si="19"/>
        <v>45.359237</v>
      </c>
      <c r="K307">
        <v>0.26900000000000002</v>
      </c>
      <c r="L307">
        <f t="shared" si="20"/>
        <v>12.201634753</v>
      </c>
    </row>
    <row r="308" spans="1:12" x14ac:dyDescent="0.2">
      <c r="B308" t="s">
        <v>48</v>
      </c>
      <c r="C308" s="28">
        <v>1</v>
      </c>
      <c r="D308">
        <v>1</v>
      </c>
      <c r="E308">
        <v>50</v>
      </c>
      <c r="F308" t="s">
        <v>315</v>
      </c>
      <c r="G308" t="s">
        <v>790</v>
      </c>
      <c r="H308" t="s">
        <v>1071</v>
      </c>
      <c r="I308">
        <f t="shared" si="17"/>
        <v>50</v>
      </c>
      <c r="J308">
        <f t="shared" si="19"/>
        <v>22.6796185</v>
      </c>
      <c r="K308">
        <v>0.26900000000000002</v>
      </c>
      <c r="L308">
        <f t="shared" si="20"/>
        <v>6.1008173765000002</v>
      </c>
    </row>
    <row r="309" spans="1:12" x14ac:dyDescent="0.2">
      <c r="B309" t="s">
        <v>48</v>
      </c>
      <c r="C309" s="28">
        <v>2</v>
      </c>
      <c r="D309">
        <v>1</v>
      </c>
      <c r="E309">
        <v>50</v>
      </c>
      <c r="F309" t="s">
        <v>315</v>
      </c>
      <c r="G309" t="s">
        <v>790</v>
      </c>
      <c r="H309" t="s">
        <v>1071</v>
      </c>
      <c r="I309">
        <f t="shared" si="17"/>
        <v>100</v>
      </c>
      <c r="J309">
        <f t="shared" si="19"/>
        <v>45.359237</v>
      </c>
      <c r="K309">
        <v>0.26900000000000002</v>
      </c>
      <c r="L309">
        <f t="shared" si="20"/>
        <v>12.201634753</v>
      </c>
    </row>
    <row r="310" spans="1:12" x14ac:dyDescent="0.2">
      <c r="B310" t="s">
        <v>48</v>
      </c>
      <c r="C310" s="28">
        <v>2</v>
      </c>
      <c r="D310">
        <v>1</v>
      </c>
      <c r="E310">
        <v>50</v>
      </c>
      <c r="F310" t="s">
        <v>315</v>
      </c>
      <c r="G310" t="s">
        <v>790</v>
      </c>
      <c r="H310" t="s">
        <v>1071</v>
      </c>
      <c r="I310">
        <f t="shared" si="17"/>
        <v>100</v>
      </c>
      <c r="J310">
        <f t="shared" si="19"/>
        <v>45.359237</v>
      </c>
      <c r="K310">
        <v>0.26900000000000002</v>
      </c>
      <c r="L310">
        <f t="shared" si="20"/>
        <v>12.201634753</v>
      </c>
    </row>
    <row r="311" spans="1:12" x14ac:dyDescent="0.2">
      <c r="B311" t="s">
        <v>48</v>
      </c>
      <c r="C311" s="28">
        <v>2</v>
      </c>
      <c r="D311">
        <v>1</v>
      </c>
      <c r="E311">
        <v>50</v>
      </c>
      <c r="F311" t="s">
        <v>315</v>
      </c>
      <c r="G311" t="s">
        <v>790</v>
      </c>
      <c r="H311" t="s">
        <v>1071</v>
      </c>
      <c r="I311">
        <f t="shared" si="17"/>
        <v>100</v>
      </c>
      <c r="J311">
        <f t="shared" si="19"/>
        <v>45.359237</v>
      </c>
      <c r="K311">
        <v>0.26900000000000002</v>
      </c>
      <c r="L311">
        <f t="shared" si="20"/>
        <v>12.201634753</v>
      </c>
    </row>
    <row r="312" spans="1:12" x14ac:dyDescent="0.2">
      <c r="B312" t="s">
        <v>48</v>
      </c>
      <c r="C312" s="28">
        <v>1</v>
      </c>
      <c r="D312">
        <v>1</v>
      </c>
      <c r="E312">
        <v>20</v>
      </c>
      <c r="F312" t="s">
        <v>326</v>
      </c>
      <c r="G312" t="s">
        <v>790</v>
      </c>
      <c r="H312" t="s">
        <v>1071</v>
      </c>
      <c r="I312">
        <f t="shared" si="17"/>
        <v>20</v>
      </c>
      <c r="J312">
        <f t="shared" si="19"/>
        <v>9.0718474000000011</v>
      </c>
      <c r="K312">
        <v>0.26900000000000002</v>
      </c>
      <c r="L312">
        <f t="shared" si="20"/>
        <v>2.4403269506000003</v>
      </c>
    </row>
    <row r="313" spans="1:12" x14ac:dyDescent="0.2">
      <c r="B313" t="s">
        <v>48</v>
      </c>
      <c r="C313" s="28">
        <v>1</v>
      </c>
      <c r="D313">
        <v>1</v>
      </c>
      <c r="E313">
        <v>50</v>
      </c>
      <c r="F313" t="s">
        <v>370</v>
      </c>
      <c r="G313" t="s">
        <v>790</v>
      </c>
      <c r="H313" t="s">
        <v>1071</v>
      </c>
      <c r="I313">
        <f t="shared" ref="I313:I376" si="21">C313*D313*E313</f>
        <v>50</v>
      </c>
      <c r="J313">
        <f t="shared" si="19"/>
        <v>22.6796185</v>
      </c>
      <c r="K313">
        <v>0.26900000000000002</v>
      </c>
      <c r="L313">
        <f t="shared" si="20"/>
        <v>6.1008173765000002</v>
      </c>
    </row>
    <row r="314" spans="1:12" x14ac:dyDescent="0.2">
      <c r="B314" t="s">
        <v>48</v>
      </c>
      <c r="C314" s="28">
        <v>2</v>
      </c>
      <c r="D314">
        <v>1</v>
      </c>
      <c r="E314">
        <v>20</v>
      </c>
      <c r="F314" t="s">
        <v>189</v>
      </c>
      <c r="G314" t="s">
        <v>790</v>
      </c>
      <c r="H314" t="s">
        <v>1071</v>
      </c>
      <c r="I314">
        <f t="shared" si="21"/>
        <v>40</v>
      </c>
      <c r="J314">
        <f t="shared" si="19"/>
        <v>18.143694800000002</v>
      </c>
      <c r="K314">
        <v>0.26900000000000002</v>
      </c>
      <c r="L314">
        <f t="shared" si="20"/>
        <v>4.8806539012000005</v>
      </c>
    </row>
    <row r="315" spans="1:12" x14ac:dyDescent="0.2">
      <c r="A315" s="28"/>
      <c r="B315" t="s">
        <v>48</v>
      </c>
      <c r="C315" s="28">
        <v>1</v>
      </c>
      <c r="D315">
        <v>1</v>
      </c>
      <c r="E315">
        <f>24/16</f>
        <v>1.5</v>
      </c>
      <c r="F315" t="s">
        <v>314</v>
      </c>
      <c r="G315" t="s">
        <v>804</v>
      </c>
      <c r="H315" t="s">
        <v>1071</v>
      </c>
      <c r="I315">
        <f t="shared" si="21"/>
        <v>1.5</v>
      </c>
      <c r="J315">
        <f t="shared" si="19"/>
        <v>0.68038855500000006</v>
      </c>
      <c r="K315">
        <v>8.5000000000000006E-2</v>
      </c>
      <c r="L315">
        <f t="shared" si="20"/>
        <v>5.783302717500001E-2</v>
      </c>
    </row>
    <row r="316" spans="1:12" x14ac:dyDescent="0.2">
      <c r="B316" t="s">
        <v>48</v>
      </c>
      <c r="C316" s="28">
        <v>1</v>
      </c>
      <c r="D316">
        <v>1</v>
      </c>
      <c r="E316">
        <f>24/16</f>
        <v>1.5</v>
      </c>
      <c r="F316" t="s">
        <v>314</v>
      </c>
      <c r="G316" t="s">
        <v>824</v>
      </c>
      <c r="H316" t="s">
        <v>1071</v>
      </c>
      <c r="I316">
        <f t="shared" si="21"/>
        <v>1.5</v>
      </c>
      <c r="J316">
        <f t="shared" si="19"/>
        <v>0.68038855500000006</v>
      </c>
      <c r="K316">
        <v>8.5000000000000006E-2</v>
      </c>
      <c r="L316">
        <f t="shared" si="20"/>
        <v>5.783302717500001E-2</v>
      </c>
    </row>
    <row r="317" spans="1:12" x14ac:dyDescent="0.2">
      <c r="B317" t="s">
        <v>48</v>
      </c>
      <c r="C317" s="28">
        <v>2</v>
      </c>
      <c r="D317">
        <v>1</v>
      </c>
      <c r="E317">
        <f>24/16</f>
        <v>1.5</v>
      </c>
      <c r="F317" t="s">
        <v>314</v>
      </c>
      <c r="G317" t="s">
        <v>824</v>
      </c>
      <c r="H317" t="s">
        <v>1071</v>
      </c>
      <c r="I317">
        <f t="shared" si="21"/>
        <v>3</v>
      </c>
      <c r="J317">
        <f t="shared" si="19"/>
        <v>1.3607771100000001</v>
      </c>
      <c r="K317">
        <v>8.5000000000000006E-2</v>
      </c>
      <c r="L317">
        <f t="shared" si="20"/>
        <v>0.11566605435000002</v>
      </c>
    </row>
    <row r="318" spans="1:12" x14ac:dyDescent="0.2">
      <c r="A318" s="4">
        <v>43400</v>
      </c>
      <c r="B318" t="s">
        <v>48</v>
      </c>
      <c r="C318" s="28">
        <v>28</v>
      </c>
      <c r="D318">
        <v>1</v>
      </c>
      <c r="E318">
        <f t="shared" ref="E318:E323" si="22">88*0.288806</f>
        <v>25.414928</v>
      </c>
      <c r="F318" t="s">
        <v>55</v>
      </c>
      <c r="G318" t="s">
        <v>55</v>
      </c>
      <c r="H318" t="s">
        <v>1071</v>
      </c>
      <c r="I318">
        <f t="shared" si="21"/>
        <v>711.61798399999998</v>
      </c>
      <c r="J318">
        <f t="shared" si="19"/>
        <v>322.78448789718209</v>
      </c>
      <c r="K318">
        <v>0.29399999999999998</v>
      </c>
      <c r="L318">
        <f t="shared" si="20"/>
        <v>94.898639441771522</v>
      </c>
    </row>
    <row r="319" spans="1:12" x14ac:dyDescent="0.2">
      <c r="A319" s="4">
        <v>43402</v>
      </c>
      <c r="B319" t="s">
        <v>48</v>
      </c>
      <c r="C319" s="28">
        <v>25</v>
      </c>
      <c r="D319">
        <v>1</v>
      </c>
      <c r="E319">
        <f t="shared" si="22"/>
        <v>25.414928</v>
      </c>
      <c r="F319" t="s">
        <v>55</v>
      </c>
      <c r="G319" t="s">
        <v>55</v>
      </c>
      <c r="H319" t="s">
        <v>1071</v>
      </c>
      <c r="I319">
        <f t="shared" si="21"/>
        <v>635.3732</v>
      </c>
      <c r="J319">
        <f t="shared" si="19"/>
        <v>288.20043562248401</v>
      </c>
      <c r="K319">
        <v>0.29399999999999998</v>
      </c>
      <c r="L319">
        <f t="shared" si="20"/>
        <v>84.73092807301029</v>
      </c>
    </row>
    <row r="320" spans="1:12" x14ac:dyDescent="0.2">
      <c r="A320" s="4">
        <v>43403</v>
      </c>
      <c r="B320" t="s">
        <v>48</v>
      </c>
      <c r="C320" s="28">
        <v>25</v>
      </c>
      <c r="D320">
        <v>1</v>
      </c>
      <c r="E320">
        <f t="shared" si="22"/>
        <v>25.414928</v>
      </c>
      <c r="F320" t="s">
        <v>55</v>
      </c>
      <c r="G320" t="s">
        <v>55</v>
      </c>
      <c r="H320" t="s">
        <v>1071</v>
      </c>
      <c r="I320">
        <f t="shared" si="21"/>
        <v>635.3732</v>
      </c>
      <c r="J320">
        <f t="shared" si="19"/>
        <v>288.20043562248401</v>
      </c>
      <c r="K320">
        <v>0.29399999999999998</v>
      </c>
      <c r="L320">
        <f t="shared" si="20"/>
        <v>84.73092807301029</v>
      </c>
    </row>
    <row r="321" spans="1:12" x14ac:dyDescent="0.2">
      <c r="A321" s="4">
        <v>43404</v>
      </c>
      <c r="B321" t="s">
        <v>48</v>
      </c>
      <c r="C321" s="28">
        <v>17</v>
      </c>
      <c r="D321">
        <v>1</v>
      </c>
      <c r="E321">
        <f t="shared" si="22"/>
        <v>25.414928</v>
      </c>
      <c r="F321" t="s">
        <v>55</v>
      </c>
      <c r="G321" t="s">
        <v>55</v>
      </c>
      <c r="H321" t="s">
        <v>1071</v>
      </c>
      <c r="I321">
        <f t="shared" si="21"/>
        <v>432.05377599999997</v>
      </c>
      <c r="J321">
        <f t="shared" si="19"/>
        <v>195.9762962232891</v>
      </c>
      <c r="K321">
        <v>0.29399999999999998</v>
      </c>
      <c r="L321">
        <f t="shared" si="20"/>
        <v>57.617031089646993</v>
      </c>
    </row>
    <row r="322" spans="1:12" x14ac:dyDescent="0.2">
      <c r="A322" s="4">
        <v>43405</v>
      </c>
      <c r="B322" t="s">
        <v>48</v>
      </c>
      <c r="C322" s="28">
        <v>16</v>
      </c>
      <c r="D322">
        <v>1</v>
      </c>
      <c r="E322">
        <f t="shared" si="22"/>
        <v>25.414928</v>
      </c>
      <c r="F322" t="s">
        <v>55</v>
      </c>
      <c r="G322" t="s">
        <v>55</v>
      </c>
      <c r="H322" t="s">
        <v>1071</v>
      </c>
      <c r="I322">
        <f t="shared" si="21"/>
        <v>406.638848</v>
      </c>
      <c r="J322">
        <f t="shared" si="19"/>
        <v>184.44827879838977</v>
      </c>
      <c r="K322">
        <v>0.29399999999999998</v>
      </c>
      <c r="L322">
        <f t="shared" si="20"/>
        <v>54.227793966726587</v>
      </c>
    </row>
    <row r="323" spans="1:12" x14ac:dyDescent="0.2">
      <c r="A323" s="10">
        <v>43399</v>
      </c>
      <c r="B323" s="8" t="s">
        <v>48</v>
      </c>
      <c r="C323" s="35">
        <v>25</v>
      </c>
      <c r="D323">
        <v>1</v>
      </c>
      <c r="E323">
        <f t="shared" si="22"/>
        <v>25.414928</v>
      </c>
      <c r="F323" s="8" t="s">
        <v>55</v>
      </c>
      <c r="G323" s="8" t="s">
        <v>55</v>
      </c>
      <c r="H323" t="s">
        <v>1071</v>
      </c>
      <c r="I323">
        <f t="shared" si="21"/>
        <v>635.3732</v>
      </c>
      <c r="J323">
        <f t="shared" ref="J323:J386" si="23">CONVERT(I323,"lbm","kg")</f>
        <v>288.20043562248401</v>
      </c>
      <c r="K323">
        <v>0.29399999999999998</v>
      </c>
      <c r="L323">
        <f t="shared" ref="L323:L386" si="24">J323*K323</f>
        <v>84.73092807301029</v>
      </c>
    </row>
    <row r="324" spans="1:12" x14ac:dyDescent="0.2">
      <c r="A324" s="4">
        <v>43434</v>
      </c>
      <c r="B324" t="s">
        <v>538</v>
      </c>
      <c r="C324">
        <v>1</v>
      </c>
      <c r="D324">
        <v>6</v>
      </c>
      <c r="E324">
        <v>5</v>
      </c>
      <c r="F324" t="s">
        <v>439</v>
      </c>
      <c r="G324" s="14" t="s">
        <v>904</v>
      </c>
      <c r="H324" s="9" t="s">
        <v>1071</v>
      </c>
      <c r="I324">
        <f t="shared" si="21"/>
        <v>30</v>
      </c>
      <c r="J324">
        <f t="shared" si="23"/>
        <v>13.607771100000001</v>
      </c>
      <c r="L324">
        <f t="shared" si="24"/>
        <v>0</v>
      </c>
    </row>
    <row r="325" spans="1:12" x14ac:dyDescent="0.2">
      <c r="A325" s="4">
        <v>43437</v>
      </c>
      <c r="B325" t="s">
        <v>538</v>
      </c>
      <c r="C325">
        <v>1</v>
      </c>
      <c r="D325">
        <v>6</v>
      </c>
      <c r="E325">
        <v>5</v>
      </c>
      <c r="F325" t="s">
        <v>439</v>
      </c>
      <c r="G325" s="14" t="s">
        <v>904</v>
      </c>
      <c r="H325" s="9" t="s">
        <v>1071</v>
      </c>
      <c r="I325">
        <f t="shared" si="21"/>
        <v>30</v>
      </c>
      <c r="J325">
        <f t="shared" si="23"/>
        <v>13.607771100000001</v>
      </c>
      <c r="L325">
        <f t="shared" si="24"/>
        <v>0</v>
      </c>
    </row>
    <row r="326" spans="1:12" x14ac:dyDescent="0.2">
      <c r="A326" s="28"/>
      <c r="B326" t="s">
        <v>48</v>
      </c>
      <c r="C326" s="28">
        <v>1</v>
      </c>
      <c r="D326">
        <v>1</v>
      </c>
      <c r="E326">
        <f>30*(2/16)</f>
        <v>3.75</v>
      </c>
      <c r="F326" t="s">
        <v>316</v>
      </c>
      <c r="G326" t="s">
        <v>814</v>
      </c>
      <c r="H326" t="s">
        <v>1071</v>
      </c>
      <c r="I326">
        <f t="shared" si="21"/>
        <v>3.75</v>
      </c>
      <c r="J326">
        <f t="shared" si="23"/>
        <v>1.7009713875000001</v>
      </c>
      <c r="K326">
        <v>0.23200000000000001</v>
      </c>
      <c r="L326">
        <f t="shared" si="24"/>
        <v>0.39462536190000003</v>
      </c>
    </row>
    <row r="327" spans="1:12" x14ac:dyDescent="0.2">
      <c r="B327" t="s">
        <v>48</v>
      </c>
      <c r="C327" s="28">
        <v>1</v>
      </c>
      <c r="D327">
        <v>1</v>
      </c>
      <c r="E327">
        <f>30*(2/16)</f>
        <v>3.75</v>
      </c>
      <c r="F327" t="s">
        <v>316</v>
      </c>
      <c r="G327" t="s">
        <v>814</v>
      </c>
      <c r="H327" t="s">
        <v>1071</v>
      </c>
      <c r="I327">
        <f t="shared" si="21"/>
        <v>3.75</v>
      </c>
      <c r="J327">
        <f t="shared" si="23"/>
        <v>1.7009713875000001</v>
      </c>
      <c r="K327">
        <v>0.23200000000000001</v>
      </c>
      <c r="L327">
        <f t="shared" si="24"/>
        <v>0.39462536190000003</v>
      </c>
    </row>
    <row r="328" spans="1:12" x14ac:dyDescent="0.2">
      <c r="A328" s="4">
        <v>43434</v>
      </c>
      <c r="B328" t="s">
        <v>538</v>
      </c>
      <c r="C328">
        <v>4</v>
      </c>
      <c r="D328">
        <v>2</v>
      </c>
      <c r="E328">
        <v>10</v>
      </c>
      <c r="F328" t="s">
        <v>458</v>
      </c>
      <c r="G328" s="6" t="s">
        <v>875</v>
      </c>
      <c r="H328" s="9" t="s">
        <v>1071</v>
      </c>
      <c r="I328">
        <f t="shared" si="21"/>
        <v>80</v>
      </c>
      <c r="J328">
        <f t="shared" si="23"/>
        <v>36.287389600000004</v>
      </c>
      <c r="K328">
        <v>5.99</v>
      </c>
      <c r="L328">
        <f t="shared" si="24"/>
        <v>217.36146370400004</v>
      </c>
    </row>
    <row r="329" spans="1:12" x14ac:dyDescent="0.2">
      <c r="A329" s="4">
        <v>43434</v>
      </c>
      <c r="B329" t="s">
        <v>538</v>
      </c>
      <c r="C329">
        <v>4</v>
      </c>
      <c r="D329">
        <v>2</v>
      </c>
      <c r="E329">
        <v>10</v>
      </c>
      <c r="F329" t="s">
        <v>461</v>
      </c>
      <c r="G329" s="6" t="s">
        <v>875</v>
      </c>
      <c r="H329" s="9" t="s">
        <v>1071</v>
      </c>
      <c r="I329">
        <f t="shared" si="21"/>
        <v>80</v>
      </c>
      <c r="J329">
        <f t="shared" si="23"/>
        <v>36.287389600000004</v>
      </c>
      <c r="K329">
        <v>5.99</v>
      </c>
      <c r="L329">
        <f t="shared" si="24"/>
        <v>217.36146370400004</v>
      </c>
    </row>
    <row r="330" spans="1:12" x14ac:dyDescent="0.2">
      <c r="A330" s="4">
        <v>43434</v>
      </c>
      <c r="B330" t="s">
        <v>538</v>
      </c>
      <c r="C330">
        <v>4</v>
      </c>
      <c r="D330">
        <v>2</v>
      </c>
      <c r="E330">
        <v>10</v>
      </c>
      <c r="F330" t="s">
        <v>462</v>
      </c>
      <c r="G330" s="6" t="s">
        <v>875</v>
      </c>
      <c r="H330" s="9" t="s">
        <v>1071</v>
      </c>
      <c r="I330">
        <f t="shared" si="21"/>
        <v>80</v>
      </c>
      <c r="J330">
        <f t="shared" si="23"/>
        <v>36.287389600000004</v>
      </c>
      <c r="K330">
        <v>5.99</v>
      </c>
      <c r="L330">
        <f t="shared" si="24"/>
        <v>217.36146370400004</v>
      </c>
    </row>
    <row r="331" spans="1:12" x14ac:dyDescent="0.2">
      <c r="A331" s="4">
        <v>43434</v>
      </c>
      <c r="B331" t="s">
        <v>538</v>
      </c>
      <c r="C331">
        <v>4</v>
      </c>
      <c r="D331">
        <v>2</v>
      </c>
      <c r="E331">
        <v>10</v>
      </c>
      <c r="F331" t="s">
        <v>566</v>
      </c>
      <c r="G331" s="6" t="s">
        <v>875</v>
      </c>
      <c r="H331" s="9" t="s">
        <v>1071</v>
      </c>
      <c r="I331">
        <f t="shared" si="21"/>
        <v>80</v>
      </c>
      <c r="J331">
        <f t="shared" si="23"/>
        <v>36.287389600000004</v>
      </c>
      <c r="K331">
        <v>5.99</v>
      </c>
      <c r="L331">
        <f t="shared" si="24"/>
        <v>217.36146370400004</v>
      </c>
    </row>
    <row r="332" spans="1:12" x14ac:dyDescent="0.2">
      <c r="A332" s="4">
        <v>43439</v>
      </c>
      <c r="B332" t="s">
        <v>538</v>
      </c>
      <c r="C332">
        <v>3</v>
      </c>
      <c r="D332">
        <v>2</v>
      </c>
      <c r="E332">
        <v>10</v>
      </c>
      <c r="F332" t="s">
        <v>458</v>
      </c>
      <c r="G332" s="6" t="s">
        <v>875</v>
      </c>
      <c r="H332" s="9" t="s">
        <v>1071</v>
      </c>
      <c r="I332">
        <f t="shared" si="21"/>
        <v>60</v>
      </c>
      <c r="J332">
        <f t="shared" si="23"/>
        <v>27.215542200000002</v>
      </c>
      <c r="K332">
        <v>5.99</v>
      </c>
      <c r="L332">
        <f t="shared" si="24"/>
        <v>163.02109777800001</v>
      </c>
    </row>
    <row r="333" spans="1:12" x14ac:dyDescent="0.2">
      <c r="A333" s="4">
        <v>43434</v>
      </c>
      <c r="B333" t="s">
        <v>538</v>
      </c>
      <c r="C333">
        <v>1</v>
      </c>
      <c r="D333">
        <v>12</v>
      </c>
      <c r="E333">
        <v>1</v>
      </c>
      <c r="F333" t="s">
        <v>560</v>
      </c>
      <c r="G333" s="6" t="s">
        <v>911</v>
      </c>
      <c r="H333" s="9" t="s">
        <v>1071</v>
      </c>
      <c r="I333">
        <f t="shared" si="21"/>
        <v>12</v>
      </c>
      <c r="J333">
        <f t="shared" si="23"/>
        <v>5.4431084400000005</v>
      </c>
      <c r="K333">
        <v>0.11799999999999999</v>
      </c>
      <c r="L333">
        <f t="shared" si="24"/>
        <v>0.64228679592000004</v>
      </c>
    </row>
    <row r="334" spans="1:12" x14ac:dyDescent="0.2">
      <c r="A334" s="4">
        <v>43439</v>
      </c>
      <c r="B334" t="s">
        <v>538</v>
      </c>
      <c r="C334">
        <v>1</v>
      </c>
      <c r="D334">
        <v>1</v>
      </c>
      <c r="E334">
        <v>20</v>
      </c>
      <c r="F334" t="s">
        <v>592</v>
      </c>
      <c r="G334" t="s">
        <v>921</v>
      </c>
      <c r="H334" s="9" t="s">
        <v>1071</v>
      </c>
      <c r="I334">
        <f t="shared" si="21"/>
        <v>20</v>
      </c>
      <c r="J334">
        <f t="shared" si="23"/>
        <v>9.0718474000000011</v>
      </c>
      <c r="K334">
        <v>0.61699999999999999</v>
      </c>
      <c r="L334">
        <f t="shared" si="24"/>
        <v>5.5973298458000009</v>
      </c>
    </row>
    <row r="335" spans="1:12" x14ac:dyDescent="0.2">
      <c r="A335" s="28"/>
      <c r="B335" t="s">
        <v>48</v>
      </c>
      <c r="C335" s="28">
        <v>1</v>
      </c>
      <c r="D335">
        <v>1</v>
      </c>
      <c r="E335">
        <v>20</v>
      </c>
      <c r="F335" t="s">
        <v>318</v>
      </c>
      <c r="G335" t="s">
        <v>1043</v>
      </c>
      <c r="H335" t="s">
        <v>1071</v>
      </c>
      <c r="I335">
        <f t="shared" si="21"/>
        <v>20</v>
      </c>
      <c r="J335">
        <f t="shared" si="23"/>
        <v>9.0718474000000011</v>
      </c>
      <c r="K335">
        <v>0.61699999999999999</v>
      </c>
      <c r="L335">
        <f t="shared" si="24"/>
        <v>5.5973298458000009</v>
      </c>
    </row>
    <row r="336" spans="1:12" x14ac:dyDescent="0.2">
      <c r="A336" s="28"/>
      <c r="B336" t="s">
        <v>48</v>
      </c>
      <c r="C336" s="28">
        <v>1</v>
      </c>
      <c r="D336">
        <v>1</v>
      </c>
      <c r="E336">
        <v>10</v>
      </c>
      <c r="F336" t="s">
        <v>319</v>
      </c>
      <c r="G336" t="s">
        <v>806</v>
      </c>
      <c r="H336" t="s">
        <v>1071</v>
      </c>
      <c r="I336">
        <f t="shared" si="21"/>
        <v>10</v>
      </c>
      <c r="J336">
        <f t="shared" si="23"/>
        <v>4.5359237000000006</v>
      </c>
      <c r="K336">
        <v>0.70099999999999996</v>
      </c>
      <c r="L336">
        <f t="shared" si="24"/>
        <v>3.1796825137</v>
      </c>
    </row>
    <row r="337" spans="1:12" x14ac:dyDescent="0.2">
      <c r="B337" t="s">
        <v>48</v>
      </c>
      <c r="C337" s="28">
        <v>4</v>
      </c>
      <c r="D337">
        <v>1</v>
      </c>
      <c r="E337">
        <v>10</v>
      </c>
      <c r="F337" t="s">
        <v>319</v>
      </c>
      <c r="G337" t="s">
        <v>806</v>
      </c>
      <c r="H337" t="s">
        <v>1071</v>
      </c>
      <c r="I337">
        <f t="shared" si="21"/>
        <v>40</v>
      </c>
      <c r="J337">
        <f t="shared" si="23"/>
        <v>18.143694800000002</v>
      </c>
      <c r="K337">
        <v>0.70099999999999996</v>
      </c>
      <c r="L337">
        <f t="shared" si="24"/>
        <v>12.7187300548</v>
      </c>
    </row>
    <row r="338" spans="1:12" x14ac:dyDescent="0.2">
      <c r="B338" t="s">
        <v>48</v>
      </c>
      <c r="C338" s="28">
        <v>3</v>
      </c>
      <c r="D338">
        <v>1</v>
      </c>
      <c r="E338">
        <v>10</v>
      </c>
      <c r="F338" t="s">
        <v>371</v>
      </c>
      <c r="G338" t="s">
        <v>806</v>
      </c>
      <c r="H338" t="s">
        <v>1071</v>
      </c>
      <c r="I338">
        <f t="shared" si="21"/>
        <v>30</v>
      </c>
      <c r="J338">
        <f t="shared" si="23"/>
        <v>13.607771100000001</v>
      </c>
      <c r="K338">
        <v>0.70099999999999996</v>
      </c>
      <c r="L338">
        <f t="shared" si="24"/>
        <v>9.5390475411000004</v>
      </c>
    </row>
    <row r="339" spans="1:12" x14ac:dyDescent="0.2">
      <c r="A339" s="4">
        <v>43434</v>
      </c>
      <c r="B339" t="s">
        <v>531</v>
      </c>
      <c r="C339">
        <v>2</v>
      </c>
      <c r="D339">
        <v>12</v>
      </c>
      <c r="E339">
        <v>2.5</v>
      </c>
      <c r="F339" t="s">
        <v>405</v>
      </c>
      <c r="G339" t="s">
        <v>891</v>
      </c>
      <c r="H339" s="9" t="s">
        <v>1071</v>
      </c>
      <c r="I339">
        <f t="shared" si="21"/>
        <v>60</v>
      </c>
      <c r="J339">
        <f t="shared" si="23"/>
        <v>27.215542200000002</v>
      </c>
      <c r="K339">
        <v>0.61699999999999999</v>
      </c>
      <c r="L339">
        <f t="shared" si="24"/>
        <v>16.791989537399999</v>
      </c>
    </row>
    <row r="340" spans="1:12" x14ac:dyDescent="0.2">
      <c r="A340" s="4">
        <v>43437</v>
      </c>
      <c r="B340" t="s">
        <v>531</v>
      </c>
      <c r="C340">
        <v>1</v>
      </c>
      <c r="D340">
        <v>12</v>
      </c>
      <c r="E340">
        <v>2.5</v>
      </c>
      <c r="F340" t="s">
        <v>405</v>
      </c>
      <c r="G340" t="s">
        <v>891</v>
      </c>
      <c r="H340" s="9" t="s">
        <v>1071</v>
      </c>
      <c r="I340">
        <f t="shared" si="21"/>
        <v>30</v>
      </c>
      <c r="J340">
        <f t="shared" si="23"/>
        <v>13.607771100000001</v>
      </c>
      <c r="K340">
        <v>0.61699999999999999</v>
      </c>
      <c r="L340">
        <f t="shared" si="24"/>
        <v>8.3959947686999996</v>
      </c>
    </row>
    <row r="341" spans="1:12" x14ac:dyDescent="0.2">
      <c r="B341" t="s">
        <v>48</v>
      </c>
      <c r="C341" s="28">
        <v>1</v>
      </c>
      <c r="D341">
        <v>1</v>
      </c>
      <c r="E341">
        <v>10</v>
      </c>
      <c r="F341" t="s">
        <v>365</v>
      </c>
      <c r="G341" t="s">
        <v>834</v>
      </c>
      <c r="H341" t="s">
        <v>1071</v>
      </c>
      <c r="I341">
        <f t="shared" si="21"/>
        <v>10</v>
      </c>
      <c r="J341">
        <f t="shared" si="23"/>
        <v>4.5359237000000006</v>
      </c>
      <c r="K341">
        <v>0.27400000000000002</v>
      </c>
      <c r="L341">
        <f t="shared" si="24"/>
        <v>1.2428430938000004</v>
      </c>
    </row>
    <row r="342" spans="1:12" x14ac:dyDescent="0.2">
      <c r="A342" s="28"/>
      <c r="B342" t="s">
        <v>48</v>
      </c>
      <c r="C342" s="28">
        <v>2</v>
      </c>
      <c r="D342">
        <v>1</v>
      </c>
      <c r="E342">
        <f>120*0.39</f>
        <v>46.800000000000004</v>
      </c>
      <c r="F342" t="s">
        <v>317</v>
      </c>
      <c r="G342" t="s">
        <v>791</v>
      </c>
      <c r="H342" t="s">
        <v>1071</v>
      </c>
      <c r="I342">
        <f t="shared" si="21"/>
        <v>93.600000000000009</v>
      </c>
      <c r="J342">
        <f t="shared" si="23"/>
        <v>42.456245832000008</v>
      </c>
      <c r="K342">
        <v>0.249</v>
      </c>
      <c r="L342">
        <f t="shared" si="24"/>
        <v>10.571605212168002</v>
      </c>
    </row>
    <row r="343" spans="1:12" x14ac:dyDescent="0.2">
      <c r="B343" t="s">
        <v>48</v>
      </c>
      <c r="C343" s="28">
        <v>2</v>
      </c>
      <c r="D343">
        <v>1</v>
      </c>
      <c r="E343">
        <v>20</v>
      </c>
      <c r="F343" t="s">
        <v>327</v>
      </c>
      <c r="G343" t="s">
        <v>792</v>
      </c>
      <c r="H343" t="s">
        <v>1071</v>
      </c>
      <c r="I343">
        <f t="shared" si="21"/>
        <v>40</v>
      </c>
      <c r="J343">
        <f t="shared" si="23"/>
        <v>18.143694800000002</v>
      </c>
      <c r="K343">
        <v>0.52500000000000002</v>
      </c>
      <c r="L343">
        <f t="shared" si="24"/>
        <v>9.525439770000002</v>
      </c>
    </row>
    <row r="344" spans="1:12" x14ac:dyDescent="0.2">
      <c r="A344" s="4">
        <v>43434</v>
      </c>
      <c r="B344" t="s">
        <v>538</v>
      </c>
      <c r="C344">
        <v>1</v>
      </c>
      <c r="D344">
        <v>12</v>
      </c>
      <c r="E344">
        <f>28/16</f>
        <v>1.75</v>
      </c>
      <c r="F344" t="s">
        <v>559</v>
      </c>
      <c r="G344" t="s">
        <v>848</v>
      </c>
      <c r="H344" s="9" t="s">
        <v>1071</v>
      </c>
      <c r="I344">
        <f t="shared" si="21"/>
        <v>21</v>
      </c>
      <c r="J344">
        <f t="shared" si="23"/>
        <v>9.5254397700000002</v>
      </c>
      <c r="K344">
        <v>0.52500000000000002</v>
      </c>
      <c r="L344">
        <f t="shared" si="24"/>
        <v>5.0008558792500004</v>
      </c>
    </row>
    <row r="345" spans="1:12" x14ac:dyDescent="0.2">
      <c r="A345" s="4">
        <v>43434</v>
      </c>
      <c r="B345" t="s">
        <v>538</v>
      </c>
      <c r="C345">
        <v>1</v>
      </c>
      <c r="D345">
        <v>3</v>
      </c>
      <c r="E345">
        <v>5</v>
      </c>
      <c r="F345" t="s">
        <v>556</v>
      </c>
      <c r="G345" t="s">
        <v>909</v>
      </c>
      <c r="H345" s="9" t="s">
        <v>1071</v>
      </c>
      <c r="I345">
        <f t="shared" si="21"/>
        <v>15</v>
      </c>
      <c r="J345">
        <f t="shared" si="23"/>
        <v>6.8038855500000004</v>
      </c>
      <c r="K345">
        <v>0.87</v>
      </c>
      <c r="L345">
        <f t="shared" si="24"/>
        <v>5.9193804285000002</v>
      </c>
    </row>
    <row r="346" spans="1:12" x14ac:dyDescent="0.2">
      <c r="A346" s="4">
        <v>43439</v>
      </c>
      <c r="B346" t="s">
        <v>538</v>
      </c>
      <c r="C346">
        <v>1</v>
      </c>
      <c r="D346">
        <v>3</v>
      </c>
      <c r="E346">
        <v>5</v>
      </c>
      <c r="F346" t="s">
        <v>556</v>
      </c>
      <c r="G346" t="s">
        <v>909</v>
      </c>
      <c r="H346" s="9" t="s">
        <v>1071</v>
      </c>
      <c r="I346">
        <f t="shared" si="21"/>
        <v>15</v>
      </c>
      <c r="J346">
        <f t="shared" si="23"/>
        <v>6.8038855500000004</v>
      </c>
      <c r="K346">
        <v>0.87</v>
      </c>
      <c r="L346">
        <f t="shared" si="24"/>
        <v>5.9193804285000002</v>
      </c>
    </row>
    <row r="347" spans="1:12" x14ac:dyDescent="0.2">
      <c r="A347" s="28"/>
      <c r="B347" t="s">
        <v>48</v>
      </c>
      <c r="C347" s="28">
        <v>2</v>
      </c>
      <c r="D347">
        <v>1</v>
      </c>
      <c r="E347">
        <f t="shared" ref="E347:E352" si="25">10/9*30</f>
        <v>33.333333333333336</v>
      </c>
      <c r="F347" t="s">
        <v>320</v>
      </c>
      <c r="G347" t="s">
        <v>801</v>
      </c>
      <c r="H347" t="s">
        <v>1071</v>
      </c>
      <c r="I347">
        <f t="shared" si="21"/>
        <v>66.666666666666671</v>
      </c>
      <c r="J347">
        <f t="shared" si="23"/>
        <v>30.239491333333337</v>
      </c>
      <c r="K347">
        <v>0.52500000000000002</v>
      </c>
      <c r="L347">
        <f t="shared" si="24"/>
        <v>15.875732950000003</v>
      </c>
    </row>
    <row r="348" spans="1:12" x14ac:dyDescent="0.2">
      <c r="B348" t="s">
        <v>48</v>
      </c>
      <c r="C348" s="28">
        <v>1</v>
      </c>
      <c r="D348">
        <v>1</v>
      </c>
      <c r="E348">
        <f t="shared" si="25"/>
        <v>33.333333333333336</v>
      </c>
      <c r="F348" t="s">
        <v>320</v>
      </c>
      <c r="G348" t="s">
        <v>827</v>
      </c>
      <c r="H348" t="s">
        <v>1071</v>
      </c>
      <c r="I348">
        <f t="shared" si="21"/>
        <v>33.333333333333336</v>
      </c>
      <c r="J348">
        <f t="shared" si="23"/>
        <v>15.119745666666669</v>
      </c>
      <c r="K348">
        <v>0.52500000000000002</v>
      </c>
      <c r="L348">
        <f t="shared" si="24"/>
        <v>7.9378664750000016</v>
      </c>
    </row>
    <row r="349" spans="1:12" x14ac:dyDescent="0.2">
      <c r="B349" t="s">
        <v>48</v>
      </c>
      <c r="C349" s="28">
        <v>2</v>
      </c>
      <c r="D349">
        <v>1</v>
      </c>
      <c r="E349">
        <f t="shared" si="25"/>
        <v>33.333333333333336</v>
      </c>
      <c r="F349" t="s">
        <v>320</v>
      </c>
      <c r="G349" t="s">
        <v>827</v>
      </c>
      <c r="H349" t="s">
        <v>1071</v>
      </c>
      <c r="I349">
        <f t="shared" si="21"/>
        <v>66.666666666666671</v>
      </c>
      <c r="J349">
        <f t="shared" si="23"/>
        <v>30.239491333333337</v>
      </c>
      <c r="K349">
        <v>0.52500000000000002</v>
      </c>
      <c r="L349">
        <f t="shared" si="24"/>
        <v>15.875732950000003</v>
      </c>
    </row>
    <row r="350" spans="1:12" x14ac:dyDescent="0.2">
      <c r="B350" t="s">
        <v>48</v>
      </c>
      <c r="C350" s="28">
        <v>2</v>
      </c>
      <c r="D350">
        <v>1</v>
      </c>
      <c r="E350">
        <f t="shared" si="25"/>
        <v>33.333333333333336</v>
      </c>
      <c r="F350" t="s">
        <v>320</v>
      </c>
      <c r="G350" t="s">
        <v>827</v>
      </c>
      <c r="H350" t="s">
        <v>1071</v>
      </c>
      <c r="I350">
        <f t="shared" si="21"/>
        <v>66.666666666666671</v>
      </c>
      <c r="J350">
        <f t="shared" si="23"/>
        <v>30.239491333333337</v>
      </c>
      <c r="K350">
        <v>0.52500000000000002</v>
      </c>
      <c r="L350">
        <f t="shared" si="24"/>
        <v>15.875732950000003</v>
      </c>
    </row>
    <row r="351" spans="1:12" x14ac:dyDescent="0.2">
      <c r="B351" t="s">
        <v>48</v>
      </c>
      <c r="C351" s="28">
        <v>2</v>
      </c>
      <c r="D351">
        <v>1</v>
      </c>
      <c r="E351">
        <f t="shared" si="25"/>
        <v>33.333333333333336</v>
      </c>
      <c r="F351" t="s">
        <v>320</v>
      </c>
      <c r="G351" t="s">
        <v>827</v>
      </c>
      <c r="H351" t="s">
        <v>1071</v>
      </c>
      <c r="I351">
        <f t="shared" si="21"/>
        <v>66.666666666666671</v>
      </c>
      <c r="J351">
        <f t="shared" si="23"/>
        <v>30.239491333333337</v>
      </c>
      <c r="K351">
        <v>0.52500000000000002</v>
      </c>
      <c r="L351">
        <f t="shared" si="24"/>
        <v>15.875732950000003</v>
      </c>
    </row>
    <row r="352" spans="1:12" x14ac:dyDescent="0.2">
      <c r="B352" t="s">
        <v>48</v>
      </c>
      <c r="C352" s="28">
        <v>2</v>
      </c>
      <c r="D352">
        <v>1</v>
      </c>
      <c r="E352">
        <f t="shared" si="25"/>
        <v>33.333333333333336</v>
      </c>
      <c r="F352" t="s">
        <v>372</v>
      </c>
      <c r="G352" t="s">
        <v>827</v>
      </c>
      <c r="H352" t="s">
        <v>1071</v>
      </c>
      <c r="I352">
        <f t="shared" si="21"/>
        <v>66.666666666666671</v>
      </c>
      <c r="J352">
        <f t="shared" si="23"/>
        <v>30.239491333333337</v>
      </c>
      <c r="K352">
        <v>0.52500000000000002</v>
      </c>
      <c r="L352">
        <f t="shared" si="24"/>
        <v>15.875732950000003</v>
      </c>
    </row>
    <row r="353" spans="1:12" x14ac:dyDescent="0.2">
      <c r="B353" t="s">
        <v>48</v>
      </c>
      <c r="C353" s="28">
        <v>2</v>
      </c>
      <c r="D353">
        <v>1</v>
      </c>
      <c r="E353">
        <v>20</v>
      </c>
      <c r="F353" t="s">
        <v>168</v>
      </c>
      <c r="G353" t="s">
        <v>801</v>
      </c>
      <c r="H353" t="s">
        <v>1071</v>
      </c>
      <c r="I353">
        <f t="shared" si="21"/>
        <v>40</v>
      </c>
      <c r="J353">
        <f t="shared" si="23"/>
        <v>18.143694800000002</v>
      </c>
      <c r="K353">
        <v>0.52500000000000002</v>
      </c>
      <c r="L353">
        <f t="shared" si="24"/>
        <v>9.525439770000002</v>
      </c>
    </row>
    <row r="354" spans="1:12" x14ac:dyDescent="0.2">
      <c r="A354" s="4">
        <v>43434</v>
      </c>
      <c r="B354" t="s">
        <v>538</v>
      </c>
      <c r="C354">
        <v>2</v>
      </c>
      <c r="D354">
        <v>12</v>
      </c>
      <c r="E354">
        <f>27/16</f>
        <v>1.6875</v>
      </c>
      <c r="F354" t="s">
        <v>555</v>
      </c>
      <c r="G354" t="s">
        <v>908</v>
      </c>
      <c r="H354" s="9" t="s">
        <v>1071</v>
      </c>
      <c r="I354">
        <f t="shared" si="21"/>
        <v>40.5</v>
      </c>
      <c r="J354">
        <f t="shared" si="23"/>
        <v>18.370490985</v>
      </c>
      <c r="K354">
        <v>0.79900000000000004</v>
      </c>
      <c r="L354">
        <f t="shared" si="24"/>
        <v>14.678022297015001</v>
      </c>
    </row>
    <row r="355" spans="1:12" x14ac:dyDescent="0.2">
      <c r="A355" s="4">
        <v>43434</v>
      </c>
      <c r="B355" t="s">
        <v>538</v>
      </c>
      <c r="C355">
        <v>2</v>
      </c>
      <c r="D355">
        <v>12</v>
      </c>
      <c r="E355">
        <f>7/16</f>
        <v>0.4375</v>
      </c>
      <c r="F355" t="s">
        <v>448</v>
      </c>
      <c r="G355" t="s">
        <v>908</v>
      </c>
      <c r="H355" s="9" t="s">
        <v>1071</v>
      </c>
      <c r="I355">
        <f t="shared" si="21"/>
        <v>10.5</v>
      </c>
      <c r="J355">
        <f t="shared" si="23"/>
        <v>4.7627198850000001</v>
      </c>
      <c r="K355">
        <v>0.79900000000000004</v>
      </c>
      <c r="L355">
        <f t="shared" si="24"/>
        <v>3.8054131881150002</v>
      </c>
    </row>
    <row r="356" spans="1:12" x14ac:dyDescent="0.2">
      <c r="A356" s="4">
        <v>43439</v>
      </c>
      <c r="B356" t="s">
        <v>538</v>
      </c>
      <c r="C356">
        <v>1</v>
      </c>
      <c r="D356">
        <v>4</v>
      </c>
      <c r="E356">
        <v>8.35</v>
      </c>
      <c r="F356" t="s">
        <v>541</v>
      </c>
      <c r="G356" t="s">
        <v>908</v>
      </c>
      <c r="H356" s="9" t="s">
        <v>1071</v>
      </c>
      <c r="I356">
        <f t="shared" si="21"/>
        <v>33.4</v>
      </c>
      <c r="J356">
        <f t="shared" si="23"/>
        <v>15.149985158</v>
      </c>
      <c r="K356">
        <v>0.79900000000000004</v>
      </c>
      <c r="L356">
        <f t="shared" si="24"/>
        <v>12.104838141242</v>
      </c>
    </row>
    <row r="357" spans="1:12" x14ac:dyDescent="0.2">
      <c r="A357" s="4">
        <v>43434</v>
      </c>
      <c r="B357" t="s">
        <v>538</v>
      </c>
      <c r="C357">
        <v>1</v>
      </c>
      <c r="D357">
        <v>4</v>
      </c>
      <c r="E357">
        <v>8.35</v>
      </c>
      <c r="F357" t="s">
        <v>541</v>
      </c>
      <c r="G357" t="s">
        <v>937</v>
      </c>
      <c r="H357" s="9" t="s">
        <v>1071</v>
      </c>
      <c r="I357">
        <f t="shared" si="21"/>
        <v>33.4</v>
      </c>
      <c r="J357">
        <f t="shared" si="23"/>
        <v>15.149985158</v>
      </c>
      <c r="K357">
        <v>0.79900000000000004</v>
      </c>
      <c r="L357">
        <f t="shared" si="24"/>
        <v>12.104838141242</v>
      </c>
    </row>
    <row r="358" spans="1:12" x14ac:dyDescent="0.2">
      <c r="A358" s="28"/>
      <c r="B358" t="s">
        <v>48</v>
      </c>
      <c r="C358" s="28">
        <v>1</v>
      </c>
      <c r="D358">
        <v>1</v>
      </c>
      <c r="E358">
        <f>10/9*30</f>
        <v>33.333333333333336</v>
      </c>
      <c r="F358" t="s">
        <v>321</v>
      </c>
      <c r="G358" t="s">
        <v>802</v>
      </c>
      <c r="H358" t="s">
        <v>1071</v>
      </c>
      <c r="I358">
        <f t="shared" si="21"/>
        <v>33.333333333333336</v>
      </c>
      <c r="J358">
        <f t="shared" si="23"/>
        <v>15.119745666666669</v>
      </c>
      <c r="K358">
        <v>0.52500000000000002</v>
      </c>
      <c r="L358">
        <f t="shared" si="24"/>
        <v>7.9378664750000016</v>
      </c>
    </row>
    <row r="359" spans="1:12" x14ac:dyDescent="0.2">
      <c r="B359" t="s">
        <v>48</v>
      </c>
      <c r="C359" s="28">
        <v>1</v>
      </c>
      <c r="D359">
        <v>1</v>
      </c>
      <c r="E359">
        <f>10/9*30</f>
        <v>33.333333333333336</v>
      </c>
      <c r="F359" t="s">
        <v>321</v>
      </c>
      <c r="G359" t="s">
        <v>828</v>
      </c>
      <c r="H359" t="s">
        <v>1071</v>
      </c>
      <c r="I359">
        <f t="shared" si="21"/>
        <v>33.333333333333336</v>
      </c>
      <c r="J359">
        <f t="shared" si="23"/>
        <v>15.119745666666669</v>
      </c>
      <c r="K359">
        <v>0.52500000000000002</v>
      </c>
      <c r="L359">
        <f t="shared" si="24"/>
        <v>7.9378664750000016</v>
      </c>
    </row>
    <row r="360" spans="1:12" x14ac:dyDescent="0.2">
      <c r="B360" t="s">
        <v>48</v>
      </c>
      <c r="C360" s="28">
        <v>1</v>
      </c>
      <c r="D360">
        <v>1</v>
      </c>
      <c r="E360">
        <f>10/9*30</f>
        <v>33.333333333333336</v>
      </c>
      <c r="F360" t="s">
        <v>321</v>
      </c>
      <c r="G360" t="s">
        <v>828</v>
      </c>
      <c r="H360" t="s">
        <v>1071</v>
      </c>
      <c r="I360">
        <f t="shared" si="21"/>
        <v>33.333333333333336</v>
      </c>
      <c r="J360">
        <f t="shared" si="23"/>
        <v>15.119745666666669</v>
      </c>
      <c r="K360">
        <v>0.52500000000000002</v>
      </c>
      <c r="L360">
        <f t="shared" si="24"/>
        <v>7.9378664750000016</v>
      </c>
    </row>
    <row r="361" spans="1:12" x14ac:dyDescent="0.2">
      <c r="B361" t="s">
        <v>48</v>
      </c>
      <c r="C361" s="28">
        <v>2</v>
      </c>
      <c r="D361">
        <v>1</v>
      </c>
      <c r="E361">
        <f>10/9*30</f>
        <v>33.333333333333336</v>
      </c>
      <c r="F361" t="s">
        <v>373</v>
      </c>
      <c r="G361" t="s">
        <v>828</v>
      </c>
      <c r="H361" t="s">
        <v>1071</v>
      </c>
      <c r="I361">
        <f t="shared" si="21"/>
        <v>66.666666666666671</v>
      </c>
      <c r="J361">
        <f t="shared" si="23"/>
        <v>30.239491333333337</v>
      </c>
      <c r="K361">
        <v>0.52500000000000002</v>
      </c>
      <c r="L361">
        <f t="shared" si="24"/>
        <v>15.875732950000003</v>
      </c>
    </row>
    <row r="362" spans="1:12" x14ac:dyDescent="0.2">
      <c r="B362" t="s">
        <v>48</v>
      </c>
      <c r="C362" s="28">
        <v>3</v>
      </c>
      <c r="D362">
        <v>1</v>
      </c>
      <c r="E362">
        <f>10*2</f>
        <v>20</v>
      </c>
      <c r="F362" t="s">
        <v>341</v>
      </c>
      <c r="G362" t="s">
        <v>793</v>
      </c>
      <c r="H362" t="s">
        <v>1071</v>
      </c>
      <c r="I362">
        <f t="shared" si="21"/>
        <v>60</v>
      </c>
      <c r="J362">
        <f t="shared" si="23"/>
        <v>27.215542200000002</v>
      </c>
      <c r="K362">
        <v>0.91400000000000003</v>
      </c>
      <c r="L362">
        <f t="shared" si="24"/>
        <v>24.875005570800003</v>
      </c>
    </row>
    <row r="363" spans="1:12" x14ac:dyDescent="0.2">
      <c r="B363" t="s">
        <v>48</v>
      </c>
      <c r="C363" s="28">
        <v>7</v>
      </c>
      <c r="D363">
        <v>1</v>
      </c>
      <c r="E363">
        <f>10*2</f>
        <v>20</v>
      </c>
      <c r="F363" t="s">
        <v>341</v>
      </c>
      <c r="G363" t="s">
        <v>793</v>
      </c>
      <c r="H363" t="s">
        <v>1071</v>
      </c>
      <c r="I363">
        <f t="shared" si="21"/>
        <v>140</v>
      </c>
      <c r="J363">
        <f t="shared" si="23"/>
        <v>63.502931800000006</v>
      </c>
      <c r="K363">
        <v>0.91400000000000003</v>
      </c>
      <c r="L363">
        <f t="shared" si="24"/>
        <v>58.041679665200007</v>
      </c>
    </row>
    <row r="364" spans="1:12" x14ac:dyDescent="0.2">
      <c r="B364" t="s">
        <v>48</v>
      </c>
      <c r="C364" s="28">
        <v>8</v>
      </c>
      <c r="D364">
        <v>1</v>
      </c>
      <c r="E364">
        <f>10*2</f>
        <v>20</v>
      </c>
      <c r="F364" t="s">
        <v>374</v>
      </c>
      <c r="G364" t="s">
        <v>793</v>
      </c>
      <c r="H364" t="s">
        <v>1071</v>
      </c>
      <c r="I364">
        <f t="shared" si="21"/>
        <v>160</v>
      </c>
      <c r="J364">
        <f t="shared" si="23"/>
        <v>72.574779200000009</v>
      </c>
      <c r="K364">
        <v>0.91400000000000003</v>
      </c>
      <c r="L364">
        <f t="shared" si="24"/>
        <v>66.333348188800016</v>
      </c>
    </row>
    <row r="365" spans="1:12" x14ac:dyDescent="0.2">
      <c r="A365" s="4">
        <v>43399</v>
      </c>
      <c r="B365" t="s">
        <v>13</v>
      </c>
      <c r="C365" s="28">
        <v>1</v>
      </c>
      <c r="D365">
        <v>1</v>
      </c>
      <c r="E365">
        <v>100</v>
      </c>
      <c r="F365" t="s">
        <v>19</v>
      </c>
      <c r="G365" t="s">
        <v>15</v>
      </c>
      <c r="H365" t="s">
        <v>1072</v>
      </c>
      <c r="I365">
        <f t="shared" si="21"/>
        <v>100</v>
      </c>
      <c r="J365">
        <f t="shared" si="23"/>
        <v>45.359237</v>
      </c>
      <c r="K365">
        <v>5.56</v>
      </c>
      <c r="L365">
        <f t="shared" si="24"/>
        <v>252.19735771999999</v>
      </c>
    </row>
    <row r="366" spans="1:12" x14ac:dyDescent="0.2">
      <c r="A366" s="4">
        <v>43399</v>
      </c>
      <c r="B366" t="s">
        <v>13</v>
      </c>
      <c r="C366" s="28">
        <v>1</v>
      </c>
      <c r="D366">
        <v>1</v>
      </c>
      <c r="E366">
        <v>40</v>
      </c>
      <c r="F366" t="s">
        <v>14</v>
      </c>
      <c r="G366" t="s">
        <v>15</v>
      </c>
      <c r="H366" t="s">
        <v>1072</v>
      </c>
      <c r="I366">
        <f t="shared" si="21"/>
        <v>40</v>
      </c>
      <c r="J366">
        <f t="shared" si="23"/>
        <v>18.143694800000002</v>
      </c>
      <c r="K366">
        <v>5.56</v>
      </c>
      <c r="L366">
        <f t="shared" si="24"/>
        <v>100.878943088</v>
      </c>
    </row>
    <row r="367" spans="1:12" x14ac:dyDescent="0.2">
      <c r="A367" s="4">
        <v>43399</v>
      </c>
      <c r="B367" t="s">
        <v>13</v>
      </c>
      <c r="C367" s="28">
        <v>1</v>
      </c>
      <c r="D367">
        <v>1</v>
      </c>
      <c r="E367">
        <v>100</v>
      </c>
      <c r="F367" t="s">
        <v>20</v>
      </c>
      <c r="G367" t="s">
        <v>15</v>
      </c>
      <c r="H367" t="s">
        <v>1072</v>
      </c>
      <c r="I367">
        <f t="shared" si="21"/>
        <v>100</v>
      </c>
      <c r="J367">
        <f t="shared" si="23"/>
        <v>45.359237</v>
      </c>
      <c r="K367">
        <v>5.56</v>
      </c>
      <c r="L367">
        <f t="shared" si="24"/>
        <v>252.19735771999999</v>
      </c>
    </row>
    <row r="368" spans="1:12" x14ac:dyDescent="0.2">
      <c r="A368" s="4">
        <v>43399</v>
      </c>
      <c r="B368" t="s">
        <v>13</v>
      </c>
      <c r="C368" s="28">
        <v>1</v>
      </c>
      <c r="D368">
        <v>1</v>
      </c>
      <c r="E368">
        <v>40</v>
      </c>
      <c r="F368" t="s">
        <v>285</v>
      </c>
      <c r="G368" t="s">
        <v>15</v>
      </c>
      <c r="H368" t="s">
        <v>1072</v>
      </c>
      <c r="I368">
        <f t="shared" si="21"/>
        <v>40</v>
      </c>
      <c r="J368">
        <f t="shared" si="23"/>
        <v>18.143694800000002</v>
      </c>
      <c r="K368">
        <v>5.56</v>
      </c>
      <c r="L368">
        <f t="shared" si="24"/>
        <v>100.878943088</v>
      </c>
    </row>
    <row r="369" spans="1:12" x14ac:dyDescent="0.2">
      <c r="A369" s="4">
        <v>43399</v>
      </c>
      <c r="B369" t="s">
        <v>13</v>
      </c>
      <c r="C369" s="28">
        <v>1</v>
      </c>
      <c r="D369">
        <v>1</v>
      </c>
      <c r="E369">
        <v>303.95</v>
      </c>
      <c r="F369" t="s">
        <v>286</v>
      </c>
      <c r="G369" t="s">
        <v>15</v>
      </c>
      <c r="H369" t="s">
        <v>1072</v>
      </c>
      <c r="I369">
        <f t="shared" si="21"/>
        <v>303.95</v>
      </c>
      <c r="J369">
        <f t="shared" si="23"/>
        <v>137.8694008615</v>
      </c>
      <c r="K369">
        <v>5.56</v>
      </c>
      <c r="L369">
        <f t="shared" si="24"/>
        <v>766.55386878993988</v>
      </c>
    </row>
    <row r="370" spans="1:12" x14ac:dyDescent="0.2">
      <c r="A370" s="4">
        <v>43399</v>
      </c>
      <c r="B370" t="s">
        <v>13</v>
      </c>
      <c r="C370" s="28">
        <v>1</v>
      </c>
      <c r="D370">
        <v>1</v>
      </c>
      <c r="E370">
        <v>307.60000000000002</v>
      </c>
      <c r="F370" t="s">
        <v>287</v>
      </c>
      <c r="G370" t="s">
        <v>15</v>
      </c>
      <c r="H370" t="s">
        <v>1072</v>
      </c>
      <c r="I370">
        <f t="shared" si="21"/>
        <v>307.60000000000002</v>
      </c>
      <c r="J370">
        <f t="shared" si="23"/>
        <v>139.52501301200002</v>
      </c>
      <c r="K370">
        <v>5.56</v>
      </c>
      <c r="L370">
        <f t="shared" si="24"/>
        <v>775.75907234672002</v>
      </c>
    </row>
    <row r="371" spans="1:12" x14ac:dyDescent="0.2">
      <c r="A371" s="4">
        <v>43399</v>
      </c>
      <c r="B371" t="s">
        <v>13</v>
      </c>
      <c r="C371" s="28">
        <v>1</v>
      </c>
      <c r="D371">
        <v>1</v>
      </c>
      <c r="E371">
        <v>60</v>
      </c>
      <c r="F371" t="s">
        <v>288</v>
      </c>
      <c r="G371" t="s">
        <v>15</v>
      </c>
      <c r="H371" t="s">
        <v>1072</v>
      </c>
      <c r="I371">
        <f t="shared" si="21"/>
        <v>60</v>
      </c>
      <c r="J371">
        <f t="shared" si="23"/>
        <v>27.215542200000002</v>
      </c>
      <c r="K371">
        <v>5.56</v>
      </c>
      <c r="L371">
        <f t="shared" si="24"/>
        <v>151.31841463199999</v>
      </c>
    </row>
    <row r="372" spans="1:12" x14ac:dyDescent="0.2">
      <c r="A372" s="4">
        <v>43399</v>
      </c>
      <c r="B372" t="s">
        <v>13</v>
      </c>
      <c r="C372" s="28">
        <v>1</v>
      </c>
      <c r="D372">
        <v>1</v>
      </c>
      <c r="E372">
        <v>20</v>
      </c>
      <c r="F372" t="s">
        <v>18</v>
      </c>
      <c r="G372" t="s">
        <v>15</v>
      </c>
      <c r="H372" t="s">
        <v>1072</v>
      </c>
      <c r="I372">
        <f t="shared" si="21"/>
        <v>20</v>
      </c>
      <c r="J372">
        <f t="shared" si="23"/>
        <v>9.0718474000000011</v>
      </c>
      <c r="K372">
        <v>5.56</v>
      </c>
      <c r="L372">
        <f t="shared" si="24"/>
        <v>50.439471544</v>
      </c>
    </row>
    <row r="373" spans="1:12" x14ac:dyDescent="0.2">
      <c r="A373" s="4">
        <v>43434</v>
      </c>
      <c r="B373" t="s">
        <v>525</v>
      </c>
      <c r="C373">
        <v>1</v>
      </c>
      <c r="D373">
        <v>1</v>
      </c>
      <c r="E373">
        <v>89.1</v>
      </c>
      <c r="F373" t="s">
        <v>396</v>
      </c>
      <c r="G373" t="s">
        <v>15</v>
      </c>
      <c r="H373" s="9" t="s">
        <v>1072</v>
      </c>
      <c r="I373">
        <f t="shared" si="21"/>
        <v>89.1</v>
      </c>
      <c r="J373">
        <f t="shared" si="23"/>
        <v>40.415080166999999</v>
      </c>
      <c r="K373">
        <v>5.56</v>
      </c>
      <c r="L373">
        <f t="shared" si="24"/>
        <v>224.70784572851997</v>
      </c>
    </row>
    <row r="374" spans="1:12" x14ac:dyDescent="0.2">
      <c r="A374" s="4">
        <v>43439</v>
      </c>
      <c r="B374" t="s">
        <v>525</v>
      </c>
      <c r="C374">
        <v>1</v>
      </c>
      <c r="D374">
        <v>1</v>
      </c>
      <c r="E374">
        <v>29.8</v>
      </c>
      <c r="F374" t="s">
        <v>396</v>
      </c>
      <c r="G374" t="s">
        <v>15</v>
      </c>
      <c r="H374" s="9" t="s">
        <v>1072</v>
      </c>
      <c r="I374">
        <f t="shared" si="21"/>
        <v>29.8</v>
      </c>
      <c r="J374">
        <f t="shared" si="23"/>
        <v>13.517052626000002</v>
      </c>
      <c r="K374">
        <v>5.56</v>
      </c>
      <c r="L374">
        <f t="shared" si="24"/>
        <v>75.154812600560007</v>
      </c>
    </row>
    <row r="375" spans="1:12" x14ac:dyDescent="0.2">
      <c r="B375" t="s">
        <v>48</v>
      </c>
      <c r="C375" s="28">
        <v>1</v>
      </c>
      <c r="D375">
        <v>1</v>
      </c>
      <c r="E375">
        <v>50</v>
      </c>
      <c r="F375" t="s">
        <v>342</v>
      </c>
      <c r="G375" t="s">
        <v>343</v>
      </c>
      <c r="H375" t="s">
        <v>1071</v>
      </c>
      <c r="I375">
        <f t="shared" si="21"/>
        <v>50</v>
      </c>
      <c r="J375">
        <f t="shared" si="23"/>
        <v>22.6796185</v>
      </c>
      <c r="K375">
        <v>0.217</v>
      </c>
      <c r="L375">
        <f t="shared" si="24"/>
        <v>4.9214772145000003</v>
      </c>
    </row>
    <row r="376" spans="1:12" x14ac:dyDescent="0.2">
      <c r="B376" t="s">
        <v>48</v>
      </c>
      <c r="C376" s="28">
        <v>1</v>
      </c>
      <c r="D376">
        <v>1</v>
      </c>
      <c r="E376">
        <v>50</v>
      </c>
      <c r="F376" t="s">
        <v>343</v>
      </c>
      <c r="G376" t="s">
        <v>343</v>
      </c>
      <c r="H376" t="s">
        <v>1071</v>
      </c>
      <c r="I376">
        <f t="shared" si="21"/>
        <v>50</v>
      </c>
      <c r="J376">
        <f t="shared" si="23"/>
        <v>22.6796185</v>
      </c>
      <c r="K376">
        <v>0.217</v>
      </c>
      <c r="L376">
        <f t="shared" si="24"/>
        <v>4.9214772145000003</v>
      </c>
    </row>
    <row r="377" spans="1:12" x14ac:dyDescent="0.2">
      <c r="B377" t="s">
        <v>48</v>
      </c>
      <c r="C377" s="28">
        <v>4</v>
      </c>
      <c r="D377">
        <v>1</v>
      </c>
      <c r="E377">
        <v>50</v>
      </c>
      <c r="F377" t="s">
        <v>342</v>
      </c>
      <c r="G377" t="s">
        <v>343</v>
      </c>
      <c r="H377" t="s">
        <v>1071</v>
      </c>
      <c r="I377">
        <f t="shared" ref="I377:I440" si="26">C377*D377*E377</f>
        <v>200</v>
      </c>
      <c r="J377">
        <f t="shared" si="23"/>
        <v>90.718474000000001</v>
      </c>
      <c r="K377">
        <v>0.217</v>
      </c>
      <c r="L377">
        <f t="shared" si="24"/>
        <v>19.685908858000001</v>
      </c>
    </row>
    <row r="378" spans="1:12" x14ac:dyDescent="0.2">
      <c r="B378" t="s">
        <v>48</v>
      </c>
      <c r="C378" s="28">
        <v>3</v>
      </c>
      <c r="D378">
        <v>1</v>
      </c>
      <c r="E378">
        <v>50</v>
      </c>
      <c r="F378" t="s">
        <v>342</v>
      </c>
      <c r="G378" t="s">
        <v>343</v>
      </c>
      <c r="H378" t="s">
        <v>1071</v>
      </c>
      <c r="I378">
        <f t="shared" si="26"/>
        <v>150</v>
      </c>
      <c r="J378">
        <f t="shared" si="23"/>
        <v>68.038855500000011</v>
      </c>
      <c r="K378">
        <v>0.217</v>
      </c>
      <c r="L378">
        <f t="shared" si="24"/>
        <v>14.764431643500002</v>
      </c>
    </row>
    <row r="379" spans="1:12" x14ac:dyDescent="0.2">
      <c r="B379" t="s">
        <v>48</v>
      </c>
      <c r="C379" s="28">
        <v>3</v>
      </c>
      <c r="D379">
        <v>1</v>
      </c>
      <c r="E379">
        <v>40</v>
      </c>
      <c r="F379" t="s">
        <v>350</v>
      </c>
      <c r="G379" t="s">
        <v>343</v>
      </c>
      <c r="H379" t="s">
        <v>1071</v>
      </c>
      <c r="I379">
        <f t="shared" si="26"/>
        <v>120</v>
      </c>
      <c r="J379">
        <f t="shared" si="23"/>
        <v>54.431084400000003</v>
      </c>
      <c r="K379">
        <v>0.217</v>
      </c>
      <c r="L379">
        <f t="shared" si="24"/>
        <v>11.8115453148</v>
      </c>
    </row>
    <row r="380" spans="1:12" x14ac:dyDescent="0.2">
      <c r="B380" t="s">
        <v>48</v>
      </c>
      <c r="C380" s="28">
        <v>6</v>
      </c>
      <c r="D380">
        <v>1</v>
      </c>
      <c r="E380">
        <v>50</v>
      </c>
      <c r="F380" t="s">
        <v>342</v>
      </c>
      <c r="G380" t="s">
        <v>343</v>
      </c>
      <c r="H380" t="s">
        <v>1071</v>
      </c>
      <c r="I380">
        <f t="shared" si="26"/>
        <v>300</v>
      </c>
      <c r="J380">
        <f t="shared" si="23"/>
        <v>136.07771100000002</v>
      </c>
      <c r="K380">
        <v>0.217</v>
      </c>
      <c r="L380">
        <f t="shared" si="24"/>
        <v>29.528863287000004</v>
      </c>
    </row>
    <row r="381" spans="1:12" x14ac:dyDescent="0.2">
      <c r="B381" t="s">
        <v>48</v>
      </c>
      <c r="C381" s="28">
        <v>4</v>
      </c>
      <c r="D381">
        <v>1</v>
      </c>
      <c r="E381">
        <v>50</v>
      </c>
      <c r="F381" t="s">
        <v>343</v>
      </c>
      <c r="G381" t="s">
        <v>343</v>
      </c>
      <c r="H381" t="s">
        <v>1071</v>
      </c>
      <c r="I381">
        <f t="shared" si="26"/>
        <v>200</v>
      </c>
      <c r="J381">
        <f t="shared" si="23"/>
        <v>90.718474000000001</v>
      </c>
      <c r="K381">
        <v>0.217</v>
      </c>
      <c r="L381">
        <f t="shared" si="24"/>
        <v>19.685908858000001</v>
      </c>
    </row>
    <row r="382" spans="1:12" x14ac:dyDescent="0.2">
      <c r="B382" t="s">
        <v>48</v>
      </c>
      <c r="C382" s="28">
        <v>4</v>
      </c>
      <c r="D382">
        <v>1</v>
      </c>
      <c r="E382">
        <v>50</v>
      </c>
      <c r="F382" t="s">
        <v>343</v>
      </c>
      <c r="G382" t="s">
        <v>343</v>
      </c>
      <c r="H382" t="s">
        <v>1071</v>
      </c>
      <c r="I382">
        <f t="shared" si="26"/>
        <v>200</v>
      </c>
      <c r="J382">
        <f t="shared" si="23"/>
        <v>90.718474000000001</v>
      </c>
      <c r="K382">
        <v>0.217</v>
      </c>
      <c r="L382">
        <f t="shared" si="24"/>
        <v>19.685908858000001</v>
      </c>
    </row>
    <row r="383" spans="1:12" x14ac:dyDescent="0.2">
      <c r="B383" t="s">
        <v>48</v>
      </c>
      <c r="C383" s="28">
        <v>2</v>
      </c>
      <c r="D383">
        <v>1</v>
      </c>
      <c r="E383">
        <v>50</v>
      </c>
      <c r="F383" t="s">
        <v>343</v>
      </c>
      <c r="G383" t="s">
        <v>343</v>
      </c>
      <c r="H383" t="s">
        <v>1071</v>
      </c>
      <c r="I383">
        <f t="shared" si="26"/>
        <v>100</v>
      </c>
      <c r="J383">
        <f t="shared" si="23"/>
        <v>45.359237</v>
      </c>
      <c r="K383">
        <v>0.217</v>
      </c>
      <c r="L383">
        <f t="shared" si="24"/>
        <v>9.8429544290000006</v>
      </c>
    </row>
    <row r="384" spans="1:12" x14ac:dyDescent="0.2">
      <c r="A384" s="4">
        <v>43434</v>
      </c>
      <c r="B384" t="s">
        <v>531</v>
      </c>
      <c r="C384">
        <v>4</v>
      </c>
      <c r="D384">
        <v>6</v>
      </c>
      <c r="E384">
        <v>6</v>
      </c>
      <c r="F384" t="s">
        <v>533</v>
      </c>
      <c r="G384" t="s">
        <v>854</v>
      </c>
      <c r="H384" s="9" t="s">
        <v>1071</v>
      </c>
      <c r="I384">
        <f t="shared" si="26"/>
        <v>144</v>
      </c>
      <c r="J384">
        <f t="shared" si="23"/>
        <v>65.317301279999995</v>
      </c>
      <c r="K384">
        <v>0.217</v>
      </c>
      <c r="L384">
        <f t="shared" si="24"/>
        <v>14.17385437776</v>
      </c>
    </row>
    <row r="385" spans="1:12" x14ac:dyDescent="0.2">
      <c r="A385" s="4">
        <v>43434</v>
      </c>
      <c r="B385" t="s">
        <v>531</v>
      </c>
      <c r="C385">
        <v>4</v>
      </c>
      <c r="D385">
        <v>6</v>
      </c>
      <c r="E385">
        <v>3</v>
      </c>
      <c r="F385" t="s">
        <v>404</v>
      </c>
      <c r="G385" t="s">
        <v>854</v>
      </c>
      <c r="H385" s="9" t="s">
        <v>1071</v>
      </c>
      <c r="I385">
        <f t="shared" si="26"/>
        <v>72</v>
      </c>
      <c r="J385">
        <f t="shared" si="23"/>
        <v>32.658650639999998</v>
      </c>
      <c r="K385">
        <v>0.217</v>
      </c>
      <c r="L385">
        <f t="shared" si="24"/>
        <v>7.0869271888799998</v>
      </c>
    </row>
    <row r="386" spans="1:12" x14ac:dyDescent="0.2">
      <c r="A386" s="4">
        <v>43434</v>
      </c>
      <c r="B386" t="s">
        <v>531</v>
      </c>
      <c r="C386">
        <v>6</v>
      </c>
      <c r="D386">
        <v>6</v>
      </c>
      <c r="E386">
        <v>5</v>
      </c>
      <c r="F386" t="s">
        <v>419</v>
      </c>
      <c r="G386" t="s">
        <v>854</v>
      </c>
      <c r="H386" s="9" t="s">
        <v>1071</v>
      </c>
      <c r="I386">
        <f t="shared" si="26"/>
        <v>180</v>
      </c>
      <c r="J386">
        <f t="shared" si="23"/>
        <v>81.646626600000005</v>
      </c>
      <c r="K386">
        <v>0.217</v>
      </c>
      <c r="L386">
        <f t="shared" si="24"/>
        <v>17.7173179722</v>
      </c>
    </row>
    <row r="387" spans="1:12" x14ac:dyDescent="0.2">
      <c r="A387" s="4">
        <v>43437</v>
      </c>
      <c r="B387" t="s">
        <v>531</v>
      </c>
      <c r="C387">
        <v>4</v>
      </c>
      <c r="D387">
        <v>6</v>
      </c>
      <c r="E387">
        <v>6</v>
      </c>
      <c r="F387" t="s">
        <v>533</v>
      </c>
      <c r="G387" t="s">
        <v>854</v>
      </c>
      <c r="H387" s="9" t="s">
        <v>1071</v>
      </c>
      <c r="I387">
        <f t="shared" si="26"/>
        <v>144</v>
      </c>
      <c r="J387">
        <f t="shared" ref="J387:J450" si="27">CONVERT(I387,"lbm","kg")</f>
        <v>65.317301279999995</v>
      </c>
      <c r="K387">
        <v>0.217</v>
      </c>
      <c r="L387">
        <f t="shared" ref="L387:L450" si="28">J387*K387</f>
        <v>14.17385437776</v>
      </c>
    </row>
    <row r="388" spans="1:12" x14ac:dyDescent="0.2">
      <c r="A388" s="4">
        <v>43437</v>
      </c>
      <c r="B388" t="s">
        <v>531</v>
      </c>
      <c r="C388">
        <v>4</v>
      </c>
      <c r="D388">
        <v>6</v>
      </c>
      <c r="E388">
        <v>3</v>
      </c>
      <c r="F388" t="s">
        <v>404</v>
      </c>
      <c r="G388" t="s">
        <v>854</v>
      </c>
      <c r="H388" s="9" t="s">
        <v>1071</v>
      </c>
      <c r="I388">
        <f t="shared" si="26"/>
        <v>72</v>
      </c>
      <c r="J388">
        <f t="shared" si="27"/>
        <v>32.658650639999998</v>
      </c>
      <c r="K388">
        <v>0.217</v>
      </c>
      <c r="L388">
        <f t="shared" si="28"/>
        <v>7.0869271888799998</v>
      </c>
    </row>
    <row r="389" spans="1:12" x14ac:dyDescent="0.2">
      <c r="A389" s="4">
        <v>43437</v>
      </c>
      <c r="B389" t="s">
        <v>531</v>
      </c>
      <c r="C389">
        <v>4</v>
      </c>
      <c r="D389">
        <v>6</v>
      </c>
      <c r="E389">
        <v>5</v>
      </c>
      <c r="F389" t="s">
        <v>406</v>
      </c>
      <c r="G389" t="s">
        <v>854</v>
      </c>
      <c r="H389" s="9" t="s">
        <v>1071</v>
      </c>
      <c r="I389">
        <f t="shared" si="26"/>
        <v>120</v>
      </c>
      <c r="J389">
        <f t="shared" si="27"/>
        <v>54.431084400000003</v>
      </c>
      <c r="K389">
        <v>0.217</v>
      </c>
      <c r="L389">
        <f t="shared" si="28"/>
        <v>11.8115453148</v>
      </c>
    </row>
    <row r="390" spans="1:12" x14ac:dyDescent="0.2">
      <c r="A390" s="4">
        <v>43439</v>
      </c>
      <c r="B390" t="s">
        <v>531</v>
      </c>
      <c r="C390">
        <v>4</v>
      </c>
      <c r="D390">
        <v>6</v>
      </c>
      <c r="E390">
        <v>5</v>
      </c>
      <c r="F390" t="s">
        <v>403</v>
      </c>
      <c r="G390" t="s">
        <v>854</v>
      </c>
      <c r="H390" s="9" t="s">
        <v>1071</v>
      </c>
      <c r="I390">
        <f t="shared" si="26"/>
        <v>120</v>
      </c>
      <c r="J390">
        <f t="shared" si="27"/>
        <v>54.431084400000003</v>
      </c>
      <c r="K390">
        <v>0.217</v>
      </c>
      <c r="L390">
        <f t="shared" si="28"/>
        <v>11.8115453148</v>
      </c>
    </row>
    <row r="391" spans="1:12" x14ac:dyDescent="0.2">
      <c r="A391" s="4">
        <v>43439</v>
      </c>
      <c r="B391" t="s">
        <v>531</v>
      </c>
      <c r="C391">
        <v>4</v>
      </c>
      <c r="D391">
        <v>6</v>
      </c>
      <c r="E391">
        <v>5</v>
      </c>
      <c r="F391" t="s">
        <v>406</v>
      </c>
      <c r="G391" t="s">
        <v>854</v>
      </c>
      <c r="H391" s="9" t="s">
        <v>1071</v>
      </c>
      <c r="I391">
        <f t="shared" si="26"/>
        <v>120</v>
      </c>
      <c r="J391">
        <f t="shared" si="27"/>
        <v>54.431084400000003</v>
      </c>
      <c r="K391">
        <v>0.217</v>
      </c>
      <c r="L391">
        <f t="shared" si="28"/>
        <v>11.8115453148</v>
      </c>
    </row>
    <row r="392" spans="1:12" x14ac:dyDescent="0.2">
      <c r="A392" s="4">
        <v>43439</v>
      </c>
      <c r="B392" t="s">
        <v>531</v>
      </c>
      <c r="C392">
        <v>8</v>
      </c>
      <c r="D392">
        <v>6</v>
      </c>
      <c r="E392">
        <v>5</v>
      </c>
      <c r="F392" t="s">
        <v>419</v>
      </c>
      <c r="G392" t="s">
        <v>854</v>
      </c>
      <c r="H392" s="9" t="s">
        <v>1071</v>
      </c>
      <c r="I392">
        <f t="shared" si="26"/>
        <v>240</v>
      </c>
      <c r="J392">
        <f t="shared" si="27"/>
        <v>108.86216880000001</v>
      </c>
      <c r="K392">
        <v>0.217</v>
      </c>
      <c r="L392">
        <f t="shared" si="28"/>
        <v>23.6230906296</v>
      </c>
    </row>
    <row r="393" spans="1:12" x14ac:dyDescent="0.2">
      <c r="A393" s="4">
        <v>43437</v>
      </c>
      <c r="B393" t="s">
        <v>531</v>
      </c>
      <c r="C393">
        <v>4</v>
      </c>
      <c r="D393">
        <v>6</v>
      </c>
      <c r="E393">
        <v>5</v>
      </c>
      <c r="F393" t="s">
        <v>412</v>
      </c>
      <c r="G393" t="s">
        <v>914</v>
      </c>
      <c r="H393" s="9" t="s">
        <v>1071</v>
      </c>
      <c r="I393">
        <f t="shared" si="26"/>
        <v>120</v>
      </c>
      <c r="J393">
        <f t="shared" si="27"/>
        <v>54.431084400000003</v>
      </c>
      <c r="K393">
        <v>1.5449999999999999</v>
      </c>
      <c r="L393">
        <f t="shared" si="28"/>
        <v>84.096025397999995</v>
      </c>
    </row>
    <row r="394" spans="1:12" x14ac:dyDescent="0.2">
      <c r="A394" s="4">
        <v>43439</v>
      </c>
      <c r="B394" t="s">
        <v>538</v>
      </c>
      <c r="C394">
        <v>1</v>
      </c>
      <c r="D394">
        <v>24</v>
      </c>
      <c r="E394">
        <f>15/16</f>
        <v>0.9375</v>
      </c>
      <c r="F394" t="s">
        <v>590</v>
      </c>
      <c r="G394" t="s">
        <v>882</v>
      </c>
      <c r="H394" s="9" t="s">
        <v>1071</v>
      </c>
      <c r="I394">
        <f t="shared" si="26"/>
        <v>22.5</v>
      </c>
      <c r="J394">
        <f t="shared" si="27"/>
        <v>10.205828325000001</v>
      </c>
      <c r="K394">
        <v>0.68400000000000005</v>
      </c>
      <c r="L394">
        <f t="shared" si="28"/>
        <v>6.9807865743000006</v>
      </c>
    </row>
    <row r="395" spans="1:12" x14ac:dyDescent="0.2">
      <c r="A395" s="4">
        <v>43439</v>
      </c>
      <c r="B395" t="s">
        <v>538</v>
      </c>
      <c r="C395">
        <v>1</v>
      </c>
      <c r="D395">
        <v>1</v>
      </c>
      <c r="E395">
        <v>30</v>
      </c>
      <c r="F395" t="s">
        <v>593</v>
      </c>
      <c r="G395" t="s">
        <v>882</v>
      </c>
      <c r="H395" s="9" t="s">
        <v>1071</v>
      </c>
      <c r="I395">
        <f t="shared" si="26"/>
        <v>30</v>
      </c>
      <c r="J395">
        <f t="shared" si="27"/>
        <v>13.607771100000001</v>
      </c>
      <c r="K395">
        <v>0.68400000000000005</v>
      </c>
      <c r="L395">
        <f t="shared" si="28"/>
        <v>9.307715432400002</v>
      </c>
    </row>
    <row r="396" spans="1:12" x14ac:dyDescent="0.2">
      <c r="A396" s="4">
        <v>43434</v>
      </c>
      <c r="B396" t="s">
        <v>538</v>
      </c>
      <c r="C396">
        <v>8</v>
      </c>
      <c r="D396">
        <v>1</v>
      </c>
      <c r="E396">
        <v>25</v>
      </c>
      <c r="F396" t="s">
        <v>424</v>
      </c>
      <c r="G396" t="s">
        <v>859</v>
      </c>
      <c r="H396" s="9" t="s">
        <v>1071</v>
      </c>
      <c r="I396">
        <f t="shared" si="26"/>
        <v>200</v>
      </c>
      <c r="J396">
        <f t="shared" si="27"/>
        <v>90.718474000000001</v>
      </c>
      <c r="K396">
        <v>1.5409999999999999</v>
      </c>
      <c r="L396">
        <f t="shared" si="28"/>
        <v>139.79716843399999</v>
      </c>
    </row>
    <row r="397" spans="1:12" x14ac:dyDescent="0.2">
      <c r="A397" s="4">
        <v>43434</v>
      </c>
      <c r="B397" t="s">
        <v>538</v>
      </c>
      <c r="C397">
        <v>4</v>
      </c>
      <c r="D397">
        <v>2</v>
      </c>
      <c r="E397">
        <v>5</v>
      </c>
      <c r="F397" t="s">
        <v>429</v>
      </c>
      <c r="G397" t="s">
        <v>859</v>
      </c>
      <c r="H397" s="9" t="s">
        <v>1071</v>
      </c>
      <c r="I397">
        <f t="shared" si="26"/>
        <v>40</v>
      </c>
      <c r="J397">
        <f t="shared" si="27"/>
        <v>18.143694800000002</v>
      </c>
      <c r="K397">
        <v>1.5409999999999999</v>
      </c>
      <c r="L397">
        <f t="shared" si="28"/>
        <v>27.959433686800001</v>
      </c>
    </row>
    <row r="398" spans="1:12" x14ac:dyDescent="0.2">
      <c r="A398" s="4">
        <v>43434</v>
      </c>
      <c r="B398" t="s">
        <v>538</v>
      </c>
      <c r="C398">
        <v>4</v>
      </c>
      <c r="D398">
        <v>1</v>
      </c>
      <c r="E398">
        <v>25</v>
      </c>
      <c r="F398" t="s">
        <v>452</v>
      </c>
      <c r="G398" t="s">
        <v>859</v>
      </c>
      <c r="H398" s="9" t="s">
        <v>1071</v>
      </c>
      <c r="I398">
        <f t="shared" si="26"/>
        <v>100</v>
      </c>
      <c r="J398">
        <f t="shared" si="27"/>
        <v>45.359237</v>
      </c>
      <c r="K398">
        <v>1.5409999999999999</v>
      </c>
      <c r="L398">
        <f t="shared" si="28"/>
        <v>69.898584216999993</v>
      </c>
    </row>
    <row r="399" spans="1:12" x14ac:dyDescent="0.2">
      <c r="A399" s="4">
        <v>43434</v>
      </c>
      <c r="B399" t="s">
        <v>538</v>
      </c>
      <c r="C399">
        <v>4</v>
      </c>
      <c r="D399">
        <v>2</v>
      </c>
      <c r="E399">
        <v>5</v>
      </c>
      <c r="F399" t="s">
        <v>564</v>
      </c>
      <c r="G399" t="s">
        <v>859</v>
      </c>
      <c r="H399" s="9" t="s">
        <v>1071</v>
      </c>
      <c r="I399">
        <f t="shared" si="26"/>
        <v>40</v>
      </c>
      <c r="J399">
        <f t="shared" si="27"/>
        <v>18.143694800000002</v>
      </c>
      <c r="K399">
        <v>1.5409999999999999</v>
      </c>
      <c r="L399">
        <f t="shared" si="28"/>
        <v>27.959433686800001</v>
      </c>
    </row>
    <row r="400" spans="1:12" x14ac:dyDescent="0.2">
      <c r="A400" s="4">
        <v>43437</v>
      </c>
      <c r="B400" t="s">
        <v>538</v>
      </c>
      <c r="C400">
        <v>3</v>
      </c>
      <c r="D400">
        <v>1</v>
      </c>
      <c r="E400">
        <v>25</v>
      </c>
      <c r="F400" t="s">
        <v>424</v>
      </c>
      <c r="G400" t="s">
        <v>859</v>
      </c>
      <c r="H400" s="9" t="s">
        <v>1071</v>
      </c>
      <c r="I400">
        <f t="shared" si="26"/>
        <v>75</v>
      </c>
      <c r="J400">
        <f t="shared" si="27"/>
        <v>34.019427750000006</v>
      </c>
      <c r="K400">
        <v>1.5409999999999999</v>
      </c>
      <c r="L400">
        <f t="shared" si="28"/>
        <v>52.423938162750005</v>
      </c>
    </row>
    <row r="401" spans="1:12" x14ac:dyDescent="0.2">
      <c r="A401" s="4">
        <v>43437</v>
      </c>
      <c r="B401" t="s">
        <v>538</v>
      </c>
      <c r="C401">
        <v>3</v>
      </c>
      <c r="D401">
        <v>2</v>
      </c>
      <c r="E401">
        <v>5</v>
      </c>
      <c r="F401" t="s">
        <v>429</v>
      </c>
      <c r="G401" t="s">
        <v>859</v>
      </c>
      <c r="H401" s="9" t="s">
        <v>1071</v>
      </c>
      <c r="I401">
        <f t="shared" si="26"/>
        <v>30</v>
      </c>
      <c r="J401">
        <f t="shared" si="27"/>
        <v>13.607771100000001</v>
      </c>
      <c r="K401">
        <v>1.5409999999999999</v>
      </c>
      <c r="L401">
        <f t="shared" si="28"/>
        <v>20.969575265100001</v>
      </c>
    </row>
    <row r="402" spans="1:12" x14ac:dyDescent="0.2">
      <c r="A402" s="4">
        <v>43437</v>
      </c>
      <c r="B402" t="s">
        <v>538</v>
      </c>
      <c r="C402">
        <v>2</v>
      </c>
      <c r="D402">
        <v>1</v>
      </c>
      <c r="E402">
        <v>25</v>
      </c>
      <c r="F402" t="s">
        <v>452</v>
      </c>
      <c r="G402" t="s">
        <v>859</v>
      </c>
      <c r="H402" s="9" t="s">
        <v>1071</v>
      </c>
      <c r="I402">
        <f t="shared" si="26"/>
        <v>50</v>
      </c>
      <c r="J402">
        <f t="shared" si="27"/>
        <v>22.6796185</v>
      </c>
      <c r="K402">
        <v>1.5409999999999999</v>
      </c>
      <c r="L402">
        <f t="shared" si="28"/>
        <v>34.949292108499996</v>
      </c>
    </row>
    <row r="403" spans="1:12" x14ac:dyDescent="0.2">
      <c r="A403" s="4">
        <v>43437</v>
      </c>
      <c r="B403" t="s">
        <v>538</v>
      </c>
      <c r="C403">
        <v>1</v>
      </c>
      <c r="D403">
        <v>1</v>
      </c>
      <c r="E403">
        <v>50</v>
      </c>
      <c r="F403" t="s">
        <v>459</v>
      </c>
      <c r="G403" t="s">
        <v>859</v>
      </c>
      <c r="H403" s="9" t="s">
        <v>1071</v>
      </c>
      <c r="I403">
        <f t="shared" si="26"/>
        <v>50</v>
      </c>
      <c r="J403">
        <f t="shared" si="27"/>
        <v>22.6796185</v>
      </c>
      <c r="K403">
        <v>1.5409999999999999</v>
      </c>
      <c r="L403">
        <f t="shared" si="28"/>
        <v>34.949292108499996</v>
      </c>
    </row>
    <row r="404" spans="1:12" x14ac:dyDescent="0.2">
      <c r="A404" s="4">
        <v>43439</v>
      </c>
      <c r="B404" t="s">
        <v>538</v>
      </c>
      <c r="C404">
        <v>4</v>
      </c>
      <c r="D404">
        <v>1</v>
      </c>
      <c r="E404">
        <v>25</v>
      </c>
      <c r="F404" t="s">
        <v>424</v>
      </c>
      <c r="G404" t="s">
        <v>859</v>
      </c>
      <c r="H404" s="9" t="s">
        <v>1071</v>
      </c>
      <c r="I404">
        <f t="shared" si="26"/>
        <v>100</v>
      </c>
      <c r="J404">
        <f t="shared" si="27"/>
        <v>45.359237</v>
      </c>
      <c r="K404">
        <v>1.5409999999999999</v>
      </c>
      <c r="L404">
        <f t="shared" si="28"/>
        <v>69.898584216999993</v>
      </c>
    </row>
    <row r="405" spans="1:12" x14ac:dyDescent="0.2">
      <c r="A405" s="4">
        <v>43439</v>
      </c>
      <c r="B405" t="s">
        <v>538</v>
      </c>
      <c r="C405">
        <v>3</v>
      </c>
      <c r="D405">
        <v>1</v>
      </c>
      <c r="E405">
        <v>25</v>
      </c>
      <c r="F405" t="s">
        <v>452</v>
      </c>
      <c r="G405" t="s">
        <v>859</v>
      </c>
      <c r="H405" s="9" t="s">
        <v>1071</v>
      </c>
      <c r="I405">
        <f t="shared" si="26"/>
        <v>75</v>
      </c>
      <c r="J405">
        <f t="shared" si="27"/>
        <v>34.019427750000006</v>
      </c>
      <c r="K405">
        <v>1.5409999999999999</v>
      </c>
      <c r="L405">
        <f t="shared" si="28"/>
        <v>52.423938162750005</v>
      </c>
    </row>
    <row r="406" spans="1:12" x14ac:dyDescent="0.2">
      <c r="A406" s="4">
        <v>43439</v>
      </c>
      <c r="B406" t="s">
        <v>538</v>
      </c>
      <c r="C406">
        <v>1</v>
      </c>
      <c r="D406">
        <v>1</v>
      </c>
      <c r="E406">
        <v>50</v>
      </c>
      <c r="F406" t="s">
        <v>459</v>
      </c>
      <c r="G406" t="s">
        <v>859</v>
      </c>
      <c r="H406" s="9" t="s">
        <v>1071</v>
      </c>
      <c r="I406">
        <f t="shared" si="26"/>
        <v>50</v>
      </c>
      <c r="J406">
        <f t="shared" si="27"/>
        <v>22.6796185</v>
      </c>
      <c r="K406">
        <v>1.5409999999999999</v>
      </c>
      <c r="L406">
        <f t="shared" si="28"/>
        <v>34.949292108499996</v>
      </c>
    </row>
    <row r="407" spans="1:12" x14ac:dyDescent="0.2">
      <c r="B407" t="s">
        <v>48</v>
      </c>
      <c r="C407" s="28">
        <v>2</v>
      </c>
      <c r="D407">
        <v>1</v>
      </c>
      <c r="E407">
        <v>48</v>
      </c>
      <c r="F407" t="s">
        <v>329</v>
      </c>
      <c r="G407" t="s">
        <v>795</v>
      </c>
      <c r="H407" t="s">
        <v>1071</v>
      </c>
      <c r="I407">
        <f t="shared" si="26"/>
        <v>96</v>
      </c>
      <c r="J407">
        <f t="shared" si="27"/>
        <v>43.544867520000004</v>
      </c>
      <c r="K407">
        <v>0.158</v>
      </c>
      <c r="L407">
        <f t="shared" si="28"/>
        <v>6.8800890681600011</v>
      </c>
    </row>
    <row r="408" spans="1:12" x14ac:dyDescent="0.2">
      <c r="B408" t="s">
        <v>48</v>
      </c>
      <c r="C408" s="28">
        <v>2</v>
      </c>
      <c r="D408">
        <v>1</v>
      </c>
      <c r="E408">
        <v>48</v>
      </c>
      <c r="F408" t="s">
        <v>345</v>
      </c>
      <c r="G408" t="s">
        <v>795</v>
      </c>
      <c r="H408" t="s">
        <v>1071</v>
      </c>
      <c r="I408">
        <f t="shared" si="26"/>
        <v>96</v>
      </c>
      <c r="J408">
        <f t="shared" si="27"/>
        <v>43.544867520000004</v>
      </c>
      <c r="K408">
        <v>0.158</v>
      </c>
      <c r="L408">
        <f t="shared" si="28"/>
        <v>6.8800890681600011</v>
      </c>
    </row>
    <row r="409" spans="1:12" x14ac:dyDescent="0.2">
      <c r="B409" t="s">
        <v>48</v>
      </c>
      <c r="C409" s="28">
        <v>3</v>
      </c>
      <c r="D409">
        <v>1</v>
      </c>
      <c r="E409">
        <v>48</v>
      </c>
      <c r="F409" t="s">
        <v>345</v>
      </c>
      <c r="G409" t="s">
        <v>795</v>
      </c>
      <c r="H409" t="s">
        <v>1071</v>
      </c>
      <c r="I409">
        <f t="shared" si="26"/>
        <v>144</v>
      </c>
      <c r="J409">
        <f t="shared" si="27"/>
        <v>65.317301279999995</v>
      </c>
      <c r="K409">
        <v>0.158</v>
      </c>
      <c r="L409">
        <f t="shared" si="28"/>
        <v>10.320133602239999</v>
      </c>
    </row>
    <row r="410" spans="1:12" x14ac:dyDescent="0.2">
      <c r="B410" t="s">
        <v>48</v>
      </c>
      <c r="C410" s="28">
        <v>2</v>
      </c>
      <c r="D410">
        <v>1</v>
      </c>
      <c r="E410">
        <v>48</v>
      </c>
      <c r="F410" t="s">
        <v>329</v>
      </c>
      <c r="G410" t="s">
        <v>795</v>
      </c>
      <c r="H410" t="s">
        <v>1071</v>
      </c>
      <c r="I410">
        <f t="shared" si="26"/>
        <v>96</v>
      </c>
      <c r="J410">
        <f t="shared" si="27"/>
        <v>43.544867520000004</v>
      </c>
      <c r="K410">
        <v>0.158</v>
      </c>
      <c r="L410">
        <f t="shared" si="28"/>
        <v>6.8800890681600011</v>
      </c>
    </row>
    <row r="411" spans="1:12" x14ac:dyDescent="0.2">
      <c r="B411" t="s">
        <v>48</v>
      </c>
      <c r="C411" s="28">
        <v>3</v>
      </c>
      <c r="D411">
        <v>1</v>
      </c>
      <c r="E411">
        <v>48</v>
      </c>
      <c r="F411" t="s">
        <v>329</v>
      </c>
      <c r="G411" t="s">
        <v>795</v>
      </c>
      <c r="H411" t="s">
        <v>1071</v>
      </c>
      <c r="I411">
        <f t="shared" si="26"/>
        <v>144</v>
      </c>
      <c r="J411">
        <f t="shared" si="27"/>
        <v>65.317301279999995</v>
      </c>
      <c r="K411">
        <v>0.158</v>
      </c>
      <c r="L411">
        <f t="shared" si="28"/>
        <v>10.320133602239999</v>
      </c>
    </row>
    <row r="412" spans="1:12" x14ac:dyDescent="0.2">
      <c r="B412" t="s">
        <v>48</v>
      </c>
      <c r="C412" s="28">
        <v>4</v>
      </c>
      <c r="D412">
        <v>1</v>
      </c>
      <c r="E412">
        <v>48</v>
      </c>
      <c r="F412" t="s">
        <v>345</v>
      </c>
      <c r="G412" t="s">
        <v>795</v>
      </c>
      <c r="H412" t="s">
        <v>1071</v>
      </c>
      <c r="I412">
        <f t="shared" si="26"/>
        <v>192</v>
      </c>
      <c r="J412">
        <f t="shared" si="27"/>
        <v>87.089735040000008</v>
      </c>
      <c r="K412">
        <v>0.158</v>
      </c>
      <c r="L412">
        <f t="shared" si="28"/>
        <v>13.760178136320002</v>
      </c>
    </row>
    <row r="413" spans="1:12" x14ac:dyDescent="0.2">
      <c r="A413" s="4">
        <v>43434</v>
      </c>
      <c r="B413" t="s">
        <v>538</v>
      </c>
      <c r="C413">
        <v>1</v>
      </c>
      <c r="D413">
        <v>4</v>
      </c>
      <c r="E413">
        <v>7.9</v>
      </c>
      <c r="F413" t="s">
        <v>550</v>
      </c>
      <c r="G413" t="s">
        <v>906</v>
      </c>
      <c r="H413" s="9" t="s">
        <v>1071</v>
      </c>
      <c r="I413">
        <f t="shared" si="26"/>
        <v>31.6</v>
      </c>
      <c r="J413">
        <f t="shared" si="27"/>
        <v>14.333518892000003</v>
      </c>
      <c r="K413">
        <v>2.3340000000000001</v>
      </c>
      <c r="L413">
        <f t="shared" si="28"/>
        <v>33.45443309392801</v>
      </c>
    </row>
    <row r="414" spans="1:12" x14ac:dyDescent="0.2">
      <c r="A414" s="10">
        <v>43404</v>
      </c>
      <c r="B414" s="9" t="s">
        <v>946</v>
      </c>
      <c r="C414" s="35">
        <v>1</v>
      </c>
      <c r="D414">
        <v>1</v>
      </c>
      <c r="E414" s="9">
        <v>100</v>
      </c>
      <c r="F414" s="9" t="s">
        <v>1006</v>
      </c>
      <c r="G414" s="9" t="s">
        <v>951</v>
      </c>
      <c r="H414" t="s">
        <v>1071</v>
      </c>
      <c r="I414">
        <f t="shared" si="26"/>
        <v>100</v>
      </c>
      <c r="J414">
        <f t="shared" si="27"/>
        <v>45.359237</v>
      </c>
      <c r="K414">
        <v>0.63900000000000001</v>
      </c>
      <c r="L414">
        <f t="shared" si="28"/>
        <v>28.984552443000002</v>
      </c>
    </row>
    <row r="415" spans="1:12" x14ac:dyDescent="0.2">
      <c r="A415" s="4">
        <v>43434</v>
      </c>
      <c r="B415" t="s">
        <v>517</v>
      </c>
      <c r="C415">
        <v>3</v>
      </c>
      <c r="D415">
        <v>1</v>
      </c>
      <c r="E415">
        <f>2.5*8.6</f>
        <v>21.5</v>
      </c>
      <c r="F415" t="s">
        <v>463</v>
      </c>
      <c r="G415" t="s">
        <v>933</v>
      </c>
      <c r="H415" s="9" t="s">
        <v>1071</v>
      </c>
      <c r="I415">
        <f t="shared" si="26"/>
        <v>64.5</v>
      </c>
      <c r="J415">
        <f t="shared" si="27"/>
        <v>29.256707864999999</v>
      </c>
      <c r="K415">
        <v>0.25800000000000001</v>
      </c>
      <c r="L415">
        <f t="shared" si="28"/>
        <v>7.5482306291699999</v>
      </c>
    </row>
    <row r="416" spans="1:12" x14ac:dyDescent="0.2">
      <c r="A416" s="4">
        <v>43434</v>
      </c>
      <c r="B416" t="s">
        <v>517</v>
      </c>
      <c r="C416">
        <v>3</v>
      </c>
      <c r="D416">
        <v>1</v>
      </c>
      <c r="E416">
        <f>2.5*8.6</f>
        <v>21.5</v>
      </c>
      <c r="F416" t="s">
        <v>464</v>
      </c>
      <c r="G416" t="s">
        <v>933</v>
      </c>
      <c r="H416" s="9" t="s">
        <v>1071</v>
      </c>
      <c r="I416">
        <f t="shared" si="26"/>
        <v>64.5</v>
      </c>
      <c r="J416">
        <f t="shared" si="27"/>
        <v>29.256707864999999</v>
      </c>
      <c r="K416">
        <v>0.25800000000000001</v>
      </c>
      <c r="L416">
        <f t="shared" si="28"/>
        <v>7.5482306291699999</v>
      </c>
    </row>
    <row r="417" spans="1:12" x14ac:dyDescent="0.2">
      <c r="A417" s="4">
        <v>43434</v>
      </c>
      <c r="B417" t="s">
        <v>517</v>
      </c>
      <c r="C417">
        <v>1</v>
      </c>
      <c r="D417">
        <v>12</v>
      </c>
      <c r="E417">
        <f>2</f>
        <v>2</v>
      </c>
      <c r="F417" t="s">
        <v>520</v>
      </c>
      <c r="G417" t="s">
        <v>933</v>
      </c>
      <c r="H417" s="9" t="s">
        <v>1071</v>
      </c>
      <c r="I417">
        <f t="shared" si="26"/>
        <v>24</v>
      </c>
      <c r="J417">
        <f t="shared" si="27"/>
        <v>10.886216880000001</v>
      </c>
      <c r="K417">
        <v>0.25800000000000001</v>
      </c>
      <c r="L417">
        <f t="shared" si="28"/>
        <v>2.8086439550400004</v>
      </c>
    </row>
    <row r="418" spans="1:12" x14ac:dyDescent="0.2">
      <c r="A418" s="4">
        <v>43437</v>
      </c>
      <c r="B418" t="s">
        <v>517</v>
      </c>
      <c r="C418">
        <v>2</v>
      </c>
      <c r="D418">
        <v>1</v>
      </c>
      <c r="E418">
        <f>2.5*8.6</f>
        <v>21.5</v>
      </c>
      <c r="F418" t="s">
        <v>463</v>
      </c>
      <c r="G418" t="s">
        <v>933</v>
      </c>
      <c r="H418" s="9" t="s">
        <v>1071</v>
      </c>
      <c r="I418">
        <f t="shared" si="26"/>
        <v>43</v>
      </c>
      <c r="J418">
        <f t="shared" si="27"/>
        <v>19.504471909999999</v>
      </c>
      <c r="K418">
        <v>0.25800000000000001</v>
      </c>
      <c r="L418">
        <f t="shared" si="28"/>
        <v>5.0321537527800002</v>
      </c>
    </row>
    <row r="419" spans="1:12" x14ac:dyDescent="0.2">
      <c r="A419" s="4">
        <v>43437</v>
      </c>
      <c r="B419" t="s">
        <v>517</v>
      </c>
      <c r="C419">
        <v>1</v>
      </c>
      <c r="D419">
        <v>1</v>
      </c>
      <c r="E419">
        <f>2.5*8.6</f>
        <v>21.5</v>
      </c>
      <c r="F419" t="s">
        <v>464</v>
      </c>
      <c r="G419" t="s">
        <v>933</v>
      </c>
      <c r="H419" s="9" t="s">
        <v>1071</v>
      </c>
      <c r="I419">
        <f t="shared" si="26"/>
        <v>21.5</v>
      </c>
      <c r="J419">
        <f t="shared" si="27"/>
        <v>9.7522359549999997</v>
      </c>
      <c r="K419">
        <v>0.25800000000000001</v>
      </c>
      <c r="L419">
        <f t="shared" si="28"/>
        <v>2.5160768763900001</v>
      </c>
    </row>
    <row r="420" spans="1:12" x14ac:dyDescent="0.2">
      <c r="A420" s="4">
        <v>43439</v>
      </c>
      <c r="B420" t="s">
        <v>517</v>
      </c>
      <c r="C420">
        <v>2</v>
      </c>
      <c r="D420">
        <v>1</v>
      </c>
      <c r="E420">
        <f>2.5*8.6</f>
        <v>21.5</v>
      </c>
      <c r="F420" t="s">
        <v>463</v>
      </c>
      <c r="G420" t="s">
        <v>933</v>
      </c>
      <c r="H420" s="9" t="s">
        <v>1071</v>
      </c>
      <c r="I420">
        <f t="shared" si="26"/>
        <v>43</v>
      </c>
      <c r="J420">
        <f t="shared" si="27"/>
        <v>19.504471909999999</v>
      </c>
      <c r="K420">
        <v>0.25800000000000001</v>
      </c>
      <c r="L420">
        <f t="shared" si="28"/>
        <v>5.0321537527800002</v>
      </c>
    </row>
    <row r="421" spans="1:12" x14ac:dyDescent="0.2">
      <c r="A421" s="4">
        <v>43439</v>
      </c>
      <c r="B421" t="s">
        <v>517</v>
      </c>
      <c r="C421">
        <v>2</v>
      </c>
      <c r="D421">
        <v>1</v>
      </c>
      <c r="E421">
        <f>2.5*8.6</f>
        <v>21.5</v>
      </c>
      <c r="F421" t="s">
        <v>464</v>
      </c>
      <c r="G421" t="s">
        <v>933</v>
      </c>
      <c r="H421" s="9" t="s">
        <v>1071</v>
      </c>
      <c r="I421">
        <f t="shared" si="26"/>
        <v>43</v>
      </c>
      <c r="J421">
        <f t="shared" si="27"/>
        <v>19.504471909999999</v>
      </c>
      <c r="K421">
        <v>0.25800000000000001</v>
      </c>
      <c r="L421">
        <f t="shared" si="28"/>
        <v>5.0321537527800002</v>
      </c>
    </row>
    <row r="422" spans="1:12" x14ac:dyDescent="0.2">
      <c r="B422" t="s">
        <v>48</v>
      </c>
      <c r="C422" s="28">
        <v>1</v>
      </c>
      <c r="D422">
        <v>1</v>
      </c>
      <c r="E422">
        <v>20</v>
      </c>
      <c r="F422" t="s">
        <v>250</v>
      </c>
      <c r="G422" t="s">
        <v>963</v>
      </c>
      <c r="H422" t="s">
        <v>1071</v>
      </c>
      <c r="I422">
        <f t="shared" si="26"/>
        <v>20</v>
      </c>
      <c r="J422">
        <f t="shared" si="27"/>
        <v>9.0718474000000011</v>
      </c>
      <c r="K422">
        <v>1.1539999999999999</v>
      </c>
      <c r="L422">
        <f t="shared" si="28"/>
        <v>10.4689118996</v>
      </c>
    </row>
    <row r="423" spans="1:12" x14ac:dyDescent="0.2">
      <c r="B423" t="s">
        <v>48</v>
      </c>
      <c r="C423" s="28">
        <v>1</v>
      </c>
      <c r="D423">
        <v>1</v>
      </c>
      <c r="E423">
        <v>20</v>
      </c>
      <c r="F423" t="s">
        <v>250</v>
      </c>
      <c r="G423" t="s">
        <v>963</v>
      </c>
      <c r="H423" t="s">
        <v>1071</v>
      </c>
      <c r="I423">
        <f t="shared" si="26"/>
        <v>20</v>
      </c>
      <c r="J423">
        <f t="shared" si="27"/>
        <v>9.0718474000000011</v>
      </c>
      <c r="K423">
        <v>1.1539999999999999</v>
      </c>
      <c r="L423">
        <f t="shared" si="28"/>
        <v>10.4689118996</v>
      </c>
    </row>
    <row r="424" spans="1:12" x14ac:dyDescent="0.2">
      <c r="B424" t="s">
        <v>48</v>
      </c>
      <c r="C424" s="28">
        <v>3</v>
      </c>
      <c r="D424">
        <v>1</v>
      </c>
      <c r="E424">
        <v>20</v>
      </c>
      <c r="F424" t="s">
        <v>250</v>
      </c>
      <c r="G424" t="s">
        <v>963</v>
      </c>
      <c r="H424" t="s">
        <v>1071</v>
      </c>
      <c r="I424">
        <f t="shared" si="26"/>
        <v>60</v>
      </c>
      <c r="J424">
        <f t="shared" si="27"/>
        <v>27.215542200000002</v>
      </c>
      <c r="K424">
        <v>1.1539999999999999</v>
      </c>
      <c r="L424">
        <f t="shared" si="28"/>
        <v>31.406735698799999</v>
      </c>
    </row>
    <row r="425" spans="1:12" x14ac:dyDescent="0.2">
      <c r="A425" s="4">
        <v>43437</v>
      </c>
      <c r="B425" t="s">
        <v>538</v>
      </c>
      <c r="C425">
        <v>3</v>
      </c>
      <c r="D425">
        <v>6</v>
      </c>
      <c r="E425">
        <f>14/16</f>
        <v>0.875</v>
      </c>
      <c r="F425" t="s">
        <v>581</v>
      </c>
      <c r="G425" t="s">
        <v>869</v>
      </c>
      <c r="H425" s="9" t="s">
        <v>1071</v>
      </c>
      <c r="I425">
        <f t="shared" si="26"/>
        <v>15.75</v>
      </c>
      <c r="J425">
        <f t="shared" si="27"/>
        <v>7.1440798275000006</v>
      </c>
      <c r="K425">
        <v>0.87</v>
      </c>
      <c r="L425">
        <f t="shared" si="28"/>
        <v>6.2153494499250002</v>
      </c>
    </row>
    <row r="426" spans="1:12" x14ac:dyDescent="0.2">
      <c r="A426" s="4">
        <v>43437</v>
      </c>
      <c r="B426" t="s">
        <v>538</v>
      </c>
      <c r="C426">
        <v>3</v>
      </c>
      <c r="D426">
        <v>6</v>
      </c>
      <c r="E426">
        <v>1</v>
      </c>
      <c r="F426" t="s">
        <v>582</v>
      </c>
      <c r="G426" t="s">
        <v>869</v>
      </c>
      <c r="H426" s="9" t="s">
        <v>1071</v>
      </c>
      <c r="I426">
        <f t="shared" si="26"/>
        <v>18</v>
      </c>
      <c r="J426">
        <f t="shared" si="27"/>
        <v>8.1646626599999994</v>
      </c>
      <c r="K426">
        <v>0.87</v>
      </c>
      <c r="L426">
        <f t="shared" si="28"/>
        <v>7.103256514199999</v>
      </c>
    </row>
    <row r="427" spans="1:12" x14ac:dyDescent="0.2">
      <c r="A427" s="4">
        <v>43439</v>
      </c>
      <c r="B427" t="s">
        <v>538</v>
      </c>
      <c r="C427">
        <v>3</v>
      </c>
      <c r="D427">
        <v>6</v>
      </c>
      <c r="E427">
        <f>18/16</f>
        <v>1.125</v>
      </c>
      <c r="F427" t="s">
        <v>597</v>
      </c>
      <c r="G427" t="s">
        <v>869</v>
      </c>
      <c r="H427" s="9" t="s">
        <v>1071</v>
      </c>
      <c r="I427">
        <f t="shared" si="26"/>
        <v>20.25</v>
      </c>
      <c r="J427">
        <f t="shared" si="27"/>
        <v>9.1852454925</v>
      </c>
      <c r="K427">
        <v>0.87</v>
      </c>
      <c r="L427">
        <f t="shared" si="28"/>
        <v>7.9911635784749997</v>
      </c>
    </row>
    <row r="428" spans="1:12" x14ac:dyDescent="0.2">
      <c r="A428" s="4">
        <v>43439</v>
      </c>
      <c r="B428" t="s">
        <v>538</v>
      </c>
      <c r="C428">
        <v>3</v>
      </c>
      <c r="D428">
        <v>6</v>
      </c>
      <c r="E428">
        <f>14/16</f>
        <v>0.875</v>
      </c>
      <c r="F428" t="s">
        <v>581</v>
      </c>
      <c r="G428" t="s">
        <v>869</v>
      </c>
      <c r="H428" s="9" t="s">
        <v>1071</v>
      </c>
      <c r="I428">
        <f t="shared" si="26"/>
        <v>15.75</v>
      </c>
      <c r="J428">
        <f t="shared" si="27"/>
        <v>7.1440798275000006</v>
      </c>
      <c r="K428">
        <v>0.87</v>
      </c>
      <c r="L428">
        <f t="shared" si="28"/>
        <v>6.2153494499250002</v>
      </c>
    </row>
    <row r="429" spans="1:12" x14ac:dyDescent="0.2">
      <c r="A429" s="4">
        <v>43439</v>
      </c>
      <c r="B429" t="s">
        <v>538</v>
      </c>
      <c r="C429">
        <v>1</v>
      </c>
      <c r="D429">
        <v>3</v>
      </c>
      <c r="E429">
        <v>7.25</v>
      </c>
      <c r="F429" t="s">
        <v>554</v>
      </c>
      <c r="G429" t="s">
        <v>869</v>
      </c>
      <c r="H429" s="9" t="s">
        <v>1071</v>
      </c>
      <c r="I429">
        <f t="shared" si="26"/>
        <v>21.75</v>
      </c>
      <c r="J429">
        <f t="shared" si="27"/>
        <v>9.8656340475000004</v>
      </c>
      <c r="K429">
        <v>0.87</v>
      </c>
      <c r="L429">
        <f t="shared" si="28"/>
        <v>8.5831016213249995</v>
      </c>
    </row>
    <row r="430" spans="1:12" x14ac:dyDescent="0.2">
      <c r="A430" s="4">
        <v>43439</v>
      </c>
      <c r="B430" t="s">
        <v>538</v>
      </c>
      <c r="C430">
        <v>3</v>
      </c>
      <c r="D430">
        <v>6</v>
      </c>
      <c r="E430">
        <f>20/16</f>
        <v>1.25</v>
      </c>
      <c r="F430" t="s">
        <v>598</v>
      </c>
      <c r="G430" t="s">
        <v>869</v>
      </c>
      <c r="H430" s="9" t="s">
        <v>1071</v>
      </c>
      <c r="I430">
        <f t="shared" si="26"/>
        <v>22.5</v>
      </c>
      <c r="J430">
        <f t="shared" si="27"/>
        <v>10.205828325000001</v>
      </c>
      <c r="K430">
        <v>0.87</v>
      </c>
      <c r="L430">
        <f t="shared" si="28"/>
        <v>8.8790706427500012</v>
      </c>
    </row>
    <row r="431" spans="1:12" x14ac:dyDescent="0.2">
      <c r="B431" t="s">
        <v>48</v>
      </c>
      <c r="C431" s="28">
        <v>1</v>
      </c>
      <c r="D431">
        <v>1</v>
      </c>
      <c r="E431">
        <f>20/16</f>
        <v>1.25</v>
      </c>
      <c r="F431" t="s">
        <v>357</v>
      </c>
      <c r="G431" t="s">
        <v>1039</v>
      </c>
      <c r="H431" t="s">
        <v>1071</v>
      </c>
      <c r="I431">
        <f t="shared" si="26"/>
        <v>1.25</v>
      </c>
      <c r="J431">
        <f t="shared" si="27"/>
        <v>0.56699046250000007</v>
      </c>
      <c r="K431">
        <v>0.87</v>
      </c>
      <c r="L431">
        <f t="shared" si="28"/>
        <v>0.49328170237500008</v>
      </c>
    </row>
    <row r="432" spans="1:12" x14ac:dyDescent="0.2">
      <c r="A432" s="4">
        <v>43434</v>
      </c>
      <c r="B432" t="s">
        <v>538</v>
      </c>
      <c r="C432">
        <v>2</v>
      </c>
      <c r="D432">
        <v>6</v>
      </c>
      <c r="E432">
        <f>18/16</f>
        <v>1.125</v>
      </c>
      <c r="F432" t="s">
        <v>552</v>
      </c>
      <c r="G432" t="s">
        <v>907</v>
      </c>
      <c r="H432" s="9" t="s">
        <v>1071</v>
      </c>
      <c r="I432">
        <f t="shared" si="26"/>
        <v>13.5</v>
      </c>
      <c r="J432">
        <f t="shared" si="27"/>
        <v>6.1234969950000009</v>
      </c>
      <c r="K432">
        <v>0.87</v>
      </c>
      <c r="L432">
        <f t="shared" si="28"/>
        <v>5.3274423856500004</v>
      </c>
    </row>
    <row r="433" spans="1:12" x14ac:dyDescent="0.2">
      <c r="A433" s="4">
        <v>43434</v>
      </c>
      <c r="B433" t="s">
        <v>538</v>
      </c>
      <c r="C433">
        <v>1</v>
      </c>
      <c r="D433">
        <v>6</v>
      </c>
      <c r="E433">
        <v>1</v>
      </c>
      <c r="F433" t="s">
        <v>553</v>
      </c>
      <c r="G433" t="s">
        <v>907</v>
      </c>
      <c r="H433" s="9" t="s">
        <v>1071</v>
      </c>
      <c r="I433">
        <f t="shared" si="26"/>
        <v>6</v>
      </c>
      <c r="J433">
        <f t="shared" si="27"/>
        <v>2.7215542200000002</v>
      </c>
      <c r="K433">
        <v>0.87</v>
      </c>
      <c r="L433">
        <f t="shared" si="28"/>
        <v>2.3677521714000003</v>
      </c>
    </row>
    <row r="434" spans="1:12" x14ac:dyDescent="0.2">
      <c r="A434" s="4">
        <v>43434</v>
      </c>
      <c r="B434" t="s">
        <v>538</v>
      </c>
      <c r="C434">
        <v>1</v>
      </c>
      <c r="D434">
        <v>3</v>
      </c>
      <c r="E434">
        <v>7.25</v>
      </c>
      <c r="F434" t="s">
        <v>554</v>
      </c>
      <c r="G434" t="s">
        <v>907</v>
      </c>
      <c r="H434" s="9" t="s">
        <v>1071</v>
      </c>
      <c r="I434">
        <f t="shared" si="26"/>
        <v>21.75</v>
      </c>
      <c r="J434">
        <f t="shared" si="27"/>
        <v>9.8656340475000004</v>
      </c>
      <c r="K434">
        <v>0.87</v>
      </c>
      <c r="L434">
        <f t="shared" si="28"/>
        <v>8.5831016213249995</v>
      </c>
    </row>
    <row r="435" spans="1:12" x14ac:dyDescent="0.2">
      <c r="A435" s="4">
        <v>43434</v>
      </c>
      <c r="B435" t="s">
        <v>538</v>
      </c>
      <c r="C435">
        <v>1</v>
      </c>
      <c r="D435">
        <v>12</v>
      </c>
      <c r="E435">
        <v>3</v>
      </c>
      <c r="F435" t="s">
        <v>451</v>
      </c>
      <c r="G435" t="s">
        <v>907</v>
      </c>
      <c r="H435" s="9" t="s">
        <v>1071</v>
      </c>
      <c r="I435">
        <f t="shared" si="26"/>
        <v>36</v>
      </c>
      <c r="J435">
        <f t="shared" si="27"/>
        <v>16.329325319999999</v>
      </c>
      <c r="K435">
        <v>0.87</v>
      </c>
      <c r="L435">
        <f t="shared" si="28"/>
        <v>14.206513028399998</v>
      </c>
    </row>
    <row r="436" spans="1:12" x14ac:dyDescent="0.2">
      <c r="A436" s="4">
        <v>43434</v>
      </c>
      <c r="B436" t="s">
        <v>538</v>
      </c>
      <c r="C436">
        <v>2</v>
      </c>
      <c r="D436">
        <v>6</v>
      </c>
      <c r="E436">
        <f>24/16</f>
        <v>1.5</v>
      </c>
      <c r="F436" t="s">
        <v>562</v>
      </c>
      <c r="G436" t="s">
        <v>907</v>
      </c>
      <c r="H436" s="9" t="s">
        <v>1071</v>
      </c>
      <c r="I436">
        <f t="shared" si="26"/>
        <v>18</v>
      </c>
      <c r="J436">
        <f t="shared" si="27"/>
        <v>8.1646626599999994</v>
      </c>
      <c r="K436">
        <v>0.87</v>
      </c>
      <c r="L436">
        <f t="shared" si="28"/>
        <v>7.103256514199999</v>
      </c>
    </row>
    <row r="437" spans="1:12" x14ac:dyDescent="0.2">
      <c r="A437" s="4">
        <v>43434</v>
      </c>
      <c r="B437" t="s">
        <v>538</v>
      </c>
      <c r="C437">
        <v>1</v>
      </c>
      <c r="D437">
        <v>6</v>
      </c>
      <c r="E437">
        <f>6.25/16</f>
        <v>0.390625</v>
      </c>
      <c r="F437" t="s">
        <v>567</v>
      </c>
      <c r="G437" t="s">
        <v>907</v>
      </c>
      <c r="H437" s="9" t="s">
        <v>1071</v>
      </c>
      <c r="I437">
        <f t="shared" si="26"/>
        <v>2.34375</v>
      </c>
      <c r="J437">
        <f t="shared" si="27"/>
        <v>1.0631071171875002</v>
      </c>
      <c r="K437">
        <v>0.87</v>
      </c>
      <c r="L437">
        <f t="shared" si="28"/>
        <v>0.92490319195312509</v>
      </c>
    </row>
    <row r="438" spans="1:12" x14ac:dyDescent="0.2">
      <c r="A438" s="4">
        <v>43437</v>
      </c>
      <c r="B438" t="s">
        <v>538</v>
      </c>
      <c r="C438">
        <v>2</v>
      </c>
      <c r="D438">
        <v>6</v>
      </c>
      <c r="E438">
        <f>18/16</f>
        <v>1.125</v>
      </c>
      <c r="F438" t="s">
        <v>583</v>
      </c>
      <c r="G438" t="s">
        <v>907</v>
      </c>
      <c r="H438" s="9" t="s">
        <v>1071</v>
      </c>
      <c r="I438">
        <f t="shared" si="26"/>
        <v>13.5</v>
      </c>
      <c r="J438">
        <f t="shared" si="27"/>
        <v>6.1234969950000009</v>
      </c>
      <c r="K438">
        <v>0.87</v>
      </c>
      <c r="L438">
        <f t="shared" si="28"/>
        <v>5.3274423856500004</v>
      </c>
    </row>
    <row r="439" spans="1:12" x14ac:dyDescent="0.2">
      <c r="A439" s="4">
        <v>43437</v>
      </c>
      <c r="B439" t="s">
        <v>538</v>
      </c>
      <c r="C439">
        <v>1</v>
      </c>
      <c r="D439">
        <v>12</v>
      </c>
      <c r="E439">
        <v>3</v>
      </c>
      <c r="F439" t="s">
        <v>451</v>
      </c>
      <c r="G439" t="s">
        <v>907</v>
      </c>
      <c r="H439" s="9" t="s">
        <v>1071</v>
      </c>
      <c r="I439">
        <f t="shared" si="26"/>
        <v>36</v>
      </c>
      <c r="J439">
        <f t="shared" si="27"/>
        <v>16.329325319999999</v>
      </c>
      <c r="K439">
        <v>0.87</v>
      </c>
      <c r="L439">
        <f t="shared" si="28"/>
        <v>14.206513028399998</v>
      </c>
    </row>
    <row r="440" spans="1:12" x14ac:dyDescent="0.2">
      <c r="A440" s="4">
        <v>43439</v>
      </c>
      <c r="B440" t="s">
        <v>538</v>
      </c>
      <c r="C440">
        <v>2</v>
      </c>
      <c r="D440">
        <v>12</v>
      </c>
      <c r="E440">
        <v>3</v>
      </c>
      <c r="F440" t="s">
        <v>451</v>
      </c>
      <c r="G440" t="s">
        <v>907</v>
      </c>
      <c r="H440" s="9" t="s">
        <v>1071</v>
      </c>
      <c r="I440">
        <f t="shared" si="26"/>
        <v>72</v>
      </c>
      <c r="J440">
        <f t="shared" si="27"/>
        <v>32.658650639999998</v>
      </c>
      <c r="K440">
        <v>0.87</v>
      </c>
      <c r="L440">
        <f t="shared" si="28"/>
        <v>28.413026056799996</v>
      </c>
    </row>
    <row r="441" spans="1:12" x14ac:dyDescent="0.2">
      <c r="B441" t="s">
        <v>48</v>
      </c>
      <c r="C441" s="28">
        <v>5</v>
      </c>
      <c r="D441">
        <v>1</v>
      </c>
      <c r="E441">
        <f t="shared" ref="E441:E446" si="29">4*2.5</f>
        <v>10</v>
      </c>
      <c r="F441" t="s">
        <v>330</v>
      </c>
      <c r="G441" t="s">
        <v>815</v>
      </c>
      <c r="H441" t="s">
        <v>1071</v>
      </c>
      <c r="I441">
        <f t="shared" ref="I441:I504" si="30">C441*D441*E441</f>
        <v>50</v>
      </c>
      <c r="J441">
        <f t="shared" si="27"/>
        <v>22.6796185</v>
      </c>
      <c r="K441">
        <v>0.307</v>
      </c>
      <c r="L441">
        <f t="shared" si="28"/>
        <v>6.9626428794999997</v>
      </c>
    </row>
    <row r="442" spans="1:12" x14ac:dyDescent="0.2">
      <c r="B442" t="s">
        <v>48</v>
      </c>
      <c r="C442" s="28">
        <v>1</v>
      </c>
      <c r="D442">
        <v>1</v>
      </c>
      <c r="E442">
        <f t="shared" si="29"/>
        <v>10</v>
      </c>
      <c r="F442" t="s">
        <v>330</v>
      </c>
      <c r="G442" t="s">
        <v>815</v>
      </c>
      <c r="H442" t="s">
        <v>1071</v>
      </c>
      <c r="I442">
        <f t="shared" si="30"/>
        <v>10</v>
      </c>
      <c r="J442">
        <f t="shared" si="27"/>
        <v>4.5359237000000006</v>
      </c>
      <c r="K442">
        <v>0.307</v>
      </c>
      <c r="L442">
        <f t="shared" si="28"/>
        <v>1.3925285759000001</v>
      </c>
    </row>
    <row r="443" spans="1:12" x14ac:dyDescent="0.2">
      <c r="B443" t="s">
        <v>48</v>
      </c>
      <c r="C443" s="28">
        <v>4</v>
      </c>
      <c r="D443">
        <v>1</v>
      </c>
      <c r="E443">
        <f t="shared" si="29"/>
        <v>10</v>
      </c>
      <c r="F443" t="s">
        <v>330</v>
      </c>
      <c r="G443" t="s">
        <v>815</v>
      </c>
      <c r="H443" t="s">
        <v>1071</v>
      </c>
      <c r="I443">
        <f t="shared" si="30"/>
        <v>40</v>
      </c>
      <c r="J443">
        <f t="shared" si="27"/>
        <v>18.143694800000002</v>
      </c>
      <c r="K443">
        <v>0.307</v>
      </c>
      <c r="L443">
        <f t="shared" si="28"/>
        <v>5.5701143036000005</v>
      </c>
    </row>
    <row r="444" spans="1:12" x14ac:dyDescent="0.2">
      <c r="B444" t="s">
        <v>48</v>
      </c>
      <c r="C444" s="28">
        <v>6</v>
      </c>
      <c r="D444">
        <v>1</v>
      </c>
      <c r="E444">
        <f t="shared" si="29"/>
        <v>10</v>
      </c>
      <c r="F444" t="s">
        <v>330</v>
      </c>
      <c r="G444" t="s">
        <v>815</v>
      </c>
      <c r="H444" t="s">
        <v>1071</v>
      </c>
      <c r="I444">
        <f t="shared" si="30"/>
        <v>60</v>
      </c>
      <c r="J444">
        <f t="shared" si="27"/>
        <v>27.215542200000002</v>
      </c>
      <c r="K444">
        <v>0.307</v>
      </c>
      <c r="L444">
        <f t="shared" si="28"/>
        <v>8.3551714554000007</v>
      </c>
    </row>
    <row r="445" spans="1:12" x14ac:dyDescent="0.2">
      <c r="B445" t="s">
        <v>48</v>
      </c>
      <c r="C445" s="28">
        <v>4</v>
      </c>
      <c r="D445">
        <v>1</v>
      </c>
      <c r="E445">
        <f t="shared" si="29"/>
        <v>10</v>
      </c>
      <c r="F445" t="s">
        <v>330</v>
      </c>
      <c r="G445" t="s">
        <v>815</v>
      </c>
      <c r="H445" t="s">
        <v>1071</v>
      </c>
      <c r="I445">
        <f t="shared" si="30"/>
        <v>40</v>
      </c>
      <c r="J445">
        <f t="shared" si="27"/>
        <v>18.143694800000002</v>
      </c>
      <c r="K445">
        <v>0.307</v>
      </c>
      <c r="L445">
        <f t="shared" si="28"/>
        <v>5.5701143036000005</v>
      </c>
    </row>
    <row r="446" spans="1:12" x14ac:dyDescent="0.2">
      <c r="B446" t="s">
        <v>48</v>
      </c>
      <c r="C446" s="28">
        <v>4</v>
      </c>
      <c r="D446">
        <v>1</v>
      </c>
      <c r="E446">
        <f t="shared" si="29"/>
        <v>10</v>
      </c>
      <c r="F446" t="s">
        <v>330</v>
      </c>
      <c r="G446" t="s">
        <v>815</v>
      </c>
      <c r="H446" t="s">
        <v>1071</v>
      </c>
      <c r="I446">
        <f t="shared" si="30"/>
        <v>40</v>
      </c>
      <c r="J446">
        <f t="shared" si="27"/>
        <v>18.143694800000002</v>
      </c>
      <c r="K446">
        <v>0.307</v>
      </c>
      <c r="L446">
        <f t="shared" si="28"/>
        <v>5.5701143036000005</v>
      </c>
    </row>
    <row r="447" spans="1:12" x14ac:dyDescent="0.2">
      <c r="B447" t="s">
        <v>48</v>
      </c>
      <c r="C447" s="28">
        <v>3</v>
      </c>
      <c r="D447">
        <v>1</v>
      </c>
      <c r="E447">
        <f>3/4*44</f>
        <v>33</v>
      </c>
      <c r="F447" t="s">
        <v>331</v>
      </c>
      <c r="G447" t="s">
        <v>796</v>
      </c>
      <c r="H447" t="s">
        <v>1071</v>
      </c>
      <c r="I447">
        <f t="shared" si="30"/>
        <v>99</v>
      </c>
      <c r="J447">
        <f t="shared" si="27"/>
        <v>44.905644630000005</v>
      </c>
      <c r="K447">
        <v>1.2290000000000001</v>
      </c>
      <c r="L447">
        <f t="shared" si="28"/>
        <v>55.189037250270012</v>
      </c>
    </row>
    <row r="448" spans="1:12" x14ac:dyDescent="0.2">
      <c r="B448" t="s">
        <v>48</v>
      </c>
      <c r="C448" s="28">
        <v>3</v>
      </c>
      <c r="D448">
        <v>1</v>
      </c>
      <c r="E448">
        <f>1/2*44</f>
        <v>22</v>
      </c>
      <c r="F448" t="s">
        <v>332</v>
      </c>
      <c r="G448" t="s">
        <v>796</v>
      </c>
      <c r="H448" t="s">
        <v>1071</v>
      </c>
      <c r="I448">
        <f t="shared" si="30"/>
        <v>66</v>
      </c>
      <c r="J448">
        <f t="shared" si="27"/>
        <v>29.937096420000003</v>
      </c>
      <c r="K448">
        <v>1.2290000000000001</v>
      </c>
      <c r="L448">
        <f t="shared" si="28"/>
        <v>36.792691500180005</v>
      </c>
    </row>
    <row r="449" spans="2:12" x14ac:dyDescent="0.2">
      <c r="B449" t="s">
        <v>48</v>
      </c>
      <c r="C449" s="28">
        <v>4</v>
      </c>
      <c r="D449">
        <v>1</v>
      </c>
      <c r="E449">
        <f>1/2*44</f>
        <v>22</v>
      </c>
      <c r="F449" t="s">
        <v>332</v>
      </c>
      <c r="G449" t="s">
        <v>796</v>
      </c>
      <c r="H449" t="s">
        <v>1071</v>
      </c>
      <c r="I449">
        <f t="shared" si="30"/>
        <v>88</v>
      </c>
      <c r="J449">
        <f t="shared" si="27"/>
        <v>39.916128560000004</v>
      </c>
      <c r="K449">
        <v>1.2290000000000001</v>
      </c>
      <c r="L449">
        <f t="shared" si="28"/>
        <v>49.056922000240007</v>
      </c>
    </row>
    <row r="450" spans="2:12" x14ac:dyDescent="0.2">
      <c r="B450" t="s">
        <v>48</v>
      </c>
      <c r="C450" s="28">
        <v>4</v>
      </c>
      <c r="D450">
        <v>1</v>
      </c>
      <c r="E450">
        <f>3/4*44</f>
        <v>33</v>
      </c>
      <c r="F450" t="s">
        <v>331</v>
      </c>
      <c r="G450" t="s">
        <v>796</v>
      </c>
      <c r="H450" t="s">
        <v>1071</v>
      </c>
      <c r="I450">
        <f t="shared" si="30"/>
        <v>132</v>
      </c>
      <c r="J450">
        <f t="shared" si="27"/>
        <v>59.874192840000006</v>
      </c>
      <c r="K450">
        <v>1.2290000000000001</v>
      </c>
      <c r="L450">
        <f t="shared" si="28"/>
        <v>73.585383000360011</v>
      </c>
    </row>
    <row r="451" spans="2:12" x14ac:dyDescent="0.2">
      <c r="B451" t="s">
        <v>48</v>
      </c>
      <c r="C451" s="28">
        <v>4</v>
      </c>
      <c r="D451">
        <v>1</v>
      </c>
      <c r="E451">
        <f>1/2*44</f>
        <v>22</v>
      </c>
      <c r="F451" t="s">
        <v>332</v>
      </c>
      <c r="G451" t="s">
        <v>796</v>
      </c>
      <c r="H451" t="s">
        <v>1071</v>
      </c>
      <c r="I451">
        <f t="shared" si="30"/>
        <v>88</v>
      </c>
      <c r="J451">
        <f t="shared" ref="J451:J514" si="31">CONVERT(I451,"lbm","kg")</f>
        <v>39.916128560000004</v>
      </c>
      <c r="K451">
        <v>1.2290000000000001</v>
      </c>
      <c r="L451">
        <f t="shared" ref="L451:L514" si="32">J451*K451</f>
        <v>49.056922000240007</v>
      </c>
    </row>
    <row r="452" spans="2:12" x14ac:dyDescent="0.2">
      <c r="B452" t="s">
        <v>48</v>
      </c>
      <c r="C452" s="28">
        <v>3</v>
      </c>
      <c r="D452">
        <v>1</v>
      </c>
      <c r="E452">
        <v>20</v>
      </c>
      <c r="F452" t="s">
        <v>349</v>
      </c>
      <c r="G452" t="s">
        <v>796</v>
      </c>
      <c r="H452" t="s">
        <v>1071</v>
      </c>
      <c r="I452">
        <f t="shared" si="30"/>
        <v>60</v>
      </c>
      <c r="J452">
        <f t="shared" si="31"/>
        <v>27.215542200000002</v>
      </c>
      <c r="K452">
        <v>1.2290000000000001</v>
      </c>
      <c r="L452">
        <f t="shared" si="32"/>
        <v>33.447901363800007</v>
      </c>
    </row>
    <row r="453" spans="2:12" x14ac:dyDescent="0.2">
      <c r="B453" t="s">
        <v>48</v>
      </c>
      <c r="C453" s="28">
        <v>2</v>
      </c>
      <c r="D453">
        <v>1</v>
      </c>
      <c r="E453">
        <f>1/2*44</f>
        <v>22</v>
      </c>
      <c r="F453" t="s">
        <v>332</v>
      </c>
      <c r="G453" t="s">
        <v>796</v>
      </c>
      <c r="H453" t="s">
        <v>1071</v>
      </c>
      <c r="I453">
        <f t="shared" si="30"/>
        <v>44</v>
      </c>
      <c r="J453">
        <f t="shared" si="31"/>
        <v>19.958064280000002</v>
      </c>
      <c r="K453">
        <v>1.2290000000000001</v>
      </c>
      <c r="L453">
        <f t="shared" si="32"/>
        <v>24.528461000120004</v>
      </c>
    </row>
    <row r="454" spans="2:12" x14ac:dyDescent="0.2">
      <c r="B454" t="s">
        <v>48</v>
      </c>
      <c r="C454" s="28">
        <v>2</v>
      </c>
      <c r="D454">
        <v>1</v>
      </c>
      <c r="E454">
        <v>20</v>
      </c>
      <c r="F454" t="s">
        <v>349</v>
      </c>
      <c r="G454" t="s">
        <v>796</v>
      </c>
      <c r="H454" t="s">
        <v>1071</v>
      </c>
      <c r="I454">
        <f t="shared" si="30"/>
        <v>40</v>
      </c>
      <c r="J454">
        <f t="shared" si="31"/>
        <v>18.143694800000002</v>
      </c>
      <c r="K454">
        <v>1.2290000000000001</v>
      </c>
      <c r="L454">
        <f t="shared" si="32"/>
        <v>22.298600909200005</v>
      </c>
    </row>
    <row r="455" spans="2:12" x14ac:dyDescent="0.2">
      <c r="B455" t="s">
        <v>48</v>
      </c>
      <c r="C455" s="28">
        <v>2</v>
      </c>
      <c r="D455">
        <v>1</v>
      </c>
      <c r="E455">
        <f>1/2*44</f>
        <v>22</v>
      </c>
      <c r="F455" t="s">
        <v>332</v>
      </c>
      <c r="G455" t="s">
        <v>796</v>
      </c>
      <c r="H455" t="s">
        <v>1071</v>
      </c>
      <c r="I455">
        <f t="shared" si="30"/>
        <v>44</v>
      </c>
      <c r="J455">
        <f t="shared" si="31"/>
        <v>19.958064280000002</v>
      </c>
      <c r="K455">
        <v>1.2290000000000001</v>
      </c>
      <c r="L455">
        <f t="shared" si="32"/>
        <v>24.528461000120004</v>
      </c>
    </row>
    <row r="456" spans="2:12" x14ac:dyDescent="0.2">
      <c r="B456" t="s">
        <v>48</v>
      </c>
      <c r="C456" s="28">
        <v>2</v>
      </c>
      <c r="D456">
        <v>1</v>
      </c>
      <c r="E456">
        <f>3/4*44</f>
        <v>33</v>
      </c>
      <c r="F456" t="s">
        <v>360</v>
      </c>
      <c r="G456" t="s">
        <v>765</v>
      </c>
      <c r="H456" t="s">
        <v>1071</v>
      </c>
      <c r="I456">
        <f t="shared" si="30"/>
        <v>66</v>
      </c>
      <c r="J456">
        <f t="shared" si="31"/>
        <v>29.937096420000003</v>
      </c>
      <c r="K456">
        <v>1.2290000000000001</v>
      </c>
      <c r="L456">
        <f t="shared" si="32"/>
        <v>36.792691500180005</v>
      </c>
    </row>
    <row r="457" spans="2:12" x14ac:dyDescent="0.2">
      <c r="B457" t="s">
        <v>48</v>
      </c>
      <c r="C457" s="28">
        <v>2</v>
      </c>
      <c r="D457">
        <v>1</v>
      </c>
      <c r="E457">
        <f>1/2*44</f>
        <v>22</v>
      </c>
      <c r="F457" t="s">
        <v>100</v>
      </c>
      <c r="G457" t="s">
        <v>765</v>
      </c>
      <c r="H457" t="s">
        <v>1071</v>
      </c>
      <c r="I457">
        <f t="shared" si="30"/>
        <v>44</v>
      </c>
      <c r="J457">
        <f t="shared" si="31"/>
        <v>19.958064280000002</v>
      </c>
      <c r="K457">
        <v>1.2290000000000001</v>
      </c>
      <c r="L457">
        <f t="shared" si="32"/>
        <v>24.528461000120004</v>
      </c>
    </row>
    <row r="458" spans="2:12" x14ac:dyDescent="0.2">
      <c r="B458" t="s">
        <v>48</v>
      </c>
      <c r="C458" s="28">
        <v>2</v>
      </c>
      <c r="D458">
        <v>1</v>
      </c>
      <c r="E458">
        <v>20</v>
      </c>
      <c r="F458" t="s">
        <v>235</v>
      </c>
      <c r="G458" t="s">
        <v>765</v>
      </c>
      <c r="H458" t="s">
        <v>1071</v>
      </c>
      <c r="I458">
        <f t="shared" si="30"/>
        <v>40</v>
      </c>
      <c r="J458">
        <f t="shared" si="31"/>
        <v>18.143694800000002</v>
      </c>
      <c r="K458">
        <v>1.2290000000000001</v>
      </c>
      <c r="L458">
        <f t="shared" si="32"/>
        <v>22.298600909200005</v>
      </c>
    </row>
    <row r="459" spans="2:12" x14ac:dyDescent="0.2">
      <c r="B459" t="s">
        <v>48</v>
      </c>
      <c r="C459" s="28">
        <v>4</v>
      </c>
      <c r="D459">
        <v>1</v>
      </c>
      <c r="E459">
        <f>3/4*44</f>
        <v>33</v>
      </c>
      <c r="F459" t="s">
        <v>242</v>
      </c>
      <c r="G459" t="s">
        <v>765</v>
      </c>
      <c r="H459" t="s">
        <v>1071</v>
      </c>
      <c r="I459">
        <f t="shared" si="30"/>
        <v>132</v>
      </c>
      <c r="J459">
        <f t="shared" si="31"/>
        <v>59.874192840000006</v>
      </c>
      <c r="K459">
        <v>1.2290000000000001</v>
      </c>
      <c r="L459">
        <f t="shared" si="32"/>
        <v>73.585383000360011</v>
      </c>
    </row>
    <row r="460" spans="2:12" x14ac:dyDescent="0.2">
      <c r="B460" t="s">
        <v>48</v>
      </c>
      <c r="C460" s="28">
        <v>3</v>
      </c>
      <c r="D460">
        <v>1</v>
      </c>
      <c r="E460">
        <f>1/2*44</f>
        <v>22</v>
      </c>
      <c r="F460" t="s">
        <v>100</v>
      </c>
      <c r="G460" t="s">
        <v>765</v>
      </c>
      <c r="H460" t="s">
        <v>1071</v>
      </c>
      <c r="I460">
        <f t="shared" si="30"/>
        <v>66</v>
      </c>
      <c r="J460">
        <f t="shared" si="31"/>
        <v>29.937096420000003</v>
      </c>
      <c r="K460">
        <v>1.2290000000000001</v>
      </c>
      <c r="L460">
        <f t="shared" si="32"/>
        <v>36.792691500180005</v>
      </c>
    </row>
    <row r="461" spans="2:12" x14ac:dyDescent="0.2">
      <c r="B461" t="s">
        <v>48</v>
      </c>
      <c r="C461" s="28">
        <v>4</v>
      </c>
      <c r="D461">
        <v>1</v>
      </c>
      <c r="E461">
        <v>8</v>
      </c>
      <c r="F461" t="s">
        <v>333</v>
      </c>
      <c r="G461" t="s">
        <v>797</v>
      </c>
      <c r="H461" t="s">
        <v>1071</v>
      </c>
      <c r="I461">
        <f t="shared" si="30"/>
        <v>32</v>
      </c>
      <c r="J461">
        <f t="shared" si="31"/>
        <v>14.514955840000001</v>
      </c>
      <c r="K461">
        <v>0.61399999999999999</v>
      </c>
      <c r="L461">
        <f t="shared" si="32"/>
        <v>8.9121828857600001</v>
      </c>
    </row>
    <row r="462" spans="2:12" x14ac:dyDescent="0.2">
      <c r="B462" t="s">
        <v>48</v>
      </c>
      <c r="C462" s="28">
        <v>6</v>
      </c>
      <c r="D462">
        <v>1</v>
      </c>
      <c r="E462">
        <v>8</v>
      </c>
      <c r="F462" t="s">
        <v>333</v>
      </c>
      <c r="G462" t="s">
        <v>797</v>
      </c>
      <c r="H462" t="s">
        <v>1071</v>
      </c>
      <c r="I462">
        <f t="shared" si="30"/>
        <v>48</v>
      </c>
      <c r="J462">
        <f t="shared" si="31"/>
        <v>21.772433760000002</v>
      </c>
      <c r="K462">
        <v>0.61399999999999999</v>
      </c>
      <c r="L462">
        <f t="shared" si="32"/>
        <v>13.368274328640002</v>
      </c>
    </row>
    <row r="463" spans="2:12" x14ac:dyDescent="0.2">
      <c r="B463" t="s">
        <v>48</v>
      </c>
      <c r="C463" s="28">
        <v>4</v>
      </c>
      <c r="D463">
        <v>1</v>
      </c>
      <c r="E463">
        <v>8</v>
      </c>
      <c r="F463" t="s">
        <v>333</v>
      </c>
      <c r="G463" t="s">
        <v>797</v>
      </c>
      <c r="H463" t="s">
        <v>1071</v>
      </c>
      <c r="I463">
        <f t="shared" si="30"/>
        <v>32</v>
      </c>
      <c r="J463">
        <f t="shared" si="31"/>
        <v>14.514955840000001</v>
      </c>
      <c r="K463">
        <v>0.61399999999999999</v>
      </c>
      <c r="L463">
        <f t="shared" si="32"/>
        <v>8.9121828857600001</v>
      </c>
    </row>
    <row r="464" spans="2:12" x14ac:dyDescent="0.2">
      <c r="B464" t="s">
        <v>48</v>
      </c>
      <c r="C464" s="28">
        <v>10</v>
      </c>
      <c r="D464">
        <v>1</v>
      </c>
      <c r="E464">
        <v>8</v>
      </c>
      <c r="F464" t="s">
        <v>333</v>
      </c>
      <c r="G464" t="s">
        <v>797</v>
      </c>
      <c r="H464" t="s">
        <v>1071</v>
      </c>
      <c r="I464">
        <f t="shared" si="30"/>
        <v>80</v>
      </c>
      <c r="J464">
        <f t="shared" si="31"/>
        <v>36.287389600000004</v>
      </c>
      <c r="K464">
        <v>0.61399999999999999</v>
      </c>
      <c r="L464">
        <f t="shared" si="32"/>
        <v>22.280457214400002</v>
      </c>
    </row>
    <row r="465" spans="1:12" x14ac:dyDescent="0.2">
      <c r="B465" t="s">
        <v>48</v>
      </c>
      <c r="C465" s="28">
        <v>10</v>
      </c>
      <c r="D465">
        <v>1</v>
      </c>
      <c r="E465">
        <v>8</v>
      </c>
      <c r="F465" t="s">
        <v>333</v>
      </c>
      <c r="G465" t="s">
        <v>797</v>
      </c>
      <c r="H465" t="s">
        <v>1071</v>
      </c>
      <c r="I465">
        <f t="shared" si="30"/>
        <v>80</v>
      </c>
      <c r="J465">
        <f t="shared" si="31"/>
        <v>36.287389600000004</v>
      </c>
      <c r="K465">
        <v>0.61399999999999999</v>
      </c>
      <c r="L465">
        <f t="shared" si="32"/>
        <v>22.280457214400002</v>
      </c>
    </row>
    <row r="466" spans="1:12" x14ac:dyDescent="0.2">
      <c r="B466" t="s">
        <v>48</v>
      </c>
      <c r="C466" s="28">
        <v>10</v>
      </c>
      <c r="D466">
        <v>1</v>
      </c>
      <c r="E466">
        <v>8</v>
      </c>
      <c r="F466" t="s">
        <v>377</v>
      </c>
      <c r="G466" t="s">
        <v>248</v>
      </c>
      <c r="H466" t="s">
        <v>1071</v>
      </c>
      <c r="I466">
        <f t="shared" si="30"/>
        <v>80</v>
      </c>
      <c r="J466">
        <f t="shared" si="31"/>
        <v>36.287389600000004</v>
      </c>
      <c r="K466">
        <v>0.61399999999999999</v>
      </c>
      <c r="L466">
        <f t="shared" si="32"/>
        <v>22.280457214400002</v>
      </c>
    </row>
    <row r="467" spans="1:12" x14ac:dyDescent="0.2">
      <c r="A467" s="4">
        <v>43434</v>
      </c>
      <c r="B467" t="s">
        <v>538</v>
      </c>
      <c r="C467">
        <v>1</v>
      </c>
      <c r="D467">
        <v>1</v>
      </c>
      <c r="E467">
        <v>50</v>
      </c>
      <c r="F467" t="s">
        <v>425</v>
      </c>
      <c r="G467" t="s">
        <v>860</v>
      </c>
      <c r="H467" s="9" t="s">
        <v>1071</v>
      </c>
      <c r="I467">
        <f t="shared" si="30"/>
        <v>50</v>
      </c>
      <c r="J467">
        <f t="shared" si="31"/>
        <v>22.6796185</v>
      </c>
      <c r="K467">
        <v>0.7</v>
      </c>
      <c r="L467">
        <f t="shared" si="32"/>
        <v>15.87573295</v>
      </c>
    </row>
    <row r="468" spans="1:12" x14ac:dyDescent="0.2">
      <c r="A468" s="4">
        <v>43434</v>
      </c>
      <c r="B468" t="s">
        <v>538</v>
      </c>
      <c r="C468">
        <v>2</v>
      </c>
      <c r="D468">
        <v>1</v>
      </c>
      <c r="E468">
        <v>25</v>
      </c>
      <c r="F468" t="s">
        <v>443</v>
      </c>
      <c r="G468" t="s">
        <v>860</v>
      </c>
      <c r="H468" s="9" t="s">
        <v>1071</v>
      </c>
      <c r="I468">
        <f t="shared" si="30"/>
        <v>50</v>
      </c>
      <c r="J468">
        <f t="shared" si="31"/>
        <v>22.6796185</v>
      </c>
      <c r="K468">
        <v>0.7</v>
      </c>
      <c r="L468">
        <f t="shared" si="32"/>
        <v>15.87573295</v>
      </c>
    </row>
    <row r="469" spans="1:12" x14ac:dyDescent="0.2">
      <c r="A469" s="4">
        <v>43437</v>
      </c>
      <c r="B469" t="s">
        <v>538</v>
      </c>
      <c r="C469">
        <v>1</v>
      </c>
      <c r="D469">
        <v>1</v>
      </c>
      <c r="E469">
        <v>50</v>
      </c>
      <c r="F469" t="s">
        <v>434</v>
      </c>
      <c r="G469" t="s">
        <v>860</v>
      </c>
      <c r="H469" s="9" t="s">
        <v>1071</v>
      </c>
      <c r="I469">
        <f t="shared" si="30"/>
        <v>50</v>
      </c>
      <c r="J469">
        <f t="shared" si="31"/>
        <v>22.6796185</v>
      </c>
      <c r="K469">
        <v>0.7</v>
      </c>
      <c r="L469">
        <f t="shared" si="32"/>
        <v>15.87573295</v>
      </c>
    </row>
    <row r="470" spans="1:12" x14ac:dyDescent="0.2">
      <c r="A470" s="4">
        <v>43439</v>
      </c>
      <c r="B470" t="s">
        <v>538</v>
      </c>
      <c r="C470">
        <v>1</v>
      </c>
      <c r="D470">
        <v>1</v>
      </c>
      <c r="E470">
        <v>50</v>
      </c>
      <c r="F470" t="s">
        <v>434</v>
      </c>
      <c r="G470" t="s">
        <v>860</v>
      </c>
      <c r="H470" s="9" t="s">
        <v>1071</v>
      </c>
      <c r="I470">
        <f t="shared" si="30"/>
        <v>50</v>
      </c>
      <c r="J470">
        <f t="shared" si="31"/>
        <v>22.6796185</v>
      </c>
      <c r="K470">
        <v>0.7</v>
      </c>
      <c r="L470">
        <f t="shared" si="32"/>
        <v>15.87573295</v>
      </c>
    </row>
    <row r="471" spans="1:12" x14ac:dyDescent="0.2">
      <c r="A471" s="4">
        <v>43399</v>
      </c>
      <c r="B471" t="s">
        <v>22</v>
      </c>
      <c r="C471" s="28">
        <v>1</v>
      </c>
      <c r="D471">
        <v>1</v>
      </c>
      <c r="E471">
        <v>120</v>
      </c>
      <c r="F471" t="s">
        <v>24</v>
      </c>
      <c r="G471" t="s">
        <v>512</v>
      </c>
      <c r="H471" t="s">
        <v>1071</v>
      </c>
      <c r="I471">
        <f t="shared" si="30"/>
        <v>120</v>
      </c>
      <c r="J471">
        <f t="shared" si="31"/>
        <v>54.431084400000003</v>
      </c>
      <c r="K471">
        <v>0.30199999999999999</v>
      </c>
      <c r="L471">
        <f t="shared" si="32"/>
        <v>16.438187488800001</v>
      </c>
    </row>
    <row r="472" spans="1:12" x14ac:dyDescent="0.2">
      <c r="A472" s="4">
        <v>43403</v>
      </c>
      <c r="B472" t="s">
        <v>22</v>
      </c>
      <c r="C472" s="28">
        <v>1</v>
      </c>
      <c r="D472">
        <v>1</v>
      </c>
      <c r="E472">
        <v>120</v>
      </c>
      <c r="F472" t="s">
        <v>24</v>
      </c>
      <c r="G472" t="s">
        <v>512</v>
      </c>
      <c r="H472" t="s">
        <v>1071</v>
      </c>
      <c r="I472">
        <f t="shared" si="30"/>
        <v>120</v>
      </c>
      <c r="J472">
        <f t="shared" si="31"/>
        <v>54.431084400000003</v>
      </c>
      <c r="K472">
        <v>0.30199999999999999</v>
      </c>
      <c r="L472">
        <f t="shared" si="32"/>
        <v>16.438187488800001</v>
      </c>
    </row>
    <row r="473" spans="1:12" x14ac:dyDescent="0.2">
      <c r="A473" s="4">
        <v>43437</v>
      </c>
      <c r="B473" t="s">
        <v>531</v>
      </c>
      <c r="C473">
        <v>4</v>
      </c>
      <c r="D473">
        <v>5</v>
      </c>
      <c r="E473">
        <v>3</v>
      </c>
      <c r="F473" t="s">
        <v>416</v>
      </c>
      <c r="G473" t="s">
        <v>915</v>
      </c>
      <c r="H473" s="9" t="s">
        <v>1071</v>
      </c>
      <c r="I473">
        <f t="shared" si="30"/>
        <v>60</v>
      </c>
      <c r="J473">
        <f t="shared" si="31"/>
        <v>27.215542200000002</v>
      </c>
      <c r="K473">
        <v>0.30199999999999999</v>
      </c>
      <c r="L473">
        <f t="shared" si="32"/>
        <v>8.2190937444000003</v>
      </c>
    </row>
    <row r="474" spans="1:12" x14ac:dyDescent="0.2">
      <c r="B474" t="s">
        <v>48</v>
      </c>
      <c r="C474" s="28">
        <v>6</v>
      </c>
      <c r="D474">
        <v>1</v>
      </c>
      <c r="E474">
        <v>12</v>
      </c>
      <c r="F474" t="s">
        <v>339</v>
      </c>
      <c r="G474" t="s">
        <v>777</v>
      </c>
      <c r="H474" t="s">
        <v>1071</v>
      </c>
      <c r="I474">
        <f t="shared" si="30"/>
        <v>72</v>
      </c>
      <c r="J474">
        <f t="shared" si="31"/>
        <v>32.658650639999998</v>
      </c>
      <c r="K474">
        <v>0.19600000000000001</v>
      </c>
      <c r="L474">
        <f t="shared" si="32"/>
        <v>6.4010955254399997</v>
      </c>
    </row>
    <row r="475" spans="1:12" x14ac:dyDescent="0.2">
      <c r="B475" t="s">
        <v>48</v>
      </c>
      <c r="C475" s="28">
        <v>2</v>
      </c>
      <c r="D475">
        <v>1</v>
      </c>
      <c r="E475">
        <v>12</v>
      </c>
      <c r="F475" t="s">
        <v>346</v>
      </c>
      <c r="G475" t="s">
        <v>777</v>
      </c>
      <c r="H475" t="s">
        <v>1071</v>
      </c>
      <c r="I475">
        <f t="shared" si="30"/>
        <v>24</v>
      </c>
      <c r="J475">
        <f t="shared" si="31"/>
        <v>10.886216880000001</v>
      </c>
      <c r="K475">
        <v>0.19600000000000001</v>
      </c>
      <c r="L475">
        <f t="shared" si="32"/>
        <v>2.1336985084800002</v>
      </c>
    </row>
    <row r="476" spans="1:12" x14ac:dyDescent="0.2">
      <c r="A476" s="4">
        <v>43437</v>
      </c>
      <c r="B476" t="s">
        <v>538</v>
      </c>
      <c r="C476">
        <v>2</v>
      </c>
      <c r="D476">
        <v>4</v>
      </c>
      <c r="E476">
        <v>11.01</v>
      </c>
      <c r="F476" t="s">
        <v>435</v>
      </c>
      <c r="G476" s="6" t="s">
        <v>864</v>
      </c>
      <c r="H476" s="9" t="s">
        <v>1071</v>
      </c>
      <c r="I476">
        <f t="shared" si="30"/>
        <v>88.08</v>
      </c>
      <c r="J476">
        <f t="shared" si="31"/>
        <v>39.952415949600002</v>
      </c>
      <c r="K476">
        <v>6.7539999999999996</v>
      </c>
      <c r="L476">
        <f t="shared" si="32"/>
        <v>269.83861732359838</v>
      </c>
    </row>
    <row r="477" spans="1:12" x14ac:dyDescent="0.2">
      <c r="A477" s="4">
        <v>43434</v>
      </c>
      <c r="B477" t="s">
        <v>538</v>
      </c>
      <c r="C477">
        <v>1</v>
      </c>
      <c r="D477">
        <v>4</v>
      </c>
      <c r="E477">
        <v>11.01</v>
      </c>
      <c r="F477" t="s">
        <v>435</v>
      </c>
      <c r="G477" t="s">
        <v>902</v>
      </c>
      <c r="H477" s="9" t="s">
        <v>1071</v>
      </c>
      <c r="I477">
        <f t="shared" si="30"/>
        <v>44.04</v>
      </c>
      <c r="J477">
        <f t="shared" si="31"/>
        <v>19.976207974800001</v>
      </c>
      <c r="K477">
        <v>6.7539999999999996</v>
      </c>
      <c r="L477">
        <f t="shared" si="32"/>
        <v>134.91930866179919</v>
      </c>
    </row>
    <row r="478" spans="1:12" x14ac:dyDescent="0.2">
      <c r="B478" t="s">
        <v>48</v>
      </c>
      <c r="C478" s="28">
        <v>3</v>
      </c>
      <c r="D478">
        <v>1</v>
      </c>
      <c r="E478">
        <v>4.1719999999999997</v>
      </c>
      <c r="F478" t="s">
        <v>278</v>
      </c>
      <c r="G478" t="s">
        <v>798</v>
      </c>
      <c r="H478" t="s">
        <v>1071</v>
      </c>
      <c r="I478">
        <f t="shared" si="30"/>
        <v>12.515999999999998</v>
      </c>
      <c r="J478">
        <f t="shared" si="31"/>
        <v>5.6771621029199997</v>
      </c>
      <c r="K478">
        <v>1.6639999999999999</v>
      </c>
      <c r="L478">
        <f t="shared" si="32"/>
        <v>9.4467977392588782</v>
      </c>
    </row>
    <row r="479" spans="1:12" x14ac:dyDescent="0.2">
      <c r="B479" t="s">
        <v>48</v>
      </c>
      <c r="C479" s="28">
        <v>1</v>
      </c>
      <c r="D479">
        <v>1</v>
      </c>
      <c r="E479">
        <v>4.1719999999999997</v>
      </c>
      <c r="F479" t="s">
        <v>278</v>
      </c>
      <c r="G479" t="s">
        <v>798</v>
      </c>
      <c r="H479" t="s">
        <v>1071</v>
      </c>
      <c r="I479">
        <f t="shared" si="30"/>
        <v>4.1719999999999997</v>
      </c>
      <c r="J479">
        <f t="shared" si="31"/>
        <v>1.8923873676399998</v>
      </c>
      <c r="K479">
        <v>1.6639999999999999</v>
      </c>
      <c r="L479">
        <f t="shared" si="32"/>
        <v>3.1489325797529597</v>
      </c>
    </row>
    <row r="480" spans="1:12" x14ac:dyDescent="0.2">
      <c r="B480" t="s">
        <v>48</v>
      </c>
      <c r="C480" s="28">
        <v>6</v>
      </c>
      <c r="D480">
        <v>1</v>
      </c>
      <c r="E480">
        <v>4.1719999999999997</v>
      </c>
      <c r="F480" t="s">
        <v>278</v>
      </c>
      <c r="G480" t="s">
        <v>798</v>
      </c>
      <c r="H480" t="s">
        <v>1071</v>
      </c>
      <c r="I480">
        <f t="shared" si="30"/>
        <v>25.031999999999996</v>
      </c>
      <c r="J480">
        <f t="shared" si="31"/>
        <v>11.354324205839999</v>
      </c>
      <c r="K480">
        <v>1.6639999999999999</v>
      </c>
      <c r="L480">
        <f t="shared" si="32"/>
        <v>18.893595478517756</v>
      </c>
    </row>
    <row r="481" spans="2:12" x14ac:dyDescent="0.2">
      <c r="B481" t="s">
        <v>48</v>
      </c>
      <c r="C481" s="28">
        <v>2</v>
      </c>
      <c r="D481">
        <v>1</v>
      </c>
      <c r="E481">
        <v>4.1719999999999997</v>
      </c>
      <c r="F481" t="s">
        <v>278</v>
      </c>
      <c r="G481" t="s">
        <v>798</v>
      </c>
      <c r="H481" t="s">
        <v>1071</v>
      </c>
      <c r="I481">
        <f t="shared" si="30"/>
        <v>8.3439999999999994</v>
      </c>
      <c r="J481">
        <f t="shared" si="31"/>
        <v>3.7847747352799996</v>
      </c>
      <c r="K481">
        <v>1.6639999999999999</v>
      </c>
      <c r="L481">
        <f t="shared" si="32"/>
        <v>6.2978651595059194</v>
      </c>
    </row>
    <row r="482" spans="2:12" x14ac:dyDescent="0.2">
      <c r="B482" t="s">
        <v>48</v>
      </c>
      <c r="C482" s="28">
        <v>5</v>
      </c>
      <c r="D482">
        <v>1</v>
      </c>
      <c r="E482">
        <v>4.1719999999999997</v>
      </c>
      <c r="F482" t="s">
        <v>278</v>
      </c>
      <c r="G482" t="s">
        <v>798</v>
      </c>
      <c r="H482" t="s">
        <v>1071</v>
      </c>
      <c r="I482">
        <f t="shared" si="30"/>
        <v>20.86</v>
      </c>
      <c r="J482">
        <f t="shared" si="31"/>
        <v>9.4619368381999998</v>
      </c>
      <c r="K482">
        <v>1.6639999999999999</v>
      </c>
      <c r="L482">
        <f t="shared" si="32"/>
        <v>15.744662898764799</v>
      </c>
    </row>
    <row r="483" spans="2:12" x14ac:dyDescent="0.2">
      <c r="B483" t="s">
        <v>48</v>
      </c>
      <c r="C483" s="28">
        <v>2</v>
      </c>
      <c r="D483">
        <v>1</v>
      </c>
      <c r="E483">
        <v>4.1719999999999997</v>
      </c>
      <c r="F483" t="s">
        <v>378</v>
      </c>
      <c r="G483" t="s">
        <v>193</v>
      </c>
      <c r="H483" t="s">
        <v>1071</v>
      </c>
      <c r="I483">
        <f t="shared" si="30"/>
        <v>8.3439999999999994</v>
      </c>
      <c r="J483">
        <f t="shared" si="31"/>
        <v>3.7847747352799996</v>
      </c>
      <c r="K483">
        <v>1.6639999999999999</v>
      </c>
      <c r="L483">
        <f t="shared" si="32"/>
        <v>6.2978651595059194</v>
      </c>
    </row>
    <row r="484" spans="2:12" x14ac:dyDescent="0.2">
      <c r="B484" t="s">
        <v>48</v>
      </c>
      <c r="C484" s="28">
        <v>3</v>
      </c>
      <c r="D484">
        <v>1</v>
      </c>
      <c r="E484">
        <v>10</v>
      </c>
      <c r="F484" t="s">
        <v>328</v>
      </c>
      <c r="G484" t="s">
        <v>334</v>
      </c>
      <c r="H484" t="s">
        <v>1071</v>
      </c>
      <c r="I484">
        <f t="shared" si="30"/>
        <v>30</v>
      </c>
      <c r="J484">
        <f t="shared" si="31"/>
        <v>13.607771100000001</v>
      </c>
      <c r="K484">
        <v>0.47</v>
      </c>
      <c r="L484">
        <f t="shared" si="32"/>
        <v>6.395652417</v>
      </c>
    </row>
    <row r="485" spans="2:12" x14ac:dyDescent="0.2">
      <c r="B485" t="s">
        <v>48</v>
      </c>
      <c r="C485" s="28">
        <v>1</v>
      </c>
      <c r="D485">
        <v>1</v>
      </c>
      <c r="E485">
        <v>20</v>
      </c>
      <c r="F485" t="s">
        <v>334</v>
      </c>
      <c r="G485" t="s">
        <v>334</v>
      </c>
      <c r="H485" t="s">
        <v>1071</v>
      </c>
      <c r="I485">
        <f t="shared" si="30"/>
        <v>20</v>
      </c>
      <c r="J485">
        <f t="shared" si="31"/>
        <v>9.0718474000000011</v>
      </c>
      <c r="K485">
        <v>0.47</v>
      </c>
      <c r="L485">
        <f t="shared" si="32"/>
        <v>4.2637682780000006</v>
      </c>
    </row>
    <row r="486" spans="2:12" x14ac:dyDescent="0.2">
      <c r="B486" t="s">
        <v>48</v>
      </c>
      <c r="C486" s="28">
        <v>8</v>
      </c>
      <c r="D486">
        <v>1</v>
      </c>
      <c r="E486">
        <v>10</v>
      </c>
      <c r="F486" t="s">
        <v>335</v>
      </c>
      <c r="G486" t="s">
        <v>334</v>
      </c>
      <c r="H486" t="s">
        <v>1071</v>
      </c>
      <c r="I486">
        <f t="shared" si="30"/>
        <v>80</v>
      </c>
      <c r="J486">
        <f t="shared" si="31"/>
        <v>36.287389600000004</v>
      </c>
      <c r="K486">
        <v>0.47</v>
      </c>
      <c r="L486">
        <f t="shared" si="32"/>
        <v>17.055073112000002</v>
      </c>
    </row>
    <row r="487" spans="2:12" x14ac:dyDescent="0.2">
      <c r="B487" t="s">
        <v>48</v>
      </c>
      <c r="C487" s="28">
        <v>1</v>
      </c>
      <c r="D487">
        <v>1</v>
      </c>
      <c r="E487">
        <v>10</v>
      </c>
      <c r="F487" t="s">
        <v>328</v>
      </c>
      <c r="G487" t="s">
        <v>334</v>
      </c>
      <c r="H487" t="s">
        <v>1071</v>
      </c>
      <c r="I487">
        <f t="shared" si="30"/>
        <v>10</v>
      </c>
      <c r="J487">
        <f t="shared" si="31"/>
        <v>4.5359237000000006</v>
      </c>
      <c r="K487">
        <v>0.47</v>
      </c>
      <c r="L487">
        <f t="shared" si="32"/>
        <v>2.1318841390000003</v>
      </c>
    </row>
    <row r="488" spans="2:12" x14ac:dyDescent="0.2">
      <c r="B488" t="s">
        <v>48</v>
      </c>
      <c r="C488" s="28">
        <v>1</v>
      </c>
      <c r="D488">
        <v>1</v>
      </c>
      <c r="E488">
        <v>25</v>
      </c>
      <c r="F488" t="s">
        <v>334</v>
      </c>
      <c r="G488" t="s">
        <v>334</v>
      </c>
      <c r="H488" t="s">
        <v>1071</v>
      </c>
      <c r="I488">
        <f t="shared" si="30"/>
        <v>25</v>
      </c>
      <c r="J488">
        <f t="shared" si="31"/>
        <v>11.33980925</v>
      </c>
      <c r="K488">
        <v>0.47</v>
      </c>
      <c r="L488">
        <f t="shared" si="32"/>
        <v>5.3297103474999998</v>
      </c>
    </row>
    <row r="489" spans="2:12" x14ac:dyDescent="0.2">
      <c r="B489" t="s">
        <v>48</v>
      </c>
      <c r="C489" s="28">
        <v>8</v>
      </c>
      <c r="D489">
        <v>1</v>
      </c>
      <c r="E489">
        <v>10</v>
      </c>
      <c r="F489" t="s">
        <v>335</v>
      </c>
      <c r="G489" t="s">
        <v>334</v>
      </c>
      <c r="H489" t="s">
        <v>1071</v>
      </c>
      <c r="I489">
        <f t="shared" si="30"/>
        <v>80</v>
      </c>
      <c r="J489">
        <f t="shared" si="31"/>
        <v>36.287389600000004</v>
      </c>
      <c r="K489">
        <v>0.47</v>
      </c>
      <c r="L489">
        <f t="shared" si="32"/>
        <v>17.055073112000002</v>
      </c>
    </row>
    <row r="490" spans="2:12" x14ac:dyDescent="0.2">
      <c r="B490" t="s">
        <v>48</v>
      </c>
      <c r="C490" s="28">
        <v>1</v>
      </c>
      <c r="D490">
        <v>1</v>
      </c>
      <c r="E490">
        <v>10</v>
      </c>
      <c r="F490" t="s">
        <v>328</v>
      </c>
      <c r="G490" t="s">
        <v>334</v>
      </c>
      <c r="H490" t="s">
        <v>1071</v>
      </c>
      <c r="I490">
        <f t="shared" si="30"/>
        <v>10</v>
      </c>
      <c r="J490">
        <f t="shared" si="31"/>
        <v>4.5359237000000006</v>
      </c>
      <c r="K490">
        <v>0.47</v>
      </c>
      <c r="L490">
        <f t="shared" si="32"/>
        <v>2.1318841390000003</v>
      </c>
    </row>
    <row r="491" spans="2:12" x14ac:dyDescent="0.2">
      <c r="B491" t="s">
        <v>48</v>
      </c>
      <c r="C491" s="28">
        <v>2</v>
      </c>
      <c r="D491">
        <v>1</v>
      </c>
      <c r="E491">
        <v>25</v>
      </c>
      <c r="F491" t="s">
        <v>194</v>
      </c>
      <c r="G491" t="s">
        <v>194</v>
      </c>
      <c r="H491" t="s">
        <v>1071</v>
      </c>
      <c r="I491">
        <f t="shared" si="30"/>
        <v>50</v>
      </c>
      <c r="J491">
        <f t="shared" si="31"/>
        <v>22.6796185</v>
      </c>
      <c r="K491">
        <v>0.47</v>
      </c>
      <c r="L491">
        <f t="shared" si="32"/>
        <v>10.659420695</v>
      </c>
    </row>
    <row r="492" spans="2:12" x14ac:dyDescent="0.2">
      <c r="B492" t="s">
        <v>48</v>
      </c>
      <c r="C492" s="28">
        <v>5</v>
      </c>
      <c r="D492">
        <v>1</v>
      </c>
      <c r="E492">
        <v>10</v>
      </c>
      <c r="F492" t="s">
        <v>77</v>
      </c>
      <c r="G492" t="s">
        <v>194</v>
      </c>
      <c r="H492" t="s">
        <v>1071</v>
      </c>
      <c r="I492">
        <f t="shared" si="30"/>
        <v>50</v>
      </c>
      <c r="J492">
        <f t="shared" si="31"/>
        <v>22.6796185</v>
      </c>
      <c r="K492">
        <v>0.47</v>
      </c>
      <c r="L492">
        <f t="shared" si="32"/>
        <v>10.659420695</v>
      </c>
    </row>
    <row r="493" spans="2:12" x14ac:dyDescent="0.2">
      <c r="B493" t="s">
        <v>48</v>
      </c>
      <c r="C493" s="28">
        <v>1</v>
      </c>
      <c r="D493">
        <v>1</v>
      </c>
      <c r="E493">
        <v>10</v>
      </c>
      <c r="F493" t="s">
        <v>328</v>
      </c>
      <c r="G493" t="s">
        <v>334</v>
      </c>
      <c r="H493" t="s">
        <v>1071</v>
      </c>
      <c r="I493">
        <f t="shared" si="30"/>
        <v>10</v>
      </c>
      <c r="J493">
        <f t="shared" si="31"/>
        <v>4.5359237000000006</v>
      </c>
      <c r="K493">
        <v>0.47</v>
      </c>
      <c r="L493">
        <f t="shared" si="32"/>
        <v>2.1318841390000003</v>
      </c>
    </row>
    <row r="494" spans="2:12" x14ac:dyDescent="0.2">
      <c r="B494" t="s">
        <v>48</v>
      </c>
      <c r="C494" s="28">
        <v>1</v>
      </c>
      <c r="D494">
        <v>1</v>
      </c>
      <c r="E494">
        <v>25</v>
      </c>
      <c r="F494" t="s">
        <v>334</v>
      </c>
      <c r="G494" t="s">
        <v>334</v>
      </c>
      <c r="H494" t="s">
        <v>1071</v>
      </c>
      <c r="I494">
        <f t="shared" si="30"/>
        <v>25</v>
      </c>
      <c r="J494">
        <f t="shared" si="31"/>
        <v>11.33980925</v>
      </c>
      <c r="K494">
        <v>0.47</v>
      </c>
      <c r="L494">
        <f t="shared" si="32"/>
        <v>5.3297103474999998</v>
      </c>
    </row>
    <row r="495" spans="2:12" x14ac:dyDescent="0.2">
      <c r="B495" t="s">
        <v>48</v>
      </c>
      <c r="C495" s="28">
        <v>8</v>
      </c>
      <c r="D495">
        <v>1</v>
      </c>
      <c r="E495">
        <v>10</v>
      </c>
      <c r="F495" t="s">
        <v>335</v>
      </c>
      <c r="G495" t="s">
        <v>334</v>
      </c>
      <c r="H495" t="s">
        <v>1071</v>
      </c>
      <c r="I495">
        <f t="shared" si="30"/>
        <v>80</v>
      </c>
      <c r="J495">
        <f t="shared" si="31"/>
        <v>36.287389600000004</v>
      </c>
      <c r="K495">
        <v>0.47</v>
      </c>
      <c r="L495">
        <f t="shared" si="32"/>
        <v>17.055073112000002</v>
      </c>
    </row>
    <row r="496" spans="2:12" x14ac:dyDescent="0.2">
      <c r="B496" t="s">
        <v>48</v>
      </c>
      <c r="C496" s="28">
        <v>1</v>
      </c>
      <c r="D496">
        <v>1</v>
      </c>
      <c r="E496">
        <v>10</v>
      </c>
      <c r="F496" t="s">
        <v>328</v>
      </c>
      <c r="G496" t="s">
        <v>334</v>
      </c>
      <c r="H496" t="s">
        <v>1071</v>
      </c>
      <c r="I496">
        <f t="shared" si="30"/>
        <v>10</v>
      </c>
      <c r="J496">
        <f t="shared" si="31"/>
        <v>4.5359237000000006</v>
      </c>
      <c r="K496">
        <v>0.47</v>
      </c>
      <c r="L496">
        <f t="shared" si="32"/>
        <v>2.1318841390000003</v>
      </c>
    </row>
    <row r="497" spans="1:12" x14ac:dyDescent="0.2">
      <c r="B497" t="s">
        <v>48</v>
      </c>
      <c r="C497" s="28">
        <v>1</v>
      </c>
      <c r="D497">
        <v>1</v>
      </c>
      <c r="E497">
        <v>20</v>
      </c>
      <c r="F497" t="s">
        <v>334</v>
      </c>
      <c r="G497" t="s">
        <v>334</v>
      </c>
      <c r="H497" t="s">
        <v>1071</v>
      </c>
      <c r="I497">
        <f t="shared" si="30"/>
        <v>20</v>
      </c>
      <c r="J497">
        <f t="shared" si="31"/>
        <v>9.0718474000000011</v>
      </c>
      <c r="K497">
        <v>0.47</v>
      </c>
      <c r="L497">
        <f t="shared" si="32"/>
        <v>4.2637682780000006</v>
      </c>
    </row>
    <row r="498" spans="1:12" x14ac:dyDescent="0.2">
      <c r="B498" t="s">
        <v>48</v>
      </c>
      <c r="C498" s="28">
        <v>6</v>
      </c>
      <c r="D498">
        <v>1</v>
      </c>
      <c r="E498">
        <v>10</v>
      </c>
      <c r="F498" t="s">
        <v>335</v>
      </c>
      <c r="G498" t="s">
        <v>334</v>
      </c>
      <c r="H498" t="s">
        <v>1071</v>
      </c>
      <c r="I498">
        <f t="shared" si="30"/>
        <v>60</v>
      </c>
      <c r="J498">
        <f t="shared" si="31"/>
        <v>27.215542200000002</v>
      </c>
      <c r="K498">
        <v>0.47</v>
      </c>
      <c r="L498">
        <f t="shared" si="32"/>
        <v>12.791304834</v>
      </c>
    </row>
    <row r="499" spans="1:12" x14ac:dyDescent="0.2">
      <c r="B499" t="s">
        <v>48</v>
      </c>
      <c r="C499" s="28">
        <v>2</v>
      </c>
      <c r="D499">
        <v>1</v>
      </c>
      <c r="E499">
        <v>10</v>
      </c>
      <c r="F499" t="s">
        <v>70</v>
      </c>
      <c r="G499" t="s">
        <v>194</v>
      </c>
      <c r="H499" t="s">
        <v>1071</v>
      </c>
      <c r="I499">
        <f t="shared" si="30"/>
        <v>20</v>
      </c>
      <c r="J499">
        <f t="shared" si="31"/>
        <v>9.0718474000000011</v>
      </c>
      <c r="K499">
        <v>0.47</v>
      </c>
      <c r="L499">
        <f t="shared" si="32"/>
        <v>4.2637682780000006</v>
      </c>
    </row>
    <row r="500" spans="1:12" x14ac:dyDescent="0.2">
      <c r="B500" t="s">
        <v>48</v>
      </c>
      <c r="C500" s="28">
        <v>1</v>
      </c>
      <c r="D500">
        <v>1</v>
      </c>
      <c r="E500">
        <v>20</v>
      </c>
      <c r="F500" t="s">
        <v>194</v>
      </c>
      <c r="G500" t="s">
        <v>194</v>
      </c>
      <c r="H500" t="s">
        <v>1071</v>
      </c>
      <c r="I500">
        <f t="shared" si="30"/>
        <v>20</v>
      </c>
      <c r="J500">
        <f t="shared" si="31"/>
        <v>9.0718474000000011</v>
      </c>
      <c r="K500">
        <v>0.47</v>
      </c>
      <c r="L500">
        <f t="shared" si="32"/>
        <v>4.2637682780000006</v>
      </c>
    </row>
    <row r="501" spans="1:12" x14ac:dyDescent="0.2">
      <c r="B501" t="s">
        <v>48</v>
      </c>
      <c r="C501" s="28">
        <v>10</v>
      </c>
      <c r="D501">
        <v>1</v>
      </c>
      <c r="E501">
        <v>10</v>
      </c>
      <c r="F501" t="s">
        <v>77</v>
      </c>
      <c r="G501" t="s">
        <v>194</v>
      </c>
      <c r="H501" t="s">
        <v>1071</v>
      </c>
      <c r="I501">
        <f t="shared" si="30"/>
        <v>100</v>
      </c>
      <c r="J501">
        <f t="shared" si="31"/>
        <v>45.359237</v>
      </c>
      <c r="K501">
        <v>0.47</v>
      </c>
      <c r="L501">
        <f t="shared" si="32"/>
        <v>21.318841389999999</v>
      </c>
    </row>
    <row r="502" spans="1:12" x14ac:dyDescent="0.2">
      <c r="A502" s="4">
        <v>43434</v>
      </c>
      <c r="B502" t="s">
        <v>538</v>
      </c>
      <c r="C502">
        <v>4</v>
      </c>
      <c r="D502">
        <v>6</v>
      </c>
      <c r="E502">
        <v>10</v>
      </c>
      <c r="F502" t="s">
        <v>544</v>
      </c>
      <c r="G502" t="s">
        <v>857</v>
      </c>
      <c r="H502" s="9" t="s">
        <v>1071</v>
      </c>
      <c r="I502">
        <f t="shared" si="30"/>
        <v>240</v>
      </c>
      <c r="J502">
        <f t="shared" si="31"/>
        <v>108.86216880000001</v>
      </c>
      <c r="K502">
        <v>0.47</v>
      </c>
      <c r="L502">
        <f t="shared" si="32"/>
        <v>51.165219336</v>
      </c>
    </row>
    <row r="503" spans="1:12" x14ac:dyDescent="0.2">
      <c r="A503" s="4">
        <v>43434</v>
      </c>
      <c r="B503" t="s">
        <v>538</v>
      </c>
      <c r="C503">
        <v>4</v>
      </c>
      <c r="D503">
        <v>6</v>
      </c>
      <c r="E503">
        <v>10</v>
      </c>
      <c r="F503" t="s">
        <v>432</v>
      </c>
      <c r="G503" t="s">
        <v>857</v>
      </c>
      <c r="H503" s="9" t="s">
        <v>1071</v>
      </c>
      <c r="I503">
        <f t="shared" si="30"/>
        <v>240</v>
      </c>
      <c r="J503">
        <f t="shared" si="31"/>
        <v>108.86216880000001</v>
      </c>
      <c r="K503">
        <v>0.47</v>
      </c>
      <c r="L503">
        <f t="shared" si="32"/>
        <v>51.165219336</v>
      </c>
    </row>
    <row r="504" spans="1:12" x14ac:dyDescent="0.2">
      <c r="A504" s="4">
        <v>43434</v>
      </c>
      <c r="B504" t="s">
        <v>538</v>
      </c>
      <c r="C504">
        <v>8</v>
      </c>
      <c r="D504">
        <v>6</v>
      </c>
      <c r="E504">
        <v>10</v>
      </c>
      <c r="F504" t="s">
        <v>546</v>
      </c>
      <c r="G504" t="s">
        <v>857</v>
      </c>
      <c r="H504" s="9" t="s">
        <v>1071</v>
      </c>
      <c r="I504">
        <f t="shared" si="30"/>
        <v>480</v>
      </c>
      <c r="J504">
        <f t="shared" si="31"/>
        <v>217.72433760000001</v>
      </c>
      <c r="K504">
        <v>0.47</v>
      </c>
      <c r="L504">
        <f t="shared" si="32"/>
        <v>102.330438672</v>
      </c>
    </row>
    <row r="505" spans="1:12" x14ac:dyDescent="0.2">
      <c r="A505" s="4">
        <v>43437</v>
      </c>
      <c r="B505" t="s">
        <v>538</v>
      </c>
      <c r="C505">
        <v>2</v>
      </c>
      <c r="D505">
        <v>6</v>
      </c>
      <c r="E505">
        <v>10</v>
      </c>
      <c r="F505" t="s">
        <v>432</v>
      </c>
      <c r="G505" t="s">
        <v>857</v>
      </c>
      <c r="H505" s="9" t="s">
        <v>1071</v>
      </c>
      <c r="I505">
        <f t="shared" ref="I505:I535" si="33">C505*D505*E505</f>
        <v>120</v>
      </c>
      <c r="J505">
        <f t="shared" si="31"/>
        <v>54.431084400000003</v>
      </c>
      <c r="K505">
        <v>0.47</v>
      </c>
      <c r="L505">
        <f t="shared" si="32"/>
        <v>25.582609668</v>
      </c>
    </row>
    <row r="506" spans="1:12" x14ac:dyDescent="0.2">
      <c r="A506" s="4">
        <v>43439</v>
      </c>
      <c r="B506" t="s">
        <v>538</v>
      </c>
      <c r="C506">
        <v>6</v>
      </c>
      <c r="D506">
        <v>6</v>
      </c>
      <c r="E506">
        <v>10</v>
      </c>
      <c r="F506" t="s">
        <v>432</v>
      </c>
      <c r="G506" t="s">
        <v>857</v>
      </c>
      <c r="H506" s="9" t="s">
        <v>1071</v>
      </c>
      <c r="I506">
        <f t="shared" si="33"/>
        <v>360</v>
      </c>
      <c r="J506">
        <f t="shared" si="31"/>
        <v>163.29325320000001</v>
      </c>
      <c r="K506">
        <v>0.47</v>
      </c>
      <c r="L506">
        <f t="shared" si="32"/>
        <v>76.747829003999996</v>
      </c>
    </row>
    <row r="507" spans="1:12" x14ac:dyDescent="0.2">
      <c r="A507" s="4">
        <v>43439</v>
      </c>
      <c r="B507" t="s">
        <v>538</v>
      </c>
      <c r="C507">
        <v>1</v>
      </c>
      <c r="D507">
        <v>6</v>
      </c>
      <c r="E507">
        <v>10</v>
      </c>
      <c r="F507" t="s">
        <v>546</v>
      </c>
      <c r="G507" t="s">
        <v>857</v>
      </c>
      <c r="H507" s="9" t="s">
        <v>1071</v>
      </c>
      <c r="I507">
        <f t="shared" si="33"/>
        <v>60</v>
      </c>
      <c r="J507">
        <f t="shared" si="31"/>
        <v>27.215542200000002</v>
      </c>
      <c r="K507">
        <v>0.47</v>
      </c>
      <c r="L507">
        <f t="shared" si="32"/>
        <v>12.791304834</v>
      </c>
    </row>
    <row r="508" spans="1:12" x14ac:dyDescent="0.2">
      <c r="A508" s="4">
        <v>43437</v>
      </c>
      <c r="B508" t="s">
        <v>538</v>
      </c>
      <c r="C508">
        <v>1</v>
      </c>
      <c r="D508">
        <v>6</v>
      </c>
      <c r="E508">
        <v>10</v>
      </c>
      <c r="F508" t="s">
        <v>574</v>
      </c>
      <c r="G508" s="6" t="s">
        <v>917</v>
      </c>
      <c r="H508" s="9" t="s">
        <v>1071</v>
      </c>
      <c r="I508">
        <f t="shared" si="33"/>
        <v>60</v>
      </c>
      <c r="J508">
        <f t="shared" si="31"/>
        <v>27.215542200000002</v>
      </c>
      <c r="K508">
        <v>0.11799999999999999</v>
      </c>
      <c r="L508">
        <f t="shared" si="32"/>
        <v>3.2114339796000002</v>
      </c>
    </row>
    <row r="509" spans="1:12" x14ac:dyDescent="0.2">
      <c r="A509" s="4">
        <v>43434</v>
      </c>
      <c r="B509" t="s">
        <v>531</v>
      </c>
      <c r="C509">
        <v>2</v>
      </c>
      <c r="D509">
        <v>12</v>
      </c>
      <c r="E509">
        <f>60*0.0661387</f>
        <v>3.9683219999999997</v>
      </c>
      <c r="F509" t="s">
        <v>534</v>
      </c>
      <c r="G509" s="6" t="s">
        <v>892</v>
      </c>
      <c r="H509" s="9" t="s">
        <v>1071</v>
      </c>
      <c r="I509">
        <f t="shared" si="33"/>
        <v>95.239727999999985</v>
      </c>
      <c r="J509">
        <f t="shared" si="31"/>
        <v>43.200013941675351</v>
      </c>
      <c r="K509">
        <v>1.28</v>
      </c>
      <c r="L509">
        <f t="shared" si="32"/>
        <v>55.296017845344451</v>
      </c>
    </row>
    <row r="510" spans="1:12" x14ac:dyDescent="0.2">
      <c r="A510" s="4">
        <v>43434</v>
      </c>
      <c r="B510" t="s">
        <v>531</v>
      </c>
      <c r="C510">
        <v>2</v>
      </c>
      <c r="D510">
        <v>6</v>
      </c>
      <c r="E510">
        <f>12*0.0661387</f>
        <v>0.79366439999999994</v>
      </c>
      <c r="F510" t="s">
        <v>414</v>
      </c>
      <c r="G510" s="6" t="s">
        <v>894</v>
      </c>
      <c r="H510" s="9" t="s">
        <v>1071</v>
      </c>
      <c r="I510">
        <f t="shared" si="33"/>
        <v>9.5239727999999992</v>
      </c>
      <c r="J510">
        <f t="shared" si="31"/>
        <v>4.3200013941675364</v>
      </c>
      <c r="K510">
        <v>1.28</v>
      </c>
      <c r="L510">
        <f t="shared" si="32"/>
        <v>5.5296017845344467</v>
      </c>
    </row>
    <row r="511" spans="1:12" x14ac:dyDescent="0.2">
      <c r="A511" s="4">
        <v>43434</v>
      </c>
      <c r="B511" t="s">
        <v>531</v>
      </c>
      <c r="C511">
        <v>2</v>
      </c>
      <c r="D511">
        <v>6</v>
      </c>
      <c r="E511">
        <f>12*0.0661387</f>
        <v>0.79366439999999994</v>
      </c>
      <c r="F511" t="s">
        <v>415</v>
      </c>
      <c r="G511" s="6" t="s">
        <v>894</v>
      </c>
      <c r="H511" s="9" t="s">
        <v>1071</v>
      </c>
      <c r="I511">
        <f t="shared" si="33"/>
        <v>9.5239727999999992</v>
      </c>
      <c r="J511">
        <f t="shared" si="31"/>
        <v>4.3200013941675364</v>
      </c>
      <c r="K511">
        <v>1.28</v>
      </c>
      <c r="L511">
        <f t="shared" si="32"/>
        <v>5.5296017845344467</v>
      </c>
    </row>
    <row r="512" spans="1:12" x14ac:dyDescent="0.2">
      <c r="A512" s="4">
        <v>43437</v>
      </c>
      <c r="B512" t="s">
        <v>531</v>
      </c>
      <c r="C512">
        <v>1</v>
      </c>
      <c r="D512">
        <v>24</v>
      </c>
      <c r="E512">
        <f>12*0.0661387</f>
        <v>0.79366439999999994</v>
      </c>
      <c r="F512" t="s">
        <v>408</v>
      </c>
      <c r="G512" s="6" t="s">
        <v>913</v>
      </c>
      <c r="H512" s="9" t="s">
        <v>1071</v>
      </c>
      <c r="I512">
        <f t="shared" si="33"/>
        <v>19.047945599999998</v>
      </c>
      <c r="J512">
        <f t="shared" si="31"/>
        <v>8.6400027883350727</v>
      </c>
      <c r="K512">
        <v>1.28</v>
      </c>
      <c r="L512">
        <f t="shared" si="32"/>
        <v>11.059203569068893</v>
      </c>
    </row>
    <row r="513" spans="1:12" x14ac:dyDescent="0.2">
      <c r="A513" s="4">
        <v>43437</v>
      </c>
      <c r="B513" t="s">
        <v>531</v>
      </c>
      <c r="C513">
        <v>1</v>
      </c>
      <c r="D513">
        <v>6</v>
      </c>
      <c r="E513">
        <f>12*0.0661387</f>
        <v>0.79366439999999994</v>
      </c>
      <c r="F513" t="s">
        <v>415</v>
      </c>
      <c r="G513" s="6" t="s">
        <v>913</v>
      </c>
      <c r="H513" s="9" t="s">
        <v>1071</v>
      </c>
      <c r="I513">
        <f t="shared" si="33"/>
        <v>4.7619863999999996</v>
      </c>
      <c r="J513">
        <f t="shared" si="31"/>
        <v>2.1600006970837682</v>
      </c>
      <c r="K513">
        <v>1.28</v>
      </c>
      <c r="L513">
        <f t="shared" si="32"/>
        <v>2.7648008922672234</v>
      </c>
    </row>
    <row r="514" spans="1:12" x14ac:dyDescent="0.2">
      <c r="A514" s="4">
        <v>43434</v>
      </c>
      <c r="B514" t="s">
        <v>538</v>
      </c>
      <c r="C514">
        <v>1</v>
      </c>
      <c r="D514">
        <v>6</v>
      </c>
      <c r="E514">
        <f>66.5/16</f>
        <v>4.15625</v>
      </c>
      <c r="F514" t="s">
        <v>427</v>
      </c>
      <c r="G514" t="s">
        <v>862</v>
      </c>
      <c r="H514" s="9" t="s">
        <v>1072</v>
      </c>
      <c r="I514">
        <f t="shared" si="33"/>
        <v>24.9375</v>
      </c>
      <c r="J514">
        <f t="shared" si="31"/>
        <v>11.311459726875</v>
      </c>
      <c r="K514">
        <v>2.1480000000000001</v>
      </c>
      <c r="L514">
        <f t="shared" si="32"/>
        <v>24.297015493327503</v>
      </c>
    </row>
    <row r="515" spans="1:12" x14ac:dyDescent="0.2">
      <c r="A515" s="4">
        <v>43437</v>
      </c>
      <c r="B515" t="s">
        <v>538</v>
      </c>
      <c r="C515">
        <v>1</v>
      </c>
      <c r="D515">
        <v>6</v>
      </c>
      <c r="E515">
        <f>66.5/16</f>
        <v>4.15625</v>
      </c>
      <c r="F515" t="s">
        <v>427</v>
      </c>
      <c r="G515" t="s">
        <v>862</v>
      </c>
      <c r="H515" s="9" t="s">
        <v>1072</v>
      </c>
      <c r="I515">
        <f t="shared" si="33"/>
        <v>24.9375</v>
      </c>
      <c r="J515">
        <f t="shared" ref="J515:J535" si="34">CONVERT(I515,"lbm","kg")</f>
        <v>11.311459726875</v>
      </c>
      <c r="K515">
        <v>2.1480000000000001</v>
      </c>
      <c r="L515">
        <f t="shared" ref="L515:L535" si="35">J515*K515</f>
        <v>24.297015493327503</v>
      </c>
    </row>
    <row r="516" spans="1:12" x14ac:dyDescent="0.2">
      <c r="A516" s="4">
        <v>43434</v>
      </c>
      <c r="B516" t="s">
        <v>530</v>
      </c>
      <c r="C516">
        <v>1</v>
      </c>
      <c r="D516">
        <v>1</v>
      </c>
      <c r="E516">
        <v>72.5</v>
      </c>
      <c r="F516" t="s">
        <v>400</v>
      </c>
      <c r="G516" t="s">
        <v>852</v>
      </c>
      <c r="H516" s="9" t="s">
        <v>1072</v>
      </c>
      <c r="I516">
        <f t="shared" si="33"/>
        <v>72.5</v>
      </c>
      <c r="J516">
        <f t="shared" si="34"/>
        <v>32.885446825000002</v>
      </c>
      <c r="K516">
        <v>2.5710000000000002</v>
      </c>
      <c r="L516">
        <f t="shared" si="35"/>
        <v>84.548483787075014</v>
      </c>
    </row>
    <row r="517" spans="1:12" x14ac:dyDescent="0.2">
      <c r="A517" s="4">
        <v>43437</v>
      </c>
      <c r="B517" t="s">
        <v>530</v>
      </c>
      <c r="C517">
        <v>1</v>
      </c>
      <c r="D517">
        <v>1</v>
      </c>
      <c r="E517">
        <v>124.53</v>
      </c>
      <c r="F517" t="s">
        <v>568</v>
      </c>
      <c r="G517" t="s">
        <v>852</v>
      </c>
      <c r="H517" s="9" t="s">
        <v>1072</v>
      </c>
      <c r="I517">
        <f t="shared" si="33"/>
        <v>124.53</v>
      </c>
      <c r="J517">
        <f t="shared" si="34"/>
        <v>56.485857836100003</v>
      </c>
      <c r="K517">
        <v>2.5710000000000002</v>
      </c>
      <c r="L517">
        <f t="shared" si="35"/>
        <v>145.22514049661311</v>
      </c>
    </row>
    <row r="518" spans="1:12" x14ac:dyDescent="0.2">
      <c r="A518" s="4">
        <v>43437</v>
      </c>
      <c r="B518" t="s">
        <v>530</v>
      </c>
      <c r="C518">
        <v>4</v>
      </c>
      <c r="D518">
        <v>160</v>
      </c>
      <c r="E518">
        <f>1/16</f>
        <v>6.25E-2</v>
      </c>
      <c r="F518" t="s">
        <v>569</v>
      </c>
      <c r="G518" t="s">
        <v>852</v>
      </c>
      <c r="H518" s="9" t="s">
        <v>1072</v>
      </c>
      <c r="I518">
        <f t="shared" si="33"/>
        <v>40</v>
      </c>
      <c r="J518">
        <f t="shared" si="34"/>
        <v>18.143694800000002</v>
      </c>
      <c r="K518">
        <v>2.5710000000000002</v>
      </c>
      <c r="L518">
        <f t="shared" si="35"/>
        <v>46.647439330800012</v>
      </c>
    </row>
    <row r="519" spans="1:12" x14ac:dyDescent="0.2">
      <c r="A519" s="4">
        <v>43437</v>
      </c>
      <c r="B519" t="s">
        <v>530</v>
      </c>
      <c r="C519">
        <v>4</v>
      </c>
      <c r="D519">
        <v>2</v>
      </c>
      <c r="E519">
        <v>6</v>
      </c>
      <c r="F519" t="s">
        <v>402</v>
      </c>
      <c r="G519" t="s">
        <v>912</v>
      </c>
      <c r="H519" s="9" t="s">
        <v>1072</v>
      </c>
      <c r="I519">
        <f t="shared" si="33"/>
        <v>48</v>
      </c>
      <c r="J519">
        <f t="shared" si="34"/>
        <v>21.772433760000002</v>
      </c>
      <c r="K519">
        <v>2.5710000000000002</v>
      </c>
      <c r="L519">
        <f t="shared" si="35"/>
        <v>55.976927196960006</v>
      </c>
    </row>
    <row r="520" spans="1:12" x14ac:dyDescent="0.2">
      <c r="A520" s="4">
        <v>43439</v>
      </c>
      <c r="B520" t="s">
        <v>530</v>
      </c>
      <c r="C520">
        <v>3</v>
      </c>
      <c r="D520">
        <v>160</v>
      </c>
      <c r="E520">
        <f>1/16</f>
        <v>6.25E-2</v>
      </c>
      <c r="F520" t="s">
        <v>569</v>
      </c>
      <c r="G520" t="s">
        <v>852</v>
      </c>
      <c r="H520" s="9" t="s">
        <v>1072</v>
      </c>
      <c r="I520">
        <f t="shared" si="33"/>
        <v>30</v>
      </c>
      <c r="J520">
        <f t="shared" si="34"/>
        <v>13.607771100000001</v>
      </c>
      <c r="K520">
        <v>2.5710000000000002</v>
      </c>
      <c r="L520">
        <f t="shared" si="35"/>
        <v>34.985579498100002</v>
      </c>
    </row>
    <row r="521" spans="1:12" x14ac:dyDescent="0.2">
      <c r="A521" s="4">
        <v>43434</v>
      </c>
      <c r="B521" t="s">
        <v>538</v>
      </c>
      <c r="C521">
        <v>1</v>
      </c>
      <c r="D521">
        <v>4</v>
      </c>
      <c r="E521">
        <v>8.41</v>
      </c>
      <c r="F521" t="s">
        <v>558</v>
      </c>
      <c r="G521" t="s">
        <v>872</v>
      </c>
      <c r="H521" s="9" t="s">
        <v>1071</v>
      </c>
      <c r="I521">
        <f t="shared" si="33"/>
        <v>33.64</v>
      </c>
      <c r="J521">
        <f t="shared" si="34"/>
        <v>15.258847326800002</v>
      </c>
      <c r="K521">
        <v>0.34</v>
      </c>
      <c r="L521">
        <f t="shared" si="35"/>
        <v>5.1880080911120006</v>
      </c>
    </row>
    <row r="522" spans="1:12" x14ac:dyDescent="0.2">
      <c r="A522" s="4">
        <v>43437</v>
      </c>
      <c r="B522" t="s">
        <v>538</v>
      </c>
      <c r="C522">
        <v>1</v>
      </c>
      <c r="D522">
        <v>2</v>
      </c>
      <c r="E522" s="6">
        <f>5*2.39</f>
        <v>11.950000000000001</v>
      </c>
      <c r="F522" t="s">
        <v>450</v>
      </c>
      <c r="G522" t="s">
        <v>872</v>
      </c>
      <c r="H522" s="9" t="s">
        <v>1071</v>
      </c>
      <c r="I522">
        <f t="shared" si="33"/>
        <v>23.900000000000002</v>
      </c>
      <c r="J522">
        <f t="shared" si="34"/>
        <v>10.840857643000001</v>
      </c>
      <c r="K522">
        <v>0.34</v>
      </c>
      <c r="L522">
        <f t="shared" si="35"/>
        <v>3.6858915986200009</v>
      </c>
    </row>
    <row r="523" spans="1:12" x14ac:dyDescent="0.2">
      <c r="A523" s="4">
        <v>43439</v>
      </c>
      <c r="B523" t="s">
        <v>538</v>
      </c>
      <c r="C523">
        <v>1</v>
      </c>
      <c r="D523">
        <v>4</v>
      </c>
      <c r="E523">
        <v>8.41</v>
      </c>
      <c r="F523" t="s">
        <v>596</v>
      </c>
      <c r="G523" t="s">
        <v>872</v>
      </c>
      <c r="H523" s="9" t="s">
        <v>1071</v>
      </c>
      <c r="I523">
        <f t="shared" si="33"/>
        <v>33.64</v>
      </c>
      <c r="J523">
        <f t="shared" si="34"/>
        <v>15.258847326800002</v>
      </c>
      <c r="K523">
        <v>0.34</v>
      </c>
      <c r="L523">
        <f t="shared" si="35"/>
        <v>5.1880080911120006</v>
      </c>
    </row>
    <row r="524" spans="1:12" x14ac:dyDescent="0.2">
      <c r="A524" s="4">
        <v>43437</v>
      </c>
      <c r="B524" t="s">
        <v>538</v>
      </c>
      <c r="C524">
        <v>1</v>
      </c>
      <c r="D524">
        <v>6</v>
      </c>
      <c r="E524">
        <v>2</v>
      </c>
      <c r="F524" t="s">
        <v>570</v>
      </c>
      <c r="G524" s="6" t="s">
        <v>985</v>
      </c>
      <c r="H524" s="9" t="s">
        <v>1071</v>
      </c>
      <c r="I524">
        <f t="shared" si="33"/>
        <v>12</v>
      </c>
      <c r="J524">
        <f t="shared" si="34"/>
        <v>5.4431084400000005</v>
      </c>
      <c r="K524">
        <v>0.34699999999999998</v>
      </c>
      <c r="L524">
        <f t="shared" si="35"/>
        <v>1.88875862868</v>
      </c>
    </row>
    <row r="525" spans="1:12" x14ac:dyDescent="0.2">
      <c r="A525" s="4">
        <v>43437</v>
      </c>
      <c r="B525" t="s">
        <v>538</v>
      </c>
      <c r="C525">
        <v>1</v>
      </c>
      <c r="D525">
        <v>4</v>
      </c>
      <c r="E525">
        <v>8.41</v>
      </c>
      <c r="F525" t="s">
        <v>576</v>
      </c>
      <c r="G525" t="s">
        <v>873</v>
      </c>
      <c r="H525" s="9" t="s">
        <v>1071</v>
      </c>
      <c r="I525">
        <f t="shared" si="33"/>
        <v>33.64</v>
      </c>
      <c r="J525">
        <f t="shared" si="34"/>
        <v>15.258847326800002</v>
      </c>
      <c r="K525">
        <v>0.78</v>
      </c>
      <c r="L525">
        <f t="shared" si="35"/>
        <v>11.901900914904001</v>
      </c>
    </row>
    <row r="526" spans="1:12" x14ac:dyDescent="0.2">
      <c r="A526" s="4">
        <v>43437</v>
      </c>
      <c r="B526" t="s">
        <v>538</v>
      </c>
      <c r="C526">
        <v>1</v>
      </c>
      <c r="D526">
        <v>4</v>
      </c>
      <c r="E526">
        <v>8.41</v>
      </c>
      <c r="F526" t="s">
        <v>578</v>
      </c>
      <c r="G526" t="s">
        <v>873</v>
      </c>
      <c r="H526" s="9" t="s">
        <v>1071</v>
      </c>
      <c r="I526">
        <f t="shared" si="33"/>
        <v>33.64</v>
      </c>
      <c r="J526">
        <f t="shared" si="34"/>
        <v>15.258847326800002</v>
      </c>
      <c r="K526">
        <v>0.78</v>
      </c>
      <c r="L526">
        <f t="shared" si="35"/>
        <v>11.901900914904001</v>
      </c>
    </row>
    <row r="527" spans="1:12" x14ac:dyDescent="0.2">
      <c r="A527" s="4">
        <v>43439</v>
      </c>
      <c r="B527" t="s">
        <v>538</v>
      </c>
      <c r="C527">
        <v>1</v>
      </c>
      <c r="D527">
        <v>8</v>
      </c>
      <c r="E527">
        <f>12*0.0661387</f>
        <v>0.79366439999999994</v>
      </c>
      <c r="F527" t="s">
        <v>599</v>
      </c>
      <c r="G527" s="6" t="s">
        <v>856</v>
      </c>
      <c r="H527" s="9" t="s">
        <v>1071</v>
      </c>
      <c r="I527">
        <f t="shared" si="33"/>
        <v>6.3493151999999995</v>
      </c>
      <c r="J527">
        <f t="shared" si="34"/>
        <v>2.8800009294450239</v>
      </c>
      <c r="K527">
        <v>1.28</v>
      </c>
      <c r="L527">
        <f t="shared" si="35"/>
        <v>3.6864011896896307</v>
      </c>
    </row>
    <row r="528" spans="1:12" x14ac:dyDescent="0.2">
      <c r="A528" s="4">
        <v>43439</v>
      </c>
      <c r="B528" t="s">
        <v>531</v>
      </c>
      <c r="C528">
        <v>1</v>
      </c>
      <c r="D528">
        <v>6</v>
      </c>
      <c r="E528">
        <f>12*0.0661387</f>
        <v>0.79366439999999994</v>
      </c>
      <c r="F528" t="s">
        <v>415</v>
      </c>
      <c r="G528" s="6" t="s">
        <v>856</v>
      </c>
      <c r="H528" s="9" t="s">
        <v>1071</v>
      </c>
      <c r="I528">
        <f t="shared" si="33"/>
        <v>4.7619863999999996</v>
      </c>
      <c r="J528">
        <f t="shared" si="34"/>
        <v>2.1600006970837682</v>
      </c>
      <c r="K528">
        <v>1.28</v>
      </c>
      <c r="L528">
        <f t="shared" si="35"/>
        <v>2.7648008922672234</v>
      </c>
    </row>
    <row r="529" spans="1:12" x14ac:dyDescent="0.2">
      <c r="A529" s="4">
        <v>43434</v>
      </c>
      <c r="B529" t="s">
        <v>538</v>
      </c>
      <c r="C529">
        <v>2</v>
      </c>
      <c r="D529">
        <v>12</v>
      </c>
      <c r="E529">
        <v>2</v>
      </c>
      <c r="F529" t="s">
        <v>557</v>
      </c>
      <c r="G529" s="14" t="s">
        <v>871</v>
      </c>
      <c r="H529" s="9" t="s">
        <v>1071</v>
      </c>
      <c r="I529">
        <f t="shared" si="33"/>
        <v>48</v>
      </c>
      <c r="J529">
        <f t="shared" si="34"/>
        <v>21.772433760000002</v>
      </c>
      <c r="L529">
        <f t="shared" si="35"/>
        <v>0</v>
      </c>
    </row>
    <row r="530" spans="1:12" x14ac:dyDescent="0.2">
      <c r="A530" s="4">
        <v>43434</v>
      </c>
      <c r="B530" t="s">
        <v>517</v>
      </c>
      <c r="C530">
        <v>10</v>
      </c>
      <c r="D530">
        <v>2</v>
      </c>
      <c r="E530">
        <v>6</v>
      </c>
      <c r="F530" t="s">
        <v>383</v>
      </c>
      <c r="G530" t="s">
        <v>846</v>
      </c>
      <c r="H530" s="9" t="s">
        <v>1073</v>
      </c>
      <c r="I530">
        <f t="shared" si="33"/>
        <v>120</v>
      </c>
      <c r="J530">
        <f t="shared" si="34"/>
        <v>54.431084400000003</v>
      </c>
      <c r="K530">
        <v>1.33</v>
      </c>
      <c r="L530">
        <f t="shared" si="35"/>
        <v>72.393342252000011</v>
      </c>
    </row>
    <row r="531" spans="1:12" x14ac:dyDescent="0.2">
      <c r="A531" s="4">
        <v>43434</v>
      </c>
      <c r="B531" t="s">
        <v>517</v>
      </c>
      <c r="C531">
        <v>10</v>
      </c>
      <c r="D531">
        <v>2</v>
      </c>
      <c r="E531">
        <v>6</v>
      </c>
      <c r="F531" t="s">
        <v>384</v>
      </c>
      <c r="G531" t="s">
        <v>846</v>
      </c>
      <c r="H531" s="9" t="s">
        <v>1073</v>
      </c>
      <c r="I531">
        <f t="shared" si="33"/>
        <v>120</v>
      </c>
      <c r="J531">
        <f t="shared" si="34"/>
        <v>54.431084400000003</v>
      </c>
      <c r="K531">
        <v>1.33</v>
      </c>
      <c r="L531">
        <f t="shared" si="35"/>
        <v>72.393342252000011</v>
      </c>
    </row>
    <row r="532" spans="1:12" x14ac:dyDescent="0.2">
      <c r="A532" s="4">
        <v>43439</v>
      </c>
      <c r="B532" t="s">
        <v>517</v>
      </c>
      <c r="C532">
        <v>2</v>
      </c>
      <c r="D532">
        <v>2</v>
      </c>
      <c r="E532">
        <v>6</v>
      </c>
      <c r="F532" t="s">
        <v>384</v>
      </c>
      <c r="G532" t="s">
        <v>846</v>
      </c>
      <c r="H532" s="9" t="s">
        <v>1073</v>
      </c>
      <c r="I532">
        <f t="shared" si="33"/>
        <v>24</v>
      </c>
      <c r="J532">
        <f t="shared" si="34"/>
        <v>10.886216880000001</v>
      </c>
      <c r="K532">
        <v>1.33</v>
      </c>
      <c r="L532">
        <f t="shared" si="35"/>
        <v>14.478668450400002</v>
      </c>
    </row>
    <row r="533" spans="1:12" x14ac:dyDescent="0.2">
      <c r="A533" s="4">
        <v>43403</v>
      </c>
      <c r="B533" t="s">
        <v>48</v>
      </c>
      <c r="C533" s="28">
        <v>3</v>
      </c>
      <c r="D533">
        <v>1</v>
      </c>
      <c r="E533">
        <v>12</v>
      </c>
      <c r="F533" s="6" t="s">
        <v>1015</v>
      </c>
      <c r="G533" t="s">
        <v>807</v>
      </c>
      <c r="H533" t="s">
        <v>1073</v>
      </c>
      <c r="I533">
        <f t="shared" si="33"/>
        <v>36</v>
      </c>
      <c r="J533">
        <f t="shared" si="34"/>
        <v>16.329325319999999</v>
      </c>
      <c r="K533">
        <v>1.33</v>
      </c>
      <c r="L533">
        <f t="shared" si="35"/>
        <v>21.718002675600001</v>
      </c>
    </row>
    <row r="534" spans="1:12" x14ac:dyDescent="0.2">
      <c r="A534" s="4">
        <v>43399</v>
      </c>
      <c r="B534" t="s">
        <v>48</v>
      </c>
      <c r="C534" s="28">
        <v>2</v>
      </c>
      <c r="D534">
        <v>1</v>
      </c>
      <c r="E534">
        <v>12</v>
      </c>
      <c r="F534" s="6" t="s">
        <v>1015</v>
      </c>
      <c r="G534" t="s">
        <v>807</v>
      </c>
      <c r="H534" t="s">
        <v>1073</v>
      </c>
      <c r="I534">
        <f t="shared" si="33"/>
        <v>24</v>
      </c>
      <c r="J534">
        <f t="shared" si="34"/>
        <v>10.886216880000001</v>
      </c>
      <c r="K534">
        <v>1.33</v>
      </c>
      <c r="L534">
        <f t="shared" si="35"/>
        <v>14.478668450400002</v>
      </c>
    </row>
    <row r="535" spans="1:12" x14ac:dyDescent="0.2">
      <c r="A535" s="4">
        <v>43399</v>
      </c>
      <c r="B535" t="s">
        <v>48</v>
      </c>
      <c r="C535" s="28">
        <v>2</v>
      </c>
      <c r="D535">
        <v>1</v>
      </c>
      <c r="E535">
        <v>12</v>
      </c>
      <c r="F535" s="6" t="s">
        <v>1016</v>
      </c>
      <c r="G535" t="s">
        <v>807</v>
      </c>
      <c r="H535" t="s">
        <v>1073</v>
      </c>
      <c r="I535">
        <f t="shared" si="33"/>
        <v>24</v>
      </c>
      <c r="J535">
        <f t="shared" si="34"/>
        <v>10.886216880000001</v>
      </c>
      <c r="K535">
        <v>1.33</v>
      </c>
      <c r="L535">
        <f t="shared" si="35"/>
        <v>14.478668450400002</v>
      </c>
    </row>
    <row r="536" spans="1:12" x14ac:dyDescent="0.2">
      <c r="L536" s="33">
        <f>SUM(L3:L535)</f>
        <v>58305.56060342506</v>
      </c>
    </row>
  </sheetData>
  <sortState ref="A3:M536">
    <sortCondition ref="G535"/>
  </sortState>
  <mergeCells count="1">
    <mergeCell ref="A1:L1"/>
  </mergeCells>
  <phoneticPr fontId="12" type="noConversion"/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M516"/>
  <sheetViews>
    <sheetView workbookViewId="0">
      <pane ySplit="2" topLeftCell="A488" activePane="bottomLeft" state="frozen"/>
      <selection activeCell="B126" sqref="B126"/>
      <selection pane="bottomLeft" activeCell="B126" sqref="B126"/>
    </sheetView>
  </sheetViews>
  <sheetFormatPr baseColWidth="10" defaultRowHeight="16" x14ac:dyDescent="0.2"/>
  <cols>
    <col min="1" max="1" width="11.5" bestFit="1" customWidth="1"/>
    <col min="2" max="2" width="17.83203125" bestFit="1" customWidth="1"/>
    <col min="5" max="5" width="13.5" bestFit="1" customWidth="1"/>
    <col min="6" max="6" width="25.83203125" customWidth="1"/>
    <col min="7" max="8" width="17.83203125" customWidth="1"/>
    <col min="11" max="11" width="18.1640625" bestFit="1" customWidth="1"/>
    <col min="12" max="12" width="16" bestFit="1" customWidth="1"/>
    <col min="13" max="13" width="14" bestFit="1" customWidth="1"/>
    <col min="19" max="19" width="18" bestFit="1" customWidth="1"/>
  </cols>
  <sheetData>
    <row r="1" spans="1:12" x14ac:dyDescent="0.2">
      <c r="A1" s="94" t="s">
        <v>471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x14ac:dyDescent="0.2">
      <c r="A2" s="1" t="s">
        <v>0</v>
      </c>
      <c r="B2" s="1" t="s">
        <v>1</v>
      </c>
      <c r="C2" s="2" t="s">
        <v>172</v>
      </c>
      <c r="D2" s="2" t="s">
        <v>472</v>
      </c>
      <c r="E2" s="2" t="s">
        <v>173</v>
      </c>
      <c r="F2" s="31" t="s">
        <v>4</v>
      </c>
      <c r="G2" s="31" t="s">
        <v>780</v>
      </c>
      <c r="H2" s="31" t="s">
        <v>934</v>
      </c>
      <c r="I2" s="3" t="s">
        <v>938</v>
      </c>
      <c r="J2" s="3" t="s">
        <v>6</v>
      </c>
      <c r="K2" s="1" t="s">
        <v>7</v>
      </c>
      <c r="L2" s="1" t="s">
        <v>8</v>
      </c>
    </row>
    <row r="3" spans="1:12" x14ac:dyDescent="0.2">
      <c r="A3" s="10">
        <v>43434</v>
      </c>
      <c r="B3" s="8" t="s">
        <v>525</v>
      </c>
      <c r="C3" s="8">
        <v>2</v>
      </c>
      <c r="D3" s="8">
        <v>2</v>
      </c>
      <c r="E3">
        <v>5</v>
      </c>
      <c r="F3" t="s">
        <v>398</v>
      </c>
      <c r="G3" s="6" t="s">
        <v>890</v>
      </c>
      <c r="H3" s="6" t="s">
        <v>1072</v>
      </c>
      <c r="I3">
        <f t="shared" ref="I3:I50" si="0">C3*D3*E3</f>
        <v>20</v>
      </c>
      <c r="J3">
        <f t="shared" ref="J3:J66" si="1">CONVERT(I3,"lbm","kg")</f>
        <v>9.0718474000000011</v>
      </c>
      <c r="K3">
        <f>(0.5*32.846)+(0.5*5.56)</f>
        <v>19.202999999999999</v>
      </c>
      <c r="L3">
        <f t="shared" ref="L3:L66" si="2">J3*K3</f>
        <v>174.20668562220001</v>
      </c>
    </row>
    <row r="4" spans="1:12" x14ac:dyDescent="0.2">
      <c r="A4" s="4">
        <v>43439</v>
      </c>
      <c r="B4" t="s">
        <v>525</v>
      </c>
      <c r="C4">
        <v>1</v>
      </c>
      <c r="D4">
        <v>2</v>
      </c>
      <c r="E4">
        <v>5</v>
      </c>
      <c r="F4" t="s">
        <v>398</v>
      </c>
      <c r="G4" t="s">
        <v>890</v>
      </c>
      <c r="H4" t="s">
        <v>1072</v>
      </c>
      <c r="I4">
        <f t="shared" si="0"/>
        <v>10</v>
      </c>
      <c r="J4">
        <f t="shared" si="1"/>
        <v>4.5359237000000006</v>
      </c>
      <c r="K4">
        <f>(0.5*32.846)+(0.5*5.56)</f>
        <v>19.202999999999999</v>
      </c>
      <c r="L4">
        <f t="shared" si="2"/>
        <v>87.103342811100006</v>
      </c>
    </row>
    <row r="5" spans="1:12" x14ac:dyDescent="0.2">
      <c r="A5" s="4">
        <v>43399</v>
      </c>
      <c r="B5" t="s">
        <v>22</v>
      </c>
      <c r="C5" s="37">
        <v>1</v>
      </c>
      <c r="D5" s="37">
        <v>1</v>
      </c>
      <c r="E5">
        <v>100</v>
      </c>
      <c r="F5" t="s">
        <v>26</v>
      </c>
      <c r="G5" t="s">
        <v>767</v>
      </c>
      <c r="H5" s="9" t="s">
        <v>1071</v>
      </c>
      <c r="I5">
        <f t="shared" si="0"/>
        <v>100</v>
      </c>
      <c r="J5">
        <f t="shared" si="1"/>
        <v>45.359237</v>
      </c>
      <c r="K5">
        <v>0.22800000000000001</v>
      </c>
      <c r="L5">
        <f t="shared" si="2"/>
        <v>10.341906036000001</v>
      </c>
    </row>
    <row r="6" spans="1:12" x14ac:dyDescent="0.2">
      <c r="A6" s="4">
        <v>43399</v>
      </c>
      <c r="B6" t="s">
        <v>22</v>
      </c>
      <c r="C6" s="37">
        <v>1</v>
      </c>
      <c r="D6" s="37">
        <v>1</v>
      </c>
      <c r="E6">
        <v>159.6</v>
      </c>
      <c r="F6" t="s">
        <v>284</v>
      </c>
      <c r="G6" t="s">
        <v>767</v>
      </c>
      <c r="H6" s="9" t="s">
        <v>1071</v>
      </c>
      <c r="I6">
        <f t="shared" si="0"/>
        <v>159.6</v>
      </c>
      <c r="J6">
        <f t="shared" si="1"/>
        <v>72.393342252000011</v>
      </c>
      <c r="K6">
        <v>0.22800000000000001</v>
      </c>
      <c r="L6">
        <f t="shared" si="2"/>
        <v>16.505682033456004</v>
      </c>
    </row>
    <row r="7" spans="1:12" x14ac:dyDescent="0.2">
      <c r="A7" s="4">
        <v>43403</v>
      </c>
      <c r="B7" t="s">
        <v>22</v>
      </c>
      <c r="C7" s="37">
        <v>1</v>
      </c>
      <c r="D7" s="37">
        <v>1</v>
      </c>
      <c r="E7">
        <v>158.4</v>
      </c>
      <c r="F7" t="s">
        <v>289</v>
      </c>
      <c r="G7" t="s">
        <v>767</v>
      </c>
      <c r="H7" s="9" t="s">
        <v>1071</v>
      </c>
      <c r="I7">
        <f t="shared" si="0"/>
        <v>158.4</v>
      </c>
      <c r="J7">
        <f t="shared" si="1"/>
        <v>71.849031408000016</v>
      </c>
      <c r="K7">
        <v>0.22800000000000001</v>
      </c>
      <c r="L7">
        <f t="shared" si="2"/>
        <v>16.381579161024003</v>
      </c>
    </row>
    <row r="8" spans="1:12" x14ac:dyDescent="0.2">
      <c r="A8" s="4">
        <v>43403</v>
      </c>
      <c r="B8" t="s">
        <v>22</v>
      </c>
      <c r="C8" s="37">
        <v>1</v>
      </c>
      <c r="D8" s="37">
        <v>1</v>
      </c>
      <c r="E8">
        <v>159.6</v>
      </c>
      <c r="F8" t="s">
        <v>290</v>
      </c>
      <c r="G8" t="s">
        <v>767</v>
      </c>
      <c r="H8" s="9" t="s">
        <v>1071</v>
      </c>
      <c r="I8">
        <f t="shared" si="0"/>
        <v>159.6</v>
      </c>
      <c r="J8">
        <f t="shared" si="1"/>
        <v>72.393342252000011</v>
      </c>
      <c r="K8">
        <v>0.22800000000000001</v>
      </c>
      <c r="L8">
        <f t="shared" si="2"/>
        <v>16.505682033456004</v>
      </c>
    </row>
    <row r="9" spans="1:12" x14ac:dyDescent="0.2">
      <c r="A9" s="4">
        <v>43434</v>
      </c>
      <c r="B9" t="s">
        <v>48</v>
      </c>
      <c r="C9" s="28">
        <v>3</v>
      </c>
      <c r="D9" s="28">
        <v>1</v>
      </c>
      <c r="E9">
        <f>125*1/3</f>
        <v>41.666666666666664</v>
      </c>
      <c r="F9" t="s">
        <v>476</v>
      </c>
      <c r="G9" t="s">
        <v>835</v>
      </c>
      <c r="H9" t="s">
        <v>1071</v>
      </c>
      <c r="I9">
        <f t="shared" si="0"/>
        <v>125</v>
      </c>
      <c r="J9">
        <f t="shared" si="1"/>
        <v>56.699046250000002</v>
      </c>
      <c r="K9">
        <v>0.22800000000000001</v>
      </c>
      <c r="L9">
        <f t="shared" si="2"/>
        <v>12.927382545</v>
      </c>
    </row>
    <row r="10" spans="1:12" x14ac:dyDescent="0.2">
      <c r="A10" s="4">
        <v>43434</v>
      </c>
      <c r="B10" t="s">
        <v>48</v>
      </c>
      <c r="C10" s="28">
        <v>3</v>
      </c>
      <c r="D10" s="28">
        <v>1</v>
      </c>
      <c r="E10">
        <f>125*1/3</f>
        <v>41.666666666666664</v>
      </c>
      <c r="F10" t="s">
        <v>477</v>
      </c>
      <c r="G10" t="s">
        <v>835</v>
      </c>
      <c r="H10" t="s">
        <v>1071</v>
      </c>
      <c r="I10">
        <f t="shared" si="0"/>
        <v>125</v>
      </c>
      <c r="J10">
        <f t="shared" si="1"/>
        <v>56.699046250000002</v>
      </c>
      <c r="K10">
        <v>0.22800000000000001</v>
      </c>
      <c r="L10">
        <f t="shared" si="2"/>
        <v>12.927382545</v>
      </c>
    </row>
    <row r="11" spans="1:12" x14ac:dyDescent="0.2">
      <c r="A11" s="4">
        <v>43437</v>
      </c>
      <c r="B11" t="s">
        <v>48</v>
      </c>
      <c r="C11" s="28">
        <v>2</v>
      </c>
      <c r="D11" s="28">
        <v>1</v>
      </c>
      <c r="E11">
        <f>125*1/3</f>
        <v>41.666666666666664</v>
      </c>
      <c r="F11" t="s">
        <v>477</v>
      </c>
      <c r="G11" t="s">
        <v>835</v>
      </c>
      <c r="H11" t="s">
        <v>1071</v>
      </c>
      <c r="I11">
        <f t="shared" si="0"/>
        <v>83.333333333333329</v>
      </c>
      <c r="J11">
        <f t="shared" si="1"/>
        <v>37.79936416666667</v>
      </c>
      <c r="K11">
        <v>0.22800000000000001</v>
      </c>
      <c r="L11">
        <f t="shared" si="2"/>
        <v>8.618255030000002</v>
      </c>
    </row>
    <row r="12" spans="1:12" x14ac:dyDescent="0.2">
      <c r="A12" s="4">
        <v>43437</v>
      </c>
      <c r="B12" t="s">
        <v>538</v>
      </c>
      <c r="C12">
        <v>1</v>
      </c>
      <c r="D12">
        <v>6</v>
      </c>
      <c r="E12">
        <v>10</v>
      </c>
      <c r="F12" t="s">
        <v>577</v>
      </c>
      <c r="G12" s="6" t="s">
        <v>918</v>
      </c>
      <c r="H12" t="s">
        <v>1071</v>
      </c>
      <c r="I12">
        <f t="shared" si="0"/>
        <v>60</v>
      </c>
      <c r="J12">
        <f t="shared" si="1"/>
        <v>27.215542200000002</v>
      </c>
      <c r="K12">
        <v>3.25</v>
      </c>
      <c r="L12">
        <f t="shared" si="2"/>
        <v>88.450512150000009</v>
      </c>
    </row>
    <row r="13" spans="1:12" x14ac:dyDescent="0.2">
      <c r="A13" s="4">
        <v>43434</v>
      </c>
      <c r="B13" t="s">
        <v>538</v>
      </c>
      <c r="C13">
        <v>2</v>
      </c>
      <c r="D13">
        <v>6</v>
      </c>
      <c r="E13">
        <v>6.6138700000000004</v>
      </c>
      <c r="F13" t="s">
        <v>447</v>
      </c>
      <c r="G13" t="s">
        <v>870</v>
      </c>
      <c r="H13" t="s">
        <v>1071</v>
      </c>
      <c r="I13">
        <f t="shared" si="0"/>
        <v>79.366440000000011</v>
      </c>
      <c r="J13">
        <f t="shared" si="1"/>
        <v>36.000011618062807</v>
      </c>
      <c r="K13">
        <v>0.84599999999999997</v>
      </c>
      <c r="L13">
        <f t="shared" si="2"/>
        <v>30.456009828881133</v>
      </c>
    </row>
    <row r="14" spans="1:12" x14ac:dyDescent="0.2">
      <c r="A14" s="4">
        <v>43438</v>
      </c>
      <c r="B14" t="s">
        <v>48</v>
      </c>
      <c r="C14" s="28">
        <v>6</v>
      </c>
      <c r="D14" s="28">
        <v>1</v>
      </c>
      <c r="E14">
        <v>11</v>
      </c>
      <c r="F14" t="s">
        <v>337</v>
      </c>
      <c r="G14" t="s">
        <v>816</v>
      </c>
      <c r="H14" t="s">
        <v>1071</v>
      </c>
      <c r="I14">
        <f t="shared" si="0"/>
        <v>66</v>
      </c>
      <c r="J14">
        <f t="shared" si="1"/>
        <v>29.937096420000003</v>
      </c>
      <c r="K14">
        <v>2.1709999999999998</v>
      </c>
      <c r="L14">
        <f t="shared" si="2"/>
        <v>64.993436327820007</v>
      </c>
    </row>
    <row r="15" spans="1:12" x14ac:dyDescent="0.2">
      <c r="A15" s="4">
        <v>43439</v>
      </c>
      <c r="B15" t="s">
        <v>48</v>
      </c>
      <c r="C15" s="28">
        <v>1</v>
      </c>
      <c r="D15" s="28">
        <v>1</v>
      </c>
      <c r="E15">
        <v>48</v>
      </c>
      <c r="F15" t="s">
        <v>202</v>
      </c>
      <c r="G15" t="s">
        <v>202</v>
      </c>
      <c r="H15" t="s">
        <v>1071</v>
      </c>
      <c r="I15">
        <f t="shared" si="0"/>
        <v>48</v>
      </c>
      <c r="J15">
        <f t="shared" si="1"/>
        <v>21.772433760000002</v>
      </c>
      <c r="K15">
        <v>0.54700000000000004</v>
      </c>
      <c r="L15">
        <f t="shared" si="2"/>
        <v>11.909521266720002</v>
      </c>
    </row>
    <row r="16" spans="1:12" x14ac:dyDescent="0.2">
      <c r="A16" s="4">
        <v>43434</v>
      </c>
      <c r="B16" t="s">
        <v>531</v>
      </c>
      <c r="C16">
        <v>4</v>
      </c>
      <c r="D16">
        <v>4</v>
      </c>
      <c r="E16">
        <v>6</v>
      </c>
      <c r="F16" t="s">
        <v>537</v>
      </c>
      <c r="G16" t="s">
        <v>858</v>
      </c>
      <c r="H16" t="s">
        <v>1071</v>
      </c>
      <c r="I16">
        <f t="shared" si="0"/>
        <v>96</v>
      </c>
      <c r="J16">
        <f t="shared" si="1"/>
        <v>43.544867520000004</v>
      </c>
      <c r="K16">
        <v>0.374</v>
      </c>
      <c r="L16">
        <f t="shared" si="2"/>
        <v>16.285780452480001</v>
      </c>
    </row>
    <row r="17" spans="1:12" x14ac:dyDescent="0.2">
      <c r="A17" s="4">
        <v>43437</v>
      </c>
      <c r="B17" t="s">
        <v>531</v>
      </c>
      <c r="C17">
        <v>5</v>
      </c>
      <c r="D17">
        <v>4</v>
      </c>
      <c r="E17">
        <v>6</v>
      </c>
      <c r="F17" t="s">
        <v>413</v>
      </c>
      <c r="G17" t="s">
        <v>858</v>
      </c>
      <c r="H17" t="s">
        <v>1071</v>
      </c>
      <c r="I17">
        <f t="shared" si="0"/>
        <v>120</v>
      </c>
      <c r="J17">
        <f t="shared" si="1"/>
        <v>54.431084400000003</v>
      </c>
      <c r="K17">
        <v>0.374</v>
      </c>
      <c r="L17">
        <f t="shared" si="2"/>
        <v>20.3572255656</v>
      </c>
    </row>
    <row r="18" spans="1:12" x14ac:dyDescent="0.2">
      <c r="A18" s="4">
        <v>43434</v>
      </c>
      <c r="B18" t="s">
        <v>48</v>
      </c>
      <c r="C18" s="28">
        <v>8</v>
      </c>
      <c r="D18" s="28">
        <v>1</v>
      </c>
      <c r="E18">
        <v>40</v>
      </c>
      <c r="F18" t="s">
        <v>249</v>
      </c>
      <c r="G18" t="s">
        <v>783</v>
      </c>
      <c r="H18" t="s">
        <v>1071</v>
      </c>
      <c r="I18">
        <f t="shared" si="0"/>
        <v>320</v>
      </c>
      <c r="J18">
        <f t="shared" si="1"/>
        <v>145.14955840000002</v>
      </c>
      <c r="K18">
        <v>0.374</v>
      </c>
      <c r="L18">
        <f t="shared" si="2"/>
        <v>54.285934841600003</v>
      </c>
    </row>
    <row r="19" spans="1:12" x14ac:dyDescent="0.2">
      <c r="A19" s="4">
        <v>43435</v>
      </c>
      <c r="B19" t="s">
        <v>48</v>
      </c>
      <c r="C19" s="28">
        <v>8</v>
      </c>
      <c r="D19" s="28">
        <v>1</v>
      </c>
      <c r="E19">
        <v>40</v>
      </c>
      <c r="F19" t="s">
        <v>249</v>
      </c>
      <c r="G19" t="s">
        <v>783</v>
      </c>
      <c r="H19" t="s">
        <v>1071</v>
      </c>
      <c r="I19">
        <f t="shared" si="0"/>
        <v>320</v>
      </c>
      <c r="J19">
        <f t="shared" si="1"/>
        <v>145.14955840000002</v>
      </c>
      <c r="K19">
        <v>0.374</v>
      </c>
      <c r="L19">
        <f t="shared" si="2"/>
        <v>54.285934841600003</v>
      </c>
    </row>
    <row r="20" spans="1:12" x14ac:dyDescent="0.2">
      <c r="A20" s="4">
        <v>43437</v>
      </c>
      <c r="B20" t="s">
        <v>48</v>
      </c>
      <c r="C20" s="28">
        <v>8</v>
      </c>
      <c r="D20" s="28">
        <v>1</v>
      </c>
      <c r="E20">
        <v>40</v>
      </c>
      <c r="F20" t="s">
        <v>249</v>
      </c>
      <c r="G20" t="s">
        <v>783</v>
      </c>
      <c r="H20" t="s">
        <v>1071</v>
      </c>
      <c r="I20">
        <f t="shared" si="0"/>
        <v>320</v>
      </c>
      <c r="J20">
        <f t="shared" si="1"/>
        <v>145.14955840000002</v>
      </c>
      <c r="K20">
        <v>0.374</v>
      </c>
      <c r="L20">
        <f t="shared" si="2"/>
        <v>54.285934841600003</v>
      </c>
    </row>
    <row r="21" spans="1:12" x14ac:dyDescent="0.2">
      <c r="A21" s="4">
        <v>43438</v>
      </c>
      <c r="B21" t="s">
        <v>48</v>
      </c>
      <c r="C21" s="28">
        <v>7</v>
      </c>
      <c r="D21" s="28">
        <v>1</v>
      </c>
      <c r="E21">
        <v>40</v>
      </c>
      <c r="F21" t="s">
        <v>249</v>
      </c>
      <c r="G21" t="s">
        <v>783</v>
      </c>
      <c r="H21" t="s">
        <v>1071</v>
      </c>
      <c r="I21">
        <f t="shared" si="0"/>
        <v>280</v>
      </c>
      <c r="J21">
        <f t="shared" si="1"/>
        <v>127.00586360000001</v>
      </c>
      <c r="K21">
        <v>0.374</v>
      </c>
      <c r="L21">
        <f t="shared" si="2"/>
        <v>47.500192986400002</v>
      </c>
    </row>
    <row r="22" spans="1:12" x14ac:dyDescent="0.2">
      <c r="A22" s="4">
        <v>43439</v>
      </c>
      <c r="B22" t="s">
        <v>48</v>
      </c>
      <c r="C22" s="28">
        <v>8</v>
      </c>
      <c r="D22" s="28">
        <v>1</v>
      </c>
      <c r="E22">
        <v>40</v>
      </c>
      <c r="F22" t="s">
        <v>249</v>
      </c>
      <c r="G22" t="s">
        <v>783</v>
      </c>
      <c r="H22" t="s">
        <v>1071</v>
      </c>
      <c r="I22">
        <f t="shared" si="0"/>
        <v>320</v>
      </c>
      <c r="J22">
        <f t="shared" si="1"/>
        <v>145.14955840000002</v>
      </c>
      <c r="K22">
        <v>0.374</v>
      </c>
      <c r="L22">
        <f t="shared" si="2"/>
        <v>54.285934841600003</v>
      </c>
    </row>
    <row r="23" spans="1:12" x14ac:dyDescent="0.2">
      <c r="A23" s="4">
        <v>43440</v>
      </c>
      <c r="B23" t="s">
        <v>48</v>
      </c>
      <c r="C23" s="28">
        <v>8</v>
      </c>
      <c r="D23" s="28">
        <v>1</v>
      </c>
      <c r="E23">
        <v>40</v>
      </c>
      <c r="F23" t="s">
        <v>505</v>
      </c>
      <c r="G23" t="s">
        <v>81</v>
      </c>
      <c r="H23" t="s">
        <v>1071</v>
      </c>
      <c r="I23">
        <f t="shared" si="0"/>
        <v>320</v>
      </c>
      <c r="J23">
        <f t="shared" si="1"/>
        <v>145.14955840000002</v>
      </c>
      <c r="K23">
        <v>0.374</v>
      </c>
      <c r="L23">
        <f t="shared" si="2"/>
        <v>54.285934841600003</v>
      </c>
    </row>
    <row r="24" spans="1:12" x14ac:dyDescent="0.2">
      <c r="A24" s="4">
        <v>43434</v>
      </c>
      <c r="B24" t="s">
        <v>48</v>
      </c>
      <c r="C24" s="28">
        <v>2</v>
      </c>
      <c r="D24" s="28">
        <v>1</v>
      </c>
      <c r="E24">
        <v>1</v>
      </c>
      <c r="F24" t="s">
        <v>305</v>
      </c>
      <c r="G24" t="s">
        <v>184</v>
      </c>
      <c r="H24" t="s">
        <v>1071</v>
      </c>
      <c r="I24">
        <f t="shared" si="0"/>
        <v>2</v>
      </c>
      <c r="J24">
        <f t="shared" si="1"/>
        <v>0.90718474000000004</v>
      </c>
      <c r="K24">
        <v>0.221</v>
      </c>
      <c r="L24">
        <f t="shared" si="2"/>
        <v>0.20048782754000002</v>
      </c>
    </row>
    <row r="25" spans="1:12" x14ac:dyDescent="0.2">
      <c r="A25" s="4">
        <v>43435</v>
      </c>
      <c r="B25" t="s">
        <v>48</v>
      </c>
      <c r="C25" s="28">
        <v>3</v>
      </c>
      <c r="D25" s="28">
        <v>1</v>
      </c>
      <c r="E25">
        <v>1</v>
      </c>
      <c r="F25" t="s">
        <v>305</v>
      </c>
      <c r="G25" t="s">
        <v>184</v>
      </c>
      <c r="H25" t="s">
        <v>1071</v>
      </c>
      <c r="I25">
        <f t="shared" si="0"/>
        <v>3</v>
      </c>
      <c r="J25">
        <f t="shared" si="1"/>
        <v>1.3607771100000001</v>
      </c>
      <c r="K25">
        <v>0.221</v>
      </c>
      <c r="L25">
        <f t="shared" si="2"/>
        <v>0.30073174131000002</v>
      </c>
    </row>
    <row r="26" spans="1:12" x14ac:dyDescent="0.2">
      <c r="A26" s="4">
        <v>43438</v>
      </c>
      <c r="B26" t="s">
        <v>48</v>
      </c>
      <c r="C26" s="28">
        <v>3</v>
      </c>
      <c r="D26" s="28">
        <v>1</v>
      </c>
      <c r="E26">
        <v>1</v>
      </c>
      <c r="F26" t="s">
        <v>305</v>
      </c>
      <c r="G26" t="s">
        <v>813</v>
      </c>
      <c r="H26" t="s">
        <v>1071</v>
      </c>
      <c r="I26">
        <f t="shared" si="0"/>
        <v>3</v>
      </c>
      <c r="J26">
        <f t="shared" si="1"/>
        <v>1.3607771100000001</v>
      </c>
      <c r="K26">
        <v>0.221</v>
      </c>
      <c r="L26">
        <f t="shared" si="2"/>
        <v>0.30073174131000002</v>
      </c>
    </row>
    <row r="27" spans="1:12" x14ac:dyDescent="0.2">
      <c r="A27" s="4">
        <v>43434</v>
      </c>
      <c r="B27" t="s">
        <v>538</v>
      </c>
      <c r="C27">
        <v>3</v>
      </c>
      <c r="D27">
        <v>6</v>
      </c>
      <c r="E27">
        <v>10</v>
      </c>
      <c r="F27" t="s">
        <v>420</v>
      </c>
      <c r="G27" t="s">
        <v>898</v>
      </c>
      <c r="H27" t="s">
        <v>1071</v>
      </c>
      <c r="I27">
        <f t="shared" si="0"/>
        <v>180</v>
      </c>
      <c r="J27">
        <f t="shared" si="1"/>
        <v>81.646626600000005</v>
      </c>
      <c r="K27">
        <v>0.308</v>
      </c>
      <c r="L27">
        <f t="shared" si="2"/>
        <v>25.1471609928</v>
      </c>
    </row>
    <row r="28" spans="1:12" x14ac:dyDescent="0.2">
      <c r="A28" s="4">
        <v>43439</v>
      </c>
      <c r="B28" t="s">
        <v>538</v>
      </c>
      <c r="C28">
        <v>1</v>
      </c>
      <c r="D28">
        <v>6</v>
      </c>
      <c r="E28">
        <v>10</v>
      </c>
      <c r="F28" t="s">
        <v>420</v>
      </c>
      <c r="G28" t="s">
        <v>898</v>
      </c>
      <c r="H28" t="s">
        <v>1071</v>
      </c>
      <c r="I28">
        <f t="shared" si="0"/>
        <v>60</v>
      </c>
      <c r="J28">
        <f t="shared" si="1"/>
        <v>27.215542200000002</v>
      </c>
      <c r="K28">
        <v>0.308</v>
      </c>
      <c r="L28">
        <f t="shared" si="2"/>
        <v>8.3823869976000012</v>
      </c>
    </row>
    <row r="29" spans="1:12" x14ac:dyDescent="0.2">
      <c r="A29" s="4">
        <v>43434</v>
      </c>
      <c r="B29" t="s">
        <v>538</v>
      </c>
      <c r="C29">
        <v>2</v>
      </c>
      <c r="D29">
        <v>6</v>
      </c>
      <c r="E29">
        <v>10</v>
      </c>
      <c r="F29" t="s">
        <v>565</v>
      </c>
      <c r="G29" t="s">
        <v>935</v>
      </c>
      <c r="H29" t="s">
        <v>1071</v>
      </c>
      <c r="I29">
        <f t="shared" si="0"/>
        <v>120</v>
      </c>
      <c r="J29">
        <f t="shared" si="1"/>
        <v>54.431084400000003</v>
      </c>
      <c r="K29">
        <v>0.308</v>
      </c>
      <c r="L29">
        <f t="shared" si="2"/>
        <v>16.764773995200002</v>
      </c>
    </row>
    <row r="30" spans="1:12" x14ac:dyDescent="0.2">
      <c r="A30" s="4">
        <v>43434</v>
      </c>
      <c r="B30" t="s">
        <v>538</v>
      </c>
      <c r="C30">
        <v>3</v>
      </c>
      <c r="D30">
        <v>6</v>
      </c>
      <c r="E30">
        <v>10</v>
      </c>
      <c r="F30" t="s">
        <v>540</v>
      </c>
      <c r="G30" t="s">
        <v>897</v>
      </c>
      <c r="H30" t="s">
        <v>1071</v>
      </c>
      <c r="I30">
        <f t="shared" si="0"/>
        <v>180</v>
      </c>
      <c r="J30">
        <f t="shared" si="1"/>
        <v>81.646626600000005</v>
      </c>
      <c r="K30">
        <v>0.308</v>
      </c>
      <c r="L30">
        <f t="shared" si="2"/>
        <v>25.1471609928</v>
      </c>
    </row>
    <row r="31" spans="1:12" x14ac:dyDescent="0.2">
      <c r="A31" s="4">
        <v>43439</v>
      </c>
      <c r="B31" t="s">
        <v>538</v>
      </c>
      <c r="C31">
        <v>1</v>
      </c>
      <c r="D31">
        <v>6</v>
      </c>
      <c r="E31">
        <v>10</v>
      </c>
      <c r="F31" t="s">
        <v>440</v>
      </c>
      <c r="G31" t="s">
        <v>922</v>
      </c>
      <c r="H31" t="s">
        <v>1071</v>
      </c>
      <c r="I31">
        <f t="shared" si="0"/>
        <v>60</v>
      </c>
      <c r="J31">
        <f t="shared" si="1"/>
        <v>27.215542200000002</v>
      </c>
      <c r="K31">
        <v>0.308</v>
      </c>
      <c r="L31">
        <f t="shared" si="2"/>
        <v>8.3823869976000012</v>
      </c>
    </row>
    <row r="32" spans="1:12" x14ac:dyDescent="0.2">
      <c r="A32" s="4">
        <v>43439</v>
      </c>
      <c r="B32" t="s">
        <v>538</v>
      </c>
      <c r="C32">
        <v>1</v>
      </c>
      <c r="D32">
        <v>1</v>
      </c>
      <c r="E32">
        <v>20</v>
      </c>
      <c r="F32" t="s">
        <v>591</v>
      </c>
      <c r="G32" t="s">
        <v>920</v>
      </c>
      <c r="H32" t="s">
        <v>1071</v>
      </c>
      <c r="I32">
        <f t="shared" si="0"/>
        <v>20</v>
      </c>
      <c r="J32">
        <f t="shared" si="1"/>
        <v>9.0718474000000011</v>
      </c>
      <c r="K32">
        <v>0.308</v>
      </c>
      <c r="L32">
        <f t="shared" si="2"/>
        <v>2.7941289992000002</v>
      </c>
    </row>
    <row r="33" spans="1:13" x14ac:dyDescent="0.2">
      <c r="A33" s="4">
        <v>43434</v>
      </c>
      <c r="B33" t="s">
        <v>48</v>
      </c>
      <c r="C33" s="28">
        <v>2</v>
      </c>
      <c r="D33" s="28">
        <v>1</v>
      </c>
      <c r="E33">
        <v>10</v>
      </c>
      <c r="F33" t="s">
        <v>487</v>
      </c>
      <c r="G33" t="s">
        <v>833</v>
      </c>
      <c r="H33" t="s">
        <v>1071</v>
      </c>
      <c r="I33">
        <f t="shared" si="0"/>
        <v>20</v>
      </c>
      <c r="J33">
        <f t="shared" si="1"/>
        <v>9.0718474000000011</v>
      </c>
      <c r="K33">
        <v>0.754</v>
      </c>
      <c r="L33">
        <f t="shared" si="2"/>
        <v>6.8401729396000013</v>
      </c>
    </row>
    <row r="34" spans="1:13" x14ac:dyDescent="0.2">
      <c r="A34" s="4">
        <v>43439</v>
      </c>
      <c r="B34" t="s">
        <v>48</v>
      </c>
      <c r="C34" s="28">
        <v>3</v>
      </c>
      <c r="D34" s="28">
        <v>1</v>
      </c>
      <c r="E34">
        <v>10</v>
      </c>
      <c r="F34" t="s">
        <v>358</v>
      </c>
      <c r="G34" t="s">
        <v>833</v>
      </c>
      <c r="H34" t="s">
        <v>1071</v>
      </c>
      <c r="I34">
        <f t="shared" si="0"/>
        <v>30</v>
      </c>
      <c r="J34">
        <f t="shared" si="1"/>
        <v>13.607771100000001</v>
      </c>
      <c r="K34">
        <v>0.754</v>
      </c>
      <c r="L34">
        <f t="shared" si="2"/>
        <v>10.260259409400001</v>
      </c>
    </row>
    <row r="35" spans="1:13" x14ac:dyDescent="0.2">
      <c r="A35" s="4">
        <v>43434</v>
      </c>
      <c r="B35" t="s">
        <v>48</v>
      </c>
      <c r="C35" s="28">
        <v>10</v>
      </c>
      <c r="D35" s="28">
        <v>1</v>
      </c>
      <c r="E35">
        <v>10</v>
      </c>
      <c r="F35" t="s">
        <v>347</v>
      </c>
      <c r="G35" t="s">
        <v>936</v>
      </c>
      <c r="H35" t="s">
        <v>1071</v>
      </c>
      <c r="I35">
        <f t="shared" si="0"/>
        <v>100</v>
      </c>
      <c r="J35">
        <f t="shared" si="1"/>
        <v>45.359237</v>
      </c>
      <c r="K35">
        <v>0.66200000000000003</v>
      </c>
      <c r="L35">
        <f t="shared" si="2"/>
        <v>30.027814894000002</v>
      </c>
    </row>
    <row r="36" spans="1:13" x14ac:dyDescent="0.2">
      <c r="A36" s="4">
        <v>43437</v>
      </c>
      <c r="B36" t="s">
        <v>48</v>
      </c>
      <c r="C36" s="28">
        <v>10</v>
      </c>
      <c r="D36" s="28">
        <v>1</v>
      </c>
      <c r="E36">
        <v>10</v>
      </c>
      <c r="F36" t="s">
        <v>347</v>
      </c>
      <c r="G36" t="s">
        <v>936</v>
      </c>
      <c r="H36" t="s">
        <v>1071</v>
      </c>
      <c r="I36">
        <f t="shared" si="0"/>
        <v>100</v>
      </c>
      <c r="J36">
        <f t="shared" si="1"/>
        <v>45.359237</v>
      </c>
      <c r="K36">
        <v>0.66200000000000003</v>
      </c>
      <c r="L36">
        <f t="shared" si="2"/>
        <v>30.027814894000002</v>
      </c>
    </row>
    <row r="37" spans="1:13" x14ac:dyDescent="0.2">
      <c r="A37" s="4">
        <v>43440</v>
      </c>
      <c r="B37" t="s">
        <v>48</v>
      </c>
      <c r="C37" s="28">
        <v>10</v>
      </c>
      <c r="D37" s="28">
        <v>1</v>
      </c>
      <c r="E37">
        <v>10</v>
      </c>
      <c r="F37" t="s">
        <v>506</v>
      </c>
      <c r="G37" t="s">
        <v>936</v>
      </c>
      <c r="H37" t="s">
        <v>1071</v>
      </c>
      <c r="I37">
        <f t="shared" si="0"/>
        <v>100</v>
      </c>
      <c r="J37">
        <f t="shared" si="1"/>
        <v>45.359237</v>
      </c>
      <c r="K37">
        <v>0.66200000000000003</v>
      </c>
      <c r="L37">
        <f t="shared" si="2"/>
        <v>30.027814894000002</v>
      </c>
    </row>
    <row r="38" spans="1:13" x14ac:dyDescent="0.2">
      <c r="A38" s="4">
        <v>43439</v>
      </c>
      <c r="B38" t="s">
        <v>48</v>
      </c>
      <c r="C38" s="28">
        <v>2</v>
      </c>
      <c r="D38" s="28">
        <v>1</v>
      </c>
      <c r="E38">
        <v>20</v>
      </c>
      <c r="F38" t="s">
        <v>250</v>
      </c>
      <c r="G38" t="s">
        <v>830</v>
      </c>
      <c r="H38" t="s">
        <v>1071</v>
      </c>
      <c r="I38">
        <f t="shared" si="0"/>
        <v>40</v>
      </c>
      <c r="J38">
        <f t="shared" si="1"/>
        <v>18.143694800000002</v>
      </c>
      <c r="K38">
        <v>1.1539999999999999</v>
      </c>
      <c r="L38">
        <f t="shared" si="2"/>
        <v>20.9378237992</v>
      </c>
    </row>
    <row r="39" spans="1:13" x14ac:dyDescent="0.2">
      <c r="A39" s="4">
        <v>43434</v>
      </c>
      <c r="B39" t="s">
        <v>48</v>
      </c>
      <c r="C39" s="28">
        <v>2</v>
      </c>
      <c r="D39" s="28">
        <v>1</v>
      </c>
      <c r="E39">
        <v>20</v>
      </c>
      <c r="F39" t="s">
        <v>478</v>
      </c>
      <c r="G39" t="s">
        <v>830</v>
      </c>
      <c r="H39" t="s">
        <v>1071</v>
      </c>
      <c r="I39">
        <f t="shared" si="0"/>
        <v>40</v>
      </c>
      <c r="J39">
        <f t="shared" si="1"/>
        <v>18.143694800000002</v>
      </c>
      <c r="K39">
        <v>1.1539999999999999</v>
      </c>
      <c r="L39">
        <f t="shared" si="2"/>
        <v>20.9378237992</v>
      </c>
    </row>
    <row r="40" spans="1:13" x14ac:dyDescent="0.2">
      <c r="A40" s="4">
        <v>43399</v>
      </c>
      <c r="B40" t="s">
        <v>175</v>
      </c>
      <c r="C40" s="37">
        <v>1</v>
      </c>
      <c r="D40" s="37">
        <v>1</v>
      </c>
      <c r="E40">
        <v>81.040000000000006</v>
      </c>
      <c r="F40" t="s">
        <v>177</v>
      </c>
      <c r="G40" t="s">
        <v>10</v>
      </c>
      <c r="H40" s="9" t="s">
        <v>1072</v>
      </c>
      <c r="I40">
        <f t="shared" si="0"/>
        <v>81.040000000000006</v>
      </c>
      <c r="J40">
        <f t="shared" si="1"/>
        <v>36.759125664800003</v>
      </c>
      <c r="K40">
        <v>32.845999999999997</v>
      </c>
      <c r="L40">
        <f t="shared" si="2"/>
        <v>1207.3902415860207</v>
      </c>
    </row>
    <row r="41" spans="1:13" x14ac:dyDescent="0.2">
      <c r="A41" s="4">
        <v>43399</v>
      </c>
      <c r="B41" t="s">
        <v>283</v>
      </c>
      <c r="C41" s="37">
        <v>1</v>
      </c>
      <c r="D41" s="37">
        <v>1</v>
      </c>
      <c r="E41">
        <v>120</v>
      </c>
      <c r="F41" t="s">
        <v>12</v>
      </c>
      <c r="G41" t="s">
        <v>10</v>
      </c>
      <c r="H41" s="9" t="s">
        <v>1072</v>
      </c>
      <c r="I41">
        <f t="shared" si="0"/>
        <v>120</v>
      </c>
      <c r="J41">
        <f t="shared" si="1"/>
        <v>54.431084400000003</v>
      </c>
      <c r="K41">
        <v>32.845999999999997</v>
      </c>
      <c r="L41">
        <f t="shared" si="2"/>
        <v>1787.8433982023998</v>
      </c>
      <c r="M41" s="6"/>
    </row>
    <row r="42" spans="1:13" x14ac:dyDescent="0.2">
      <c r="A42" s="4">
        <v>43399</v>
      </c>
      <c r="B42" t="s">
        <v>283</v>
      </c>
      <c r="C42" s="37">
        <v>1</v>
      </c>
      <c r="D42" s="37">
        <v>1</v>
      </c>
      <c r="E42">
        <v>40</v>
      </c>
      <c r="F42" t="s">
        <v>11</v>
      </c>
      <c r="G42" t="s">
        <v>10</v>
      </c>
      <c r="H42" s="9" t="s">
        <v>1072</v>
      </c>
      <c r="I42">
        <f t="shared" si="0"/>
        <v>40</v>
      </c>
      <c r="J42">
        <f t="shared" si="1"/>
        <v>18.143694800000002</v>
      </c>
      <c r="K42">
        <v>32.845999999999997</v>
      </c>
      <c r="L42">
        <f t="shared" si="2"/>
        <v>595.94779940080002</v>
      </c>
      <c r="M42" s="6"/>
    </row>
    <row r="43" spans="1:13" x14ac:dyDescent="0.2">
      <c r="A43" s="4">
        <v>43399</v>
      </c>
      <c r="B43" t="s">
        <v>283</v>
      </c>
      <c r="C43" s="37">
        <v>1</v>
      </c>
      <c r="D43" s="37">
        <v>1</v>
      </c>
      <c r="E43">
        <v>100</v>
      </c>
      <c r="F43" t="s">
        <v>11</v>
      </c>
      <c r="G43" t="s">
        <v>10</v>
      </c>
      <c r="H43" s="9" t="s">
        <v>1072</v>
      </c>
      <c r="I43">
        <f t="shared" si="0"/>
        <v>100</v>
      </c>
      <c r="J43">
        <f t="shared" si="1"/>
        <v>45.359237</v>
      </c>
      <c r="K43">
        <v>32.845999999999997</v>
      </c>
      <c r="L43">
        <f t="shared" si="2"/>
        <v>1489.8694985019999</v>
      </c>
      <c r="M43" s="6"/>
    </row>
    <row r="44" spans="1:13" x14ac:dyDescent="0.2">
      <c r="A44" s="4">
        <v>43399</v>
      </c>
      <c r="B44" t="s">
        <v>283</v>
      </c>
      <c r="C44" s="37">
        <v>1</v>
      </c>
      <c r="D44" s="37">
        <v>1</v>
      </c>
      <c r="E44">
        <v>240</v>
      </c>
      <c r="F44" t="s">
        <v>12</v>
      </c>
      <c r="G44" t="s">
        <v>10</v>
      </c>
      <c r="H44" s="9" t="s">
        <v>1072</v>
      </c>
      <c r="I44">
        <f t="shared" si="0"/>
        <v>240</v>
      </c>
      <c r="J44">
        <f t="shared" si="1"/>
        <v>108.86216880000001</v>
      </c>
      <c r="K44">
        <v>32.845999999999997</v>
      </c>
      <c r="L44">
        <f t="shared" si="2"/>
        <v>3575.6867964047997</v>
      </c>
      <c r="M44" s="6"/>
    </row>
    <row r="45" spans="1:13" x14ac:dyDescent="0.2">
      <c r="A45" s="4">
        <v>43434</v>
      </c>
      <c r="B45" t="s">
        <v>525</v>
      </c>
      <c r="C45">
        <v>1</v>
      </c>
      <c r="D45">
        <v>1</v>
      </c>
      <c r="E45">
        <v>220.62</v>
      </c>
      <c r="F45" t="s">
        <v>397</v>
      </c>
      <c r="G45" t="s">
        <v>850</v>
      </c>
      <c r="H45" t="s">
        <v>1072</v>
      </c>
      <c r="I45">
        <f t="shared" si="0"/>
        <v>220.62</v>
      </c>
      <c r="J45">
        <f t="shared" si="1"/>
        <v>100.0715486694</v>
      </c>
      <c r="K45">
        <v>32.845999999999997</v>
      </c>
      <c r="L45">
        <f t="shared" si="2"/>
        <v>3286.9500875951121</v>
      </c>
    </row>
    <row r="46" spans="1:13" x14ac:dyDescent="0.2">
      <c r="A46" s="4">
        <v>43439</v>
      </c>
      <c r="B46" t="s">
        <v>525</v>
      </c>
      <c r="C46">
        <v>4</v>
      </c>
      <c r="D46">
        <v>1</v>
      </c>
      <c r="E46">
        <v>10</v>
      </c>
      <c r="F46" t="s">
        <v>588</v>
      </c>
      <c r="G46" t="s">
        <v>10</v>
      </c>
      <c r="H46" t="s">
        <v>1072</v>
      </c>
      <c r="I46">
        <f t="shared" si="0"/>
        <v>40</v>
      </c>
      <c r="J46">
        <f t="shared" si="1"/>
        <v>18.143694800000002</v>
      </c>
      <c r="K46">
        <v>32.845999999999997</v>
      </c>
      <c r="L46">
        <f t="shared" si="2"/>
        <v>595.94779940080002</v>
      </c>
    </row>
    <row r="47" spans="1:13" x14ac:dyDescent="0.2">
      <c r="A47" s="4">
        <v>43439</v>
      </c>
      <c r="B47" t="s">
        <v>525</v>
      </c>
      <c r="C47">
        <v>1</v>
      </c>
      <c r="D47">
        <v>1</v>
      </c>
      <c r="E47">
        <v>143.28</v>
      </c>
      <c r="F47" t="s">
        <v>397</v>
      </c>
      <c r="G47" t="s">
        <v>850</v>
      </c>
      <c r="H47" t="s">
        <v>1072</v>
      </c>
      <c r="I47">
        <f t="shared" si="0"/>
        <v>143.28</v>
      </c>
      <c r="J47">
        <f t="shared" si="1"/>
        <v>64.990714773600004</v>
      </c>
      <c r="K47">
        <v>32.845999999999997</v>
      </c>
      <c r="L47">
        <f t="shared" si="2"/>
        <v>2134.6850174536653</v>
      </c>
    </row>
    <row r="48" spans="1:13" x14ac:dyDescent="0.2">
      <c r="A48" s="4">
        <v>43438</v>
      </c>
      <c r="B48" t="s">
        <v>48</v>
      </c>
      <c r="C48" s="28">
        <v>1</v>
      </c>
      <c r="D48" s="28">
        <v>1</v>
      </c>
      <c r="E48">
        <v>25</v>
      </c>
      <c r="F48" t="s">
        <v>361</v>
      </c>
      <c r="G48" t="s">
        <v>820</v>
      </c>
      <c r="H48" t="s">
        <v>1071</v>
      </c>
      <c r="I48">
        <f t="shared" si="0"/>
        <v>25</v>
      </c>
      <c r="J48">
        <f t="shared" si="1"/>
        <v>11.33980925</v>
      </c>
      <c r="K48">
        <v>0.19400000000000001</v>
      </c>
      <c r="L48">
        <f t="shared" si="2"/>
        <v>2.1999229945000001</v>
      </c>
    </row>
    <row r="49" spans="1:12" x14ac:dyDescent="0.2">
      <c r="A49" s="4">
        <v>43434</v>
      </c>
      <c r="B49" t="s">
        <v>531</v>
      </c>
      <c r="C49">
        <v>4</v>
      </c>
      <c r="D49">
        <v>40</v>
      </c>
      <c r="E49">
        <f>4/16</f>
        <v>0.25</v>
      </c>
      <c r="F49" t="s">
        <v>536</v>
      </c>
      <c r="G49" s="6" t="s">
        <v>893</v>
      </c>
      <c r="H49" t="s">
        <v>1071</v>
      </c>
      <c r="I49">
        <f t="shared" si="0"/>
        <v>40</v>
      </c>
      <c r="J49">
        <f t="shared" si="1"/>
        <v>18.143694800000002</v>
      </c>
      <c r="K49">
        <v>3.5270000000000001</v>
      </c>
      <c r="L49">
        <f t="shared" si="2"/>
        <v>63.992811559600007</v>
      </c>
    </row>
    <row r="50" spans="1:12" x14ac:dyDescent="0.2">
      <c r="A50" s="4">
        <v>43434</v>
      </c>
      <c r="B50" t="s">
        <v>531</v>
      </c>
      <c r="C50">
        <v>2</v>
      </c>
      <c r="D50">
        <v>2</v>
      </c>
      <c r="E50">
        <v>5</v>
      </c>
      <c r="F50" t="s">
        <v>535</v>
      </c>
      <c r="G50" s="14" t="s">
        <v>1087</v>
      </c>
      <c r="H50" s="6" t="s">
        <v>1071</v>
      </c>
      <c r="I50">
        <f t="shared" si="0"/>
        <v>20</v>
      </c>
      <c r="J50">
        <f t="shared" si="1"/>
        <v>9.0718474000000011</v>
      </c>
      <c r="K50">
        <v>0</v>
      </c>
      <c r="L50">
        <f t="shared" si="2"/>
        <v>0</v>
      </c>
    </row>
    <row r="51" spans="1:12" x14ac:dyDescent="0.2">
      <c r="A51" s="4">
        <v>43434</v>
      </c>
      <c r="B51" t="s">
        <v>531</v>
      </c>
      <c r="C51">
        <v>2</v>
      </c>
      <c r="D51">
        <v>210</v>
      </c>
      <c r="E51" t="s">
        <v>1017</v>
      </c>
      <c r="F51" t="s">
        <v>409</v>
      </c>
      <c r="G51" s="14" t="s">
        <v>1086</v>
      </c>
      <c r="H51" s="9" t="s">
        <v>1071</v>
      </c>
      <c r="I51">
        <v>0</v>
      </c>
      <c r="J51">
        <f t="shared" si="1"/>
        <v>0</v>
      </c>
      <c r="K51">
        <v>2.2999999999999998</v>
      </c>
      <c r="L51">
        <f t="shared" si="2"/>
        <v>0</v>
      </c>
    </row>
    <row r="52" spans="1:12" x14ac:dyDescent="0.2">
      <c r="A52" s="4">
        <v>43434</v>
      </c>
      <c r="B52" t="s">
        <v>531</v>
      </c>
      <c r="C52">
        <v>4</v>
      </c>
      <c r="D52">
        <v>48</v>
      </c>
      <c r="E52">
        <v>0.18124999999999999</v>
      </c>
      <c r="F52" t="s">
        <v>417</v>
      </c>
      <c r="G52" s="6" t="s">
        <v>895</v>
      </c>
      <c r="H52" t="s">
        <v>1071</v>
      </c>
      <c r="I52">
        <f t="shared" ref="I52:I83" si="3">C52*D52*E52</f>
        <v>34.799999999999997</v>
      </c>
      <c r="J52">
        <f t="shared" si="1"/>
        <v>15.785014475999999</v>
      </c>
      <c r="K52">
        <v>6.87</v>
      </c>
      <c r="L52">
        <f t="shared" si="2"/>
        <v>108.44304945012</v>
      </c>
    </row>
    <row r="53" spans="1:12" x14ac:dyDescent="0.2">
      <c r="A53" s="4">
        <v>43435</v>
      </c>
      <c r="B53" t="s">
        <v>48</v>
      </c>
      <c r="C53" s="28">
        <v>5</v>
      </c>
      <c r="D53" s="28">
        <v>1</v>
      </c>
      <c r="E53">
        <v>6</v>
      </c>
      <c r="F53" t="s">
        <v>252</v>
      </c>
      <c r="G53" t="s">
        <v>252</v>
      </c>
      <c r="H53" t="s">
        <v>1071</v>
      </c>
      <c r="I53">
        <f t="shared" si="3"/>
        <v>30</v>
      </c>
      <c r="J53">
        <f t="shared" si="1"/>
        <v>13.607771100000001</v>
      </c>
      <c r="K53">
        <v>0.59899999999999998</v>
      </c>
      <c r="L53">
        <f t="shared" si="2"/>
        <v>8.151054888900001</v>
      </c>
    </row>
    <row r="54" spans="1:12" x14ac:dyDescent="0.2">
      <c r="A54" s="4">
        <v>43437</v>
      </c>
      <c r="B54" t="s">
        <v>48</v>
      </c>
      <c r="C54" s="28">
        <v>5</v>
      </c>
      <c r="D54" s="28">
        <v>1</v>
      </c>
      <c r="E54">
        <v>6</v>
      </c>
      <c r="F54" t="s">
        <v>252</v>
      </c>
      <c r="G54" t="s">
        <v>252</v>
      </c>
      <c r="H54" t="s">
        <v>1071</v>
      </c>
      <c r="I54">
        <f t="shared" si="3"/>
        <v>30</v>
      </c>
      <c r="J54">
        <f t="shared" si="1"/>
        <v>13.607771100000001</v>
      </c>
      <c r="K54">
        <v>0.59899999999999998</v>
      </c>
      <c r="L54">
        <f t="shared" si="2"/>
        <v>8.151054888900001</v>
      </c>
    </row>
    <row r="55" spans="1:12" x14ac:dyDescent="0.2">
      <c r="A55" s="4">
        <v>43439</v>
      </c>
      <c r="B55" t="s">
        <v>48</v>
      </c>
      <c r="C55" s="28">
        <v>5</v>
      </c>
      <c r="D55" s="28">
        <v>1</v>
      </c>
      <c r="E55">
        <v>6</v>
      </c>
      <c r="F55" t="s">
        <v>503</v>
      </c>
      <c r="G55" t="s">
        <v>252</v>
      </c>
      <c r="H55" t="s">
        <v>1071</v>
      </c>
      <c r="I55">
        <f t="shared" si="3"/>
        <v>30</v>
      </c>
      <c r="J55">
        <f t="shared" si="1"/>
        <v>13.607771100000001</v>
      </c>
      <c r="K55">
        <v>0.59899999999999998</v>
      </c>
      <c r="L55">
        <f t="shared" si="2"/>
        <v>8.151054888900001</v>
      </c>
    </row>
    <row r="56" spans="1:12" x14ac:dyDescent="0.2">
      <c r="A56" s="4">
        <v>43440</v>
      </c>
      <c r="B56" t="s">
        <v>48</v>
      </c>
      <c r="C56" s="28">
        <v>5</v>
      </c>
      <c r="D56" s="28">
        <v>1</v>
      </c>
      <c r="E56">
        <v>6</v>
      </c>
      <c r="F56" t="s">
        <v>252</v>
      </c>
      <c r="G56" t="s">
        <v>252</v>
      </c>
      <c r="H56" t="s">
        <v>1071</v>
      </c>
      <c r="I56">
        <f t="shared" si="3"/>
        <v>30</v>
      </c>
      <c r="J56">
        <f t="shared" si="1"/>
        <v>13.607771100000001</v>
      </c>
      <c r="K56">
        <v>0.59899999999999998</v>
      </c>
      <c r="L56">
        <f t="shared" si="2"/>
        <v>8.151054888900001</v>
      </c>
    </row>
    <row r="57" spans="1:12" x14ac:dyDescent="0.2">
      <c r="A57" s="4">
        <v>43438</v>
      </c>
      <c r="B57" t="s">
        <v>48</v>
      </c>
      <c r="C57" s="28">
        <v>2</v>
      </c>
      <c r="D57" s="28">
        <v>1</v>
      </c>
      <c r="E57">
        <v>30</v>
      </c>
      <c r="F57" t="s">
        <v>495</v>
      </c>
      <c r="G57" t="s">
        <v>886</v>
      </c>
      <c r="H57" t="s">
        <v>1071</v>
      </c>
      <c r="I57">
        <f t="shared" si="3"/>
        <v>60</v>
      </c>
      <c r="J57">
        <f t="shared" si="1"/>
        <v>27.215542200000002</v>
      </c>
      <c r="K57">
        <v>0.13400000000000001</v>
      </c>
      <c r="L57">
        <f t="shared" si="2"/>
        <v>3.6468826548000006</v>
      </c>
    </row>
    <row r="58" spans="1:12" x14ac:dyDescent="0.2">
      <c r="A58" s="4">
        <v>43434</v>
      </c>
      <c r="B58" t="s">
        <v>538</v>
      </c>
      <c r="C58">
        <v>1</v>
      </c>
      <c r="D58">
        <v>1</v>
      </c>
      <c r="E58">
        <v>25</v>
      </c>
      <c r="F58" t="s">
        <v>551</v>
      </c>
      <c r="G58" s="6" t="s">
        <v>868</v>
      </c>
      <c r="H58" t="s">
        <v>1071</v>
      </c>
      <c r="I58">
        <f t="shared" si="3"/>
        <v>25</v>
      </c>
      <c r="J58">
        <f t="shared" si="1"/>
        <v>11.33980925</v>
      </c>
      <c r="K58">
        <v>1.28</v>
      </c>
      <c r="L58">
        <f t="shared" si="2"/>
        <v>14.514955840000001</v>
      </c>
    </row>
    <row r="59" spans="1:12" x14ac:dyDescent="0.2">
      <c r="A59" s="4">
        <v>43439</v>
      </c>
      <c r="B59" t="s">
        <v>531</v>
      </c>
      <c r="C59">
        <v>1</v>
      </c>
      <c r="D59">
        <v>10</v>
      </c>
      <c r="E59">
        <v>1</v>
      </c>
      <c r="F59" t="s">
        <v>410</v>
      </c>
      <c r="G59" s="6" t="s">
        <v>868</v>
      </c>
      <c r="H59" t="s">
        <v>1071</v>
      </c>
      <c r="I59">
        <f t="shared" si="3"/>
        <v>10</v>
      </c>
      <c r="J59">
        <f t="shared" si="1"/>
        <v>4.5359237000000006</v>
      </c>
      <c r="K59">
        <v>1.28</v>
      </c>
      <c r="L59">
        <f t="shared" si="2"/>
        <v>5.8059823360000005</v>
      </c>
    </row>
    <row r="60" spans="1:12" x14ac:dyDescent="0.2">
      <c r="A60" s="4">
        <v>43435</v>
      </c>
      <c r="B60" t="s">
        <v>48</v>
      </c>
      <c r="C60" s="28">
        <v>12</v>
      </c>
      <c r="D60" s="28">
        <v>1</v>
      </c>
      <c r="E60">
        <v>12</v>
      </c>
      <c r="F60" t="s">
        <v>298</v>
      </c>
      <c r="G60" t="s">
        <v>784</v>
      </c>
      <c r="H60" t="s">
        <v>1071</v>
      </c>
      <c r="I60">
        <f t="shared" si="3"/>
        <v>144</v>
      </c>
      <c r="J60">
        <f t="shared" si="1"/>
        <v>65.317301279999995</v>
      </c>
      <c r="K60">
        <v>0.79700000000000004</v>
      </c>
      <c r="L60">
        <f t="shared" si="2"/>
        <v>52.057889120159999</v>
      </c>
    </row>
    <row r="61" spans="1:12" x14ac:dyDescent="0.2">
      <c r="A61" s="4">
        <v>43437</v>
      </c>
      <c r="B61" t="s">
        <v>48</v>
      </c>
      <c r="C61" s="28">
        <v>10</v>
      </c>
      <c r="D61" s="28">
        <v>1</v>
      </c>
      <c r="E61">
        <v>12</v>
      </c>
      <c r="F61" t="s">
        <v>298</v>
      </c>
      <c r="G61" t="s">
        <v>784</v>
      </c>
      <c r="H61" t="s">
        <v>1071</v>
      </c>
      <c r="I61">
        <f t="shared" si="3"/>
        <v>120</v>
      </c>
      <c r="J61">
        <f t="shared" si="1"/>
        <v>54.431084400000003</v>
      </c>
      <c r="K61">
        <v>0.79700000000000004</v>
      </c>
      <c r="L61">
        <f t="shared" si="2"/>
        <v>43.381574266800001</v>
      </c>
    </row>
    <row r="62" spans="1:12" x14ac:dyDescent="0.2">
      <c r="A62" s="4">
        <v>43438</v>
      </c>
      <c r="B62" t="s">
        <v>48</v>
      </c>
      <c r="C62" s="28">
        <v>11</v>
      </c>
      <c r="D62" s="28">
        <v>1</v>
      </c>
      <c r="E62">
        <v>12</v>
      </c>
      <c r="F62" t="s">
        <v>298</v>
      </c>
      <c r="G62" t="s">
        <v>784</v>
      </c>
      <c r="H62" t="s">
        <v>1071</v>
      </c>
      <c r="I62">
        <f t="shared" si="3"/>
        <v>132</v>
      </c>
      <c r="J62">
        <f t="shared" si="1"/>
        <v>59.874192840000006</v>
      </c>
      <c r="K62">
        <v>0.79700000000000004</v>
      </c>
      <c r="L62">
        <f t="shared" si="2"/>
        <v>47.719731693480007</v>
      </c>
    </row>
    <row r="63" spans="1:12" x14ac:dyDescent="0.2">
      <c r="A63" s="4">
        <v>43439</v>
      </c>
      <c r="B63" t="s">
        <v>48</v>
      </c>
      <c r="C63" s="28">
        <v>8</v>
      </c>
      <c r="D63" s="28">
        <v>1</v>
      </c>
      <c r="E63">
        <v>12</v>
      </c>
      <c r="F63" t="s">
        <v>298</v>
      </c>
      <c r="G63" t="s">
        <v>784</v>
      </c>
      <c r="H63" t="s">
        <v>1071</v>
      </c>
      <c r="I63">
        <f t="shared" si="3"/>
        <v>96</v>
      </c>
      <c r="J63">
        <f t="shared" si="1"/>
        <v>43.544867520000004</v>
      </c>
      <c r="K63">
        <v>0.79700000000000004</v>
      </c>
      <c r="L63">
        <f t="shared" si="2"/>
        <v>34.705259413440004</v>
      </c>
    </row>
    <row r="64" spans="1:12" x14ac:dyDescent="0.2">
      <c r="A64" s="4">
        <v>43440</v>
      </c>
      <c r="B64" t="s">
        <v>48</v>
      </c>
      <c r="C64" s="28">
        <v>10</v>
      </c>
      <c r="D64" s="28">
        <v>1</v>
      </c>
      <c r="E64">
        <v>12</v>
      </c>
      <c r="F64" t="s">
        <v>359</v>
      </c>
      <c r="G64" t="s">
        <v>204</v>
      </c>
      <c r="H64" t="s">
        <v>1071</v>
      </c>
      <c r="I64">
        <f t="shared" si="3"/>
        <v>120</v>
      </c>
      <c r="J64">
        <f t="shared" si="1"/>
        <v>54.431084400000003</v>
      </c>
      <c r="K64">
        <v>0.79700000000000004</v>
      </c>
      <c r="L64">
        <f t="shared" si="2"/>
        <v>43.381574266800001</v>
      </c>
    </row>
    <row r="65" spans="1:12" x14ac:dyDescent="0.2">
      <c r="A65" s="4">
        <v>43437</v>
      </c>
      <c r="B65" t="s">
        <v>48</v>
      </c>
      <c r="C65" s="28">
        <v>2</v>
      </c>
      <c r="D65" s="28">
        <v>1</v>
      </c>
      <c r="E65">
        <v>20</v>
      </c>
      <c r="F65" t="s">
        <v>355</v>
      </c>
      <c r="G65" t="s">
        <v>818</v>
      </c>
      <c r="H65" t="s">
        <v>1071</v>
      </c>
      <c r="I65">
        <f t="shared" si="3"/>
        <v>40</v>
      </c>
      <c r="J65">
        <f t="shared" si="1"/>
        <v>18.143694800000002</v>
      </c>
      <c r="K65">
        <v>0.49</v>
      </c>
      <c r="L65">
        <f t="shared" si="2"/>
        <v>8.8904104520000011</v>
      </c>
    </row>
    <row r="66" spans="1:12" x14ac:dyDescent="0.2">
      <c r="A66" s="4">
        <v>43440</v>
      </c>
      <c r="B66" t="s">
        <v>48</v>
      </c>
      <c r="C66" s="28">
        <v>2</v>
      </c>
      <c r="D66" s="28">
        <v>1</v>
      </c>
      <c r="E66">
        <v>20</v>
      </c>
      <c r="F66" t="s">
        <v>513</v>
      </c>
      <c r="G66" t="s">
        <v>772</v>
      </c>
      <c r="H66" t="s">
        <v>1071</v>
      </c>
      <c r="I66">
        <f t="shared" si="3"/>
        <v>40</v>
      </c>
      <c r="J66">
        <f t="shared" si="1"/>
        <v>18.143694800000002</v>
      </c>
      <c r="K66">
        <v>0.49</v>
      </c>
      <c r="L66">
        <f t="shared" si="2"/>
        <v>8.8904104520000011</v>
      </c>
    </row>
    <row r="67" spans="1:12" x14ac:dyDescent="0.2">
      <c r="A67" s="4">
        <v>43434</v>
      </c>
      <c r="B67" t="s">
        <v>48</v>
      </c>
      <c r="C67" s="28">
        <v>10</v>
      </c>
      <c r="D67" s="28">
        <v>1</v>
      </c>
      <c r="E67">
        <v>25</v>
      </c>
      <c r="F67" t="s">
        <v>479</v>
      </c>
      <c r="G67" t="s">
        <v>832</v>
      </c>
      <c r="H67" t="s">
        <v>1071</v>
      </c>
      <c r="I67">
        <f t="shared" si="3"/>
        <v>250</v>
      </c>
      <c r="J67">
        <f t="shared" ref="J67:J130" si="4">CONVERT(I67,"lbm","kg")</f>
        <v>113.3980925</v>
      </c>
      <c r="K67">
        <v>0.49</v>
      </c>
      <c r="L67">
        <f t="shared" ref="L67:L130" si="5">J67*K67</f>
        <v>55.565065324999999</v>
      </c>
    </row>
    <row r="68" spans="1:12" x14ac:dyDescent="0.2">
      <c r="A68" s="4">
        <v>43434</v>
      </c>
      <c r="B68" t="s">
        <v>48</v>
      </c>
      <c r="C68" s="28">
        <v>2</v>
      </c>
      <c r="D68" s="28">
        <v>1</v>
      </c>
      <c r="E68">
        <v>20</v>
      </c>
      <c r="F68" t="s">
        <v>355</v>
      </c>
      <c r="G68" t="s">
        <v>832</v>
      </c>
      <c r="H68" t="s">
        <v>1071</v>
      </c>
      <c r="I68">
        <f t="shared" si="3"/>
        <v>40</v>
      </c>
      <c r="J68">
        <f t="shared" si="4"/>
        <v>18.143694800000002</v>
      </c>
      <c r="K68">
        <v>0.49</v>
      </c>
      <c r="L68">
        <f t="shared" si="5"/>
        <v>8.8904104520000011</v>
      </c>
    </row>
    <row r="69" spans="1:12" x14ac:dyDescent="0.2">
      <c r="A69" s="4">
        <v>43439</v>
      </c>
      <c r="B69" t="s">
        <v>531</v>
      </c>
      <c r="C69">
        <v>2</v>
      </c>
      <c r="D69">
        <v>12</v>
      </c>
      <c r="E69">
        <f>6*(3.5/16)</f>
        <v>1.3125</v>
      </c>
      <c r="F69" t="s">
        <v>589</v>
      </c>
      <c r="G69" s="6" t="s">
        <v>880</v>
      </c>
      <c r="H69" t="s">
        <v>1071</v>
      </c>
      <c r="I69">
        <f t="shared" si="3"/>
        <v>31.5</v>
      </c>
      <c r="J69">
        <f t="shared" si="4"/>
        <v>14.288159655000001</v>
      </c>
      <c r="K69">
        <v>1.28</v>
      </c>
      <c r="L69">
        <f t="shared" si="5"/>
        <v>18.288844358400002</v>
      </c>
    </row>
    <row r="70" spans="1:12" x14ac:dyDescent="0.2">
      <c r="A70" s="4">
        <v>43434</v>
      </c>
      <c r="B70" t="s">
        <v>517</v>
      </c>
      <c r="C70">
        <v>2</v>
      </c>
      <c r="D70">
        <v>36</v>
      </c>
      <c r="E70">
        <v>1</v>
      </c>
      <c r="F70" t="s">
        <v>382</v>
      </c>
      <c r="G70" t="s">
        <v>845</v>
      </c>
      <c r="H70" t="s">
        <v>1073</v>
      </c>
      <c r="I70">
        <f t="shared" si="3"/>
        <v>72</v>
      </c>
      <c r="J70">
        <f t="shared" si="4"/>
        <v>32.658650639999998</v>
      </c>
      <c r="K70">
        <v>11.52</v>
      </c>
      <c r="L70">
        <f t="shared" si="5"/>
        <v>376.22765537279997</v>
      </c>
    </row>
    <row r="71" spans="1:12" x14ac:dyDescent="0.2">
      <c r="A71" s="4">
        <v>43434</v>
      </c>
      <c r="B71" t="s">
        <v>48</v>
      </c>
      <c r="C71" s="28">
        <v>1</v>
      </c>
      <c r="D71" s="28">
        <v>1</v>
      </c>
      <c r="E71">
        <v>45</v>
      </c>
      <c r="F71" t="s">
        <v>338</v>
      </c>
      <c r="G71" t="s">
        <v>817</v>
      </c>
      <c r="H71" t="s">
        <v>1071</v>
      </c>
      <c r="I71">
        <f t="shared" si="3"/>
        <v>45</v>
      </c>
      <c r="J71">
        <f t="shared" si="4"/>
        <v>20.411656650000001</v>
      </c>
      <c r="K71">
        <v>0.219</v>
      </c>
      <c r="L71">
        <f t="shared" si="5"/>
        <v>4.4701528063500007</v>
      </c>
    </row>
    <row r="72" spans="1:12" x14ac:dyDescent="0.2">
      <c r="A72" s="4">
        <v>43435</v>
      </c>
      <c r="B72" t="s">
        <v>48</v>
      </c>
      <c r="C72" s="28">
        <v>1</v>
      </c>
      <c r="D72" s="28">
        <v>1</v>
      </c>
      <c r="E72">
        <v>45</v>
      </c>
      <c r="F72" t="s">
        <v>338</v>
      </c>
      <c r="G72" t="s">
        <v>817</v>
      </c>
      <c r="H72" t="s">
        <v>1071</v>
      </c>
      <c r="I72">
        <f t="shared" si="3"/>
        <v>45</v>
      </c>
      <c r="J72">
        <f t="shared" si="4"/>
        <v>20.411656650000001</v>
      </c>
      <c r="K72">
        <v>0.219</v>
      </c>
      <c r="L72">
        <f t="shared" si="5"/>
        <v>4.4701528063500007</v>
      </c>
    </row>
    <row r="73" spans="1:12" x14ac:dyDescent="0.2">
      <c r="A73" s="4">
        <v>43438</v>
      </c>
      <c r="B73" t="s">
        <v>48</v>
      </c>
      <c r="C73" s="28">
        <v>2</v>
      </c>
      <c r="D73" s="28">
        <v>1</v>
      </c>
      <c r="E73">
        <v>45</v>
      </c>
      <c r="F73" t="s">
        <v>338</v>
      </c>
      <c r="G73" t="s">
        <v>817</v>
      </c>
      <c r="H73" t="s">
        <v>1071</v>
      </c>
      <c r="I73">
        <f t="shared" si="3"/>
        <v>90</v>
      </c>
      <c r="J73">
        <f t="shared" si="4"/>
        <v>40.823313300000002</v>
      </c>
      <c r="K73">
        <v>0.219</v>
      </c>
      <c r="L73">
        <f t="shared" si="5"/>
        <v>8.9403056127000013</v>
      </c>
    </row>
    <row r="74" spans="1:12" x14ac:dyDescent="0.2">
      <c r="A74" s="4">
        <v>43434</v>
      </c>
      <c r="B74" t="s">
        <v>538</v>
      </c>
      <c r="C74">
        <v>4</v>
      </c>
      <c r="D74">
        <v>1</v>
      </c>
      <c r="E74">
        <v>35</v>
      </c>
      <c r="F74" t="s">
        <v>441</v>
      </c>
      <c r="G74" t="s">
        <v>905</v>
      </c>
      <c r="H74" t="s">
        <v>1071</v>
      </c>
      <c r="I74">
        <f t="shared" si="3"/>
        <v>140</v>
      </c>
      <c r="J74">
        <f t="shared" si="4"/>
        <v>63.502931800000006</v>
      </c>
      <c r="K74">
        <v>2.6459999999999999</v>
      </c>
      <c r="L74">
        <f t="shared" si="5"/>
        <v>168.02875754280001</v>
      </c>
    </row>
    <row r="75" spans="1:12" x14ac:dyDescent="0.2">
      <c r="A75" s="4">
        <v>43434</v>
      </c>
      <c r="B75" t="s">
        <v>48</v>
      </c>
      <c r="C75" s="28">
        <v>6</v>
      </c>
      <c r="D75" s="28">
        <v>1</v>
      </c>
      <c r="E75">
        <f>9*3</f>
        <v>27</v>
      </c>
      <c r="F75" t="s">
        <v>311</v>
      </c>
      <c r="G75" t="s">
        <v>788</v>
      </c>
      <c r="H75" t="s">
        <v>1071</v>
      </c>
      <c r="I75">
        <f t="shared" si="3"/>
        <v>162</v>
      </c>
      <c r="J75">
        <f t="shared" si="4"/>
        <v>73.48196394</v>
      </c>
      <c r="K75">
        <v>0.49</v>
      </c>
      <c r="L75">
        <f t="shared" si="5"/>
        <v>36.006162330599999</v>
      </c>
    </row>
    <row r="76" spans="1:12" x14ac:dyDescent="0.2">
      <c r="A76" s="4">
        <v>43435</v>
      </c>
      <c r="B76" t="s">
        <v>48</v>
      </c>
      <c r="C76" s="28">
        <v>6</v>
      </c>
      <c r="D76" s="28">
        <v>1</v>
      </c>
      <c r="E76">
        <f>9*3</f>
        <v>27</v>
      </c>
      <c r="F76" t="s">
        <v>311</v>
      </c>
      <c r="G76" t="s">
        <v>788</v>
      </c>
      <c r="H76" t="s">
        <v>1071</v>
      </c>
      <c r="I76">
        <f t="shared" si="3"/>
        <v>162</v>
      </c>
      <c r="J76">
        <f t="shared" si="4"/>
        <v>73.48196394</v>
      </c>
      <c r="K76">
        <v>0.49</v>
      </c>
      <c r="L76">
        <f t="shared" si="5"/>
        <v>36.006162330599999</v>
      </c>
    </row>
    <row r="77" spans="1:12" x14ac:dyDescent="0.2">
      <c r="A77" s="4">
        <v>43437</v>
      </c>
      <c r="B77" t="s">
        <v>48</v>
      </c>
      <c r="C77" s="28">
        <v>5</v>
      </c>
      <c r="D77" s="28">
        <v>1</v>
      </c>
      <c r="E77">
        <f>9*3</f>
        <v>27</v>
      </c>
      <c r="F77" t="s">
        <v>311</v>
      </c>
      <c r="G77" t="s">
        <v>788</v>
      </c>
      <c r="H77" t="s">
        <v>1071</v>
      </c>
      <c r="I77">
        <f t="shared" si="3"/>
        <v>135</v>
      </c>
      <c r="J77">
        <f t="shared" si="4"/>
        <v>61.23496995</v>
      </c>
      <c r="K77">
        <v>0.49</v>
      </c>
      <c r="L77">
        <f t="shared" si="5"/>
        <v>30.005135275499999</v>
      </c>
    </row>
    <row r="78" spans="1:12" x14ac:dyDescent="0.2">
      <c r="A78" s="4">
        <v>43438</v>
      </c>
      <c r="B78" t="s">
        <v>48</v>
      </c>
      <c r="C78" s="28">
        <v>5</v>
      </c>
      <c r="D78" s="28">
        <v>1</v>
      </c>
      <c r="E78">
        <f>9*3</f>
        <v>27</v>
      </c>
      <c r="F78" t="s">
        <v>311</v>
      </c>
      <c r="G78" t="s">
        <v>788</v>
      </c>
      <c r="H78" t="s">
        <v>1071</v>
      </c>
      <c r="I78">
        <f t="shared" si="3"/>
        <v>135</v>
      </c>
      <c r="J78">
        <f t="shared" si="4"/>
        <v>61.23496995</v>
      </c>
      <c r="K78">
        <v>0.49</v>
      </c>
      <c r="L78">
        <f t="shared" si="5"/>
        <v>30.005135275499999</v>
      </c>
    </row>
    <row r="79" spans="1:12" x14ac:dyDescent="0.2">
      <c r="A79" s="4">
        <v>43440</v>
      </c>
      <c r="B79" t="s">
        <v>48</v>
      </c>
      <c r="C79" s="28">
        <v>8</v>
      </c>
      <c r="D79" s="28">
        <v>1</v>
      </c>
      <c r="E79">
        <f>9*3</f>
        <v>27</v>
      </c>
      <c r="F79" t="s">
        <v>311</v>
      </c>
      <c r="G79" t="s">
        <v>788</v>
      </c>
      <c r="H79" t="s">
        <v>1071</v>
      </c>
      <c r="I79">
        <f t="shared" si="3"/>
        <v>216</v>
      </c>
      <c r="J79">
        <f t="shared" si="4"/>
        <v>97.975951920000014</v>
      </c>
      <c r="K79">
        <v>0.49</v>
      </c>
      <c r="L79">
        <f t="shared" si="5"/>
        <v>48.008216440800005</v>
      </c>
    </row>
    <row r="80" spans="1:12" x14ac:dyDescent="0.2">
      <c r="A80" s="4">
        <v>43434</v>
      </c>
      <c r="B80" t="s">
        <v>48</v>
      </c>
      <c r="C80" s="28">
        <v>2</v>
      </c>
      <c r="D80" s="28">
        <v>1</v>
      </c>
      <c r="E80">
        <v>20</v>
      </c>
      <c r="F80" t="s">
        <v>269</v>
      </c>
      <c r="G80" t="s">
        <v>299</v>
      </c>
      <c r="H80" t="s">
        <v>1071</v>
      </c>
      <c r="I80">
        <f t="shared" si="3"/>
        <v>40</v>
      </c>
      <c r="J80">
        <f t="shared" si="4"/>
        <v>18.143694800000002</v>
      </c>
      <c r="K80">
        <v>9.1999999999999998E-2</v>
      </c>
      <c r="L80">
        <f t="shared" si="5"/>
        <v>1.6692199216000001</v>
      </c>
    </row>
    <row r="81" spans="1:12" x14ac:dyDescent="0.2">
      <c r="A81" s="4">
        <v>43435</v>
      </c>
      <c r="B81" t="s">
        <v>48</v>
      </c>
      <c r="C81" s="28">
        <v>2</v>
      </c>
      <c r="D81" s="28">
        <v>1</v>
      </c>
      <c r="E81">
        <v>50</v>
      </c>
      <c r="F81" t="s">
        <v>299</v>
      </c>
      <c r="G81" t="s">
        <v>299</v>
      </c>
      <c r="H81" t="s">
        <v>1071</v>
      </c>
      <c r="I81">
        <f t="shared" si="3"/>
        <v>100</v>
      </c>
      <c r="J81">
        <f t="shared" si="4"/>
        <v>45.359237</v>
      </c>
      <c r="K81">
        <v>9.1999999999999998E-2</v>
      </c>
      <c r="L81">
        <f t="shared" si="5"/>
        <v>4.1730498039999997</v>
      </c>
    </row>
    <row r="82" spans="1:12" x14ac:dyDescent="0.2">
      <c r="A82" s="4">
        <v>43435</v>
      </c>
      <c r="B82" t="s">
        <v>48</v>
      </c>
      <c r="C82" s="28">
        <v>2</v>
      </c>
      <c r="D82" s="28">
        <v>1</v>
      </c>
      <c r="E82">
        <v>20</v>
      </c>
      <c r="F82" t="s">
        <v>269</v>
      </c>
      <c r="G82" t="s">
        <v>299</v>
      </c>
      <c r="H82" t="s">
        <v>1071</v>
      </c>
      <c r="I82">
        <f t="shared" si="3"/>
        <v>40</v>
      </c>
      <c r="J82">
        <f t="shared" si="4"/>
        <v>18.143694800000002</v>
      </c>
      <c r="K82">
        <v>9.1999999999999998E-2</v>
      </c>
      <c r="L82">
        <f t="shared" si="5"/>
        <v>1.6692199216000001</v>
      </c>
    </row>
    <row r="83" spans="1:12" x14ac:dyDescent="0.2">
      <c r="A83" s="4">
        <v>43437</v>
      </c>
      <c r="B83" t="s">
        <v>48</v>
      </c>
      <c r="C83" s="28">
        <v>2</v>
      </c>
      <c r="D83" s="28">
        <v>1</v>
      </c>
      <c r="E83">
        <v>20</v>
      </c>
      <c r="F83" t="s">
        <v>269</v>
      </c>
      <c r="G83" t="s">
        <v>299</v>
      </c>
      <c r="H83" t="s">
        <v>1071</v>
      </c>
      <c r="I83">
        <f t="shared" si="3"/>
        <v>40</v>
      </c>
      <c r="J83">
        <f t="shared" si="4"/>
        <v>18.143694800000002</v>
      </c>
      <c r="K83">
        <v>9.1999999999999998E-2</v>
      </c>
      <c r="L83">
        <f t="shared" si="5"/>
        <v>1.6692199216000001</v>
      </c>
    </row>
    <row r="84" spans="1:12" x14ac:dyDescent="0.2">
      <c r="A84" s="4">
        <v>43438</v>
      </c>
      <c r="B84" t="s">
        <v>48</v>
      </c>
      <c r="C84" s="28">
        <v>1</v>
      </c>
      <c r="D84" s="28">
        <v>1</v>
      </c>
      <c r="E84">
        <v>50</v>
      </c>
      <c r="F84" t="s">
        <v>299</v>
      </c>
      <c r="G84" t="s">
        <v>299</v>
      </c>
      <c r="H84" t="s">
        <v>1071</v>
      </c>
      <c r="I84">
        <f t="shared" ref="I84:I115" si="6">C84*D84*E84</f>
        <v>50</v>
      </c>
      <c r="J84">
        <f t="shared" si="4"/>
        <v>22.6796185</v>
      </c>
      <c r="K84">
        <v>9.1999999999999998E-2</v>
      </c>
      <c r="L84">
        <f t="shared" si="5"/>
        <v>2.0865249019999998</v>
      </c>
    </row>
    <row r="85" spans="1:12" x14ac:dyDescent="0.2">
      <c r="A85" s="4">
        <v>43438</v>
      </c>
      <c r="B85" t="s">
        <v>48</v>
      </c>
      <c r="C85" s="28">
        <v>2</v>
      </c>
      <c r="D85" s="28">
        <v>1</v>
      </c>
      <c r="E85">
        <v>20</v>
      </c>
      <c r="F85" t="s">
        <v>269</v>
      </c>
      <c r="G85" t="s">
        <v>299</v>
      </c>
      <c r="H85" t="s">
        <v>1071</v>
      </c>
      <c r="I85">
        <f t="shared" si="6"/>
        <v>40</v>
      </c>
      <c r="J85">
        <f t="shared" si="4"/>
        <v>18.143694800000002</v>
      </c>
      <c r="K85">
        <v>9.1999999999999998E-2</v>
      </c>
      <c r="L85">
        <f t="shared" si="5"/>
        <v>1.6692199216000001</v>
      </c>
    </row>
    <row r="86" spans="1:12" x14ac:dyDescent="0.2">
      <c r="A86" s="4">
        <v>43439</v>
      </c>
      <c r="B86" t="s">
        <v>48</v>
      </c>
      <c r="C86" s="28">
        <v>1</v>
      </c>
      <c r="D86" s="28">
        <v>1</v>
      </c>
      <c r="E86">
        <v>20</v>
      </c>
      <c r="F86" t="s">
        <v>269</v>
      </c>
      <c r="G86" t="s">
        <v>299</v>
      </c>
      <c r="H86" t="s">
        <v>1071</v>
      </c>
      <c r="I86">
        <f t="shared" si="6"/>
        <v>20</v>
      </c>
      <c r="J86">
        <f t="shared" si="4"/>
        <v>9.0718474000000011</v>
      </c>
      <c r="K86">
        <v>9.1999999999999998E-2</v>
      </c>
      <c r="L86">
        <f t="shared" si="5"/>
        <v>0.83460996080000005</v>
      </c>
    </row>
    <row r="87" spans="1:12" x14ac:dyDescent="0.2">
      <c r="A87" s="4">
        <v>43440</v>
      </c>
      <c r="B87" t="s">
        <v>48</v>
      </c>
      <c r="C87" s="28">
        <v>2</v>
      </c>
      <c r="D87" s="28">
        <v>1</v>
      </c>
      <c r="E87">
        <v>20</v>
      </c>
      <c r="F87" t="s">
        <v>246</v>
      </c>
      <c r="G87" t="s">
        <v>87</v>
      </c>
      <c r="H87" t="s">
        <v>1071</v>
      </c>
      <c r="I87">
        <f t="shared" si="6"/>
        <v>40</v>
      </c>
      <c r="J87">
        <f t="shared" si="4"/>
        <v>18.143694800000002</v>
      </c>
      <c r="K87">
        <v>9.1999999999999998E-2</v>
      </c>
      <c r="L87">
        <f t="shared" si="5"/>
        <v>1.6692199216000001</v>
      </c>
    </row>
    <row r="88" spans="1:12" x14ac:dyDescent="0.2">
      <c r="A88" s="4">
        <v>43434</v>
      </c>
      <c r="B88" t="s">
        <v>48</v>
      </c>
      <c r="C88" s="28">
        <v>10</v>
      </c>
      <c r="D88" s="28">
        <v>1</v>
      </c>
      <c r="E88">
        <v>12</v>
      </c>
      <c r="F88" t="s">
        <v>323</v>
      </c>
      <c r="G88" t="s">
        <v>619</v>
      </c>
      <c r="H88" t="s">
        <v>1071</v>
      </c>
      <c r="I88">
        <f t="shared" si="6"/>
        <v>120</v>
      </c>
      <c r="J88">
        <f t="shared" si="4"/>
        <v>54.431084400000003</v>
      </c>
      <c r="K88">
        <v>0.93400000000000005</v>
      </c>
      <c r="L88">
        <f t="shared" si="5"/>
        <v>50.838632829600009</v>
      </c>
    </row>
    <row r="89" spans="1:12" x14ac:dyDescent="0.2">
      <c r="A89" s="4">
        <v>43435</v>
      </c>
      <c r="B89" t="s">
        <v>48</v>
      </c>
      <c r="C89" s="28">
        <v>4</v>
      </c>
      <c r="D89" s="28">
        <v>1</v>
      </c>
      <c r="E89">
        <v>12</v>
      </c>
      <c r="F89" t="s">
        <v>323</v>
      </c>
      <c r="G89" t="s">
        <v>619</v>
      </c>
      <c r="H89" t="s">
        <v>1071</v>
      </c>
      <c r="I89">
        <f t="shared" si="6"/>
        <v>48</v>
      </c>
      <c r="J89">
        <f t="shared" si="4"/>
        <v>21.772433760000002</v>
      </c>
      <c r="K89">
        <v>0.93400000000000005</v>
      </c>
      <c r="L89">
        <f t="shared" si="5"/>
        <v>20.335453131840001</v>
      </c>
    </row>
    <row r="90" spans="1:12" x14ac:dyDescent="0.2">
      <c r="A90" s="4">
        <v>43437</v>
      </c>
      <c r="B90" t="s">
        <v>48</v>
      </c>
      <c r="C90" s="28">
        <v>6</v>
      </c>
      <c r="D90" s="28">
        <v>1</v>
      </c>
      <c r="E90">
        <v>12</v>
      </c>
      <c r="F90" t="s">
        <v>323</v>
      </c>
      <c r="G90" t="s">
        <v>619</v>
      </c>
      <c r="H90" t="s">
        <v>1071</v>
      </c>
      <c r="I90">
        <f t="shared" si="6"/>
        <v>72</v>
      </c>
      <c r="J90">
        <f t="shared" si="4"/>
        <v>32.658650639999998</v>
      </c>
      <c r="K90">
        <v>0.93400000000000005</v>
      </c>
      <c r="L90">
        <f t="shared" si="5"/>
        <v>30.50317969776</v>
      </c>
    </row>
    <row r="91" spans="1:12" x14ac:dyDescent="0.2">
      <c r="A91" s="4">
        <v>43438</v>
      </c>
      <c r="B91" t="s">
        <v>48</v>
      </c>
      <c r="C91" s="28">
        <v>2</v>
      </c>
      <c r="D91" s="28">
        <v>1</v>
      </c>
      <c r="E91">
        <v>12</v>
      </c>
      <c r="F91" t="s">
        <v>323</v>
      </c>
      <c r="G91" t="s">
        <v>619</v>
      </c>
      <c r="H91" t="s">
        <v>1071</v>
      </c>
      <c r="I91">
        <f t="shared" si="6"/>
        <v>24</v>
      </c>
      <c r="J91">
        <f t="shared" si="4"/>
        <v>10.886216880000001</v>
      </c>
      <c r="K91">
        <v>0.93400000000000005</v>
      </c>
      <c r="L91">
        <f t="shared" si="5"/>
        <v>10.167726565920001</v>
      </c>
    </row>
    <row r="92" spans="1:12" x14ac:dyDescent="0.2">
      <c r="A92" s="4">
        <v>43439</v>
      </c>
      <c r="B92" t="s">
        <v>48</v>
      </c>
      <c r="C92" s="28">
        <v>4</v>
      </c>
      <c r="D92" s="28">
        <v>1</v>
      </c>
      <c r="E92">
        <v>12</v>
      </c>
      <c r="F92" t="s">
        <v>323</v>
      </c>
      <c r="G92" t="s">
        <v>619</v>
      </c>
      <c r="H92" t="s">
        <v>1071</v>
      </c>
      <c r="I92">
        <f t="shared" si="6"/>
        <v>48</v>
      </c>
      <c r="J92">
        <f t="shared" si="4"/>
        <v>21.772433760000002</v>
      </c>
      <c r="K92">
        <v>0.93400000000000005</v>
      </c>
      <c r="L92">
        <f t="shared" si="5"/>
        <v>20.335453131840001</v>
      </c>
    </row>
    <row r="93" spans="1:12" x14ac:dyDescent="0.2">
      <c r="A93" s="4">
        <v>43440</v>
      </c>
      <c r="B93" t="s">
        <v>48</v>
      </c>
      <c r="C93" s="28">
        <v>8</v>
      </c>
      <c r="D93" s="28">
        <v>1</v>
      </c>
      <c r="E93">
        <v>12</v>
      </c>
      <c r="F93" t="s">
        <v>220</v>
      </c>
      <c r="G93" t="s">
        <v>220</v>
      </c>
      <c r="H93" t="s">
        <v>1071</v>
      </c>
      <c r="I93">
        <f t="shared" si="6"/>
        <v>96</v>
      </c>
      <c r="J93">
        <f t="shared" si="4"/>
        <v>43.544867520000004</v>
      </c>
      <c r="K93">
        <v>0.93400000000000005</v>
      </c>
      <c r="L93">
        <f t="shared" si="5"/>
        <v>40.670906263680003</v>
      </c>
    </row>
    <row r="94" spans="1:12" x14ac:dyDescent="0.2">
      <c r="A94" s="4">
        <v>43434</v>
      </c>
      <c r="B94" t="s">
        <v>48</v>
      </c>
      <c r="C94" s="28">
        <v>1</v>
      </c>
      <c r="D94" s="28">
        <v>1</v>
      </c>
      <c r="E94">
        <v>36</v>
      </c>
      <c r="F94" t="s">
        <v>352</v>
      </c>
      <c r="G94" t="s">
        <v>352</v>
      </c>
      <c r="H94" t="s">
        <v>1071</v>
      </c>
      <c r="I94">
        <f t="shared" si="6"/>
        <v>36</v>
      </c>
      <c r="J94">
        <f t="shared" si="4"/>
        <v>16.329325319999999</v>
      </c>
      <c r="K94">
        <v>0.33100000000000002</v>
      </c>
      <c r="L94">
        <f t="shared" si="5"/>
        <v>5.4050066809199997</v>
      </c>
    </row>
    <row r="95" spans="1:12" x14ac:dyDescent="0.2">
      <c r="A95" s="4">
        <v>43437</v>
      </c>
      <c r="B95" t="s">
        <v>48</v>
      </c>
      <c r="C95" s="28">
        <v>1</v>
      </c>
      <c r="D95" s="28">
        <v>1</v>
      </c>
      <c r="E95">
        <v>36</v>
      </c>
      <c r="F95" t="s">
        <v>352</v>
      </c>
      <c r="G95" t="s">
        <v>352</v>
      </c>
      <c r="H95" t="s">
        <v>1071</v>
      </c>
      <c r="I95">
        <f t="shared" si="6"/>
        <v>36</v>
      </c>
      <c r="J95">
        <f t="shared" si="4"/>
        <v>16.329325319999999</v>
      </c>
      <c r="K95">
        <v>0.33100000000000002</v>
      </c>
      <c r="L95">
        <f t="shared" si="5"/>
        <v>5.4050066809199997</v>
      </c>
    </row>
    <row r="96" spans="1:12" x14ac:dyDescent="0.2">
      <c r="A96" s="4">
        <v>43438</v>
      </c>
      <c r="B96" t="s">
        <v>48</v>
      </c>
      <c r="C96" s="28">
        <v>1</v>
      </c>
      <c r="D96" s="28">
        <v>1</v>
      </c>
      <c r="E96">
        <v>36</v>
      </c>
      <c r="F96" t="s">
        <v>352</v>
      </c>
      <c r="G96" t="s">
        <v>352</v>
      </c>
      <c r="H96" t="s">
        <v>1071</v>
      </c>
      <c r="I96">
        <f t="shared" si="6"/>
        <v>36</v>
      </c>
      <c r="J96">
        <f t="shared" si="4"/>
        <v>16.329325319999999</v>
      </c>
      <c r="K96">
        <v>0.33100000000000002</v>
      </c>
      <c r="L96">
        <f t="shared" si="5"/>
        <v>5.4050066809199997</v>
      </c>
    </row>
    <row r="97" spans="1:12" x14ac:dyDescent="0.2">
      <c r="A97" s="4">
        <v>43434</v>
      </c>
      <c r="B97" t="s">
        <v>538</v>
      </c>
      <c r="C97">
        <v>2</v>
      </c>
      <c r="D97">
        <v>4</v>
      </c>
      <c r="E97">
        <v>30.3125</v>
      </c>
      <c r="F97" t="s">
        <v>470</v>
      </c>
      <c r="G97" s="6" t="s">
        <v>861</v>
      </c>
      <c r="H97" t="s">
        <v>1071</v>
      </c>
      <c r="I97">
        <f t="shared" si="6"/>
        <v>242.5</v>
      </c>
      <c r="J97">
        <f t="shared" si="4"/>
        <v>109.99614972500001</v>
      </c>
      <c r="K97">
        <v>1.61</v>
      </c>
      <c r="L97">
        <f t="shared" si="5"/>
        <v>177.09380105725003</v>
      </c>
    </row>
    <row r="98" spans="1:12" x14ac:dyDescent="0.2">
      <c r="A98" s="4">
        <v>43434</v>
      </c>
      <c r="B98" t="s">
        <v>538</v>
      </c>
      <c r="C98">
        <v>2</v>
      </c>
      <c r="D98">
        <v>4</v>
      </c>
      <c r="E98">
        <v>40.3125</v>
      </c>
      <c r="F98" t="s">
        <v>548</v>
      </c>
      <c r="G98" s="6" t="s">
        <v>861</v>
      </c>
      <c r="H98" t="s">
        <v>1071</v>
      </c>
      <c r="I98">
        <f t="shared" si="6"/>
        <v>322.5</v>
      </c>
      <c r="J98">
        <f t="shared" si="4"/>
        <v>146.28353932500002</v>
      </c>
      <c r="K98">
        <v>1.61</v>
      </c>
      <c r="L98">
        <f t="shared" si="5"/>
        <v>235.51649831325005</v>
      </c>
    </row>
    <row r="99" spans="1:12" x14ac:dyDescent="0.2">
      <c r="A99" s="4">
        <v>43437</v>
      </c>
      <c r="B99" t="s">
        <v>538</v>
      </c>
      <c r="C99">
        <v>1</v>
      </c>
      <c r="D99">
        <v>4</v>
      </c>
      <c r="E99">
        <v>1.8125</v>
      </c>
      <c r="F99" t="s">
        <v>575</v>
      </c>
      <c r="G99" s="6" t="s">
        <v>861</v>
      </c>
      <c r="H99" t="s">
        <v>1071</v>
      </c>
      <c r="I99">
        <f t="shared" si="6"/>
        <v>7.25</v>
      </c>
      <c r="J99">
        <f t="shared" si="4"/>
        <v>3.2885446825</v>
      </c>
      <c r="K99">
        <v>1.61</v>
      </c>
      <c r="L99">
        <f t="shared" si="5"/>
        <v>5.294556938825</v>
      </c>
    </row>
    <row r="100" spans="1:12" x14ac:dyDescent="0.2">
      <c r="A100" s="4">
        <v>43437</v>
      </c>
      <c r="B100" t="s">
        <v>538</v>
      </c>
      <c r="C100">
        <v>1</v>
      </c>
      <c r="D100">
        <v>4</v>
      </c>
      <c r="E100">
        <v>2.5</v>
      </c>
      <c r="F100" t="s">
        <v>436</v>
      </c>
      <c r="G100" s="6" t="s">
        <v>861</v>
      </c>
      <c r="H100" t="s">
        <v>1071</v>
      </c>
      <c r="I100">
        <f t="shared" si="6"/>
        <v>10</v>
      </c>
      <c r="J100">
        <f t="shared" si="4"/>
        <v>4.5359237000000006</v>
      </c>
      <c r="K100">
        <v>1.61</v>
      </c>
      <c r="L100">
        <f t="shared" si="5"/>
        <v>7.3028371570000017</v>
      </c>
    </row>
    <row r="101" spans="1:12" x14ac:dyDescent="0.2">
      <c r="A101" s="4">
        <v>43437</v>
      </c>
      <c r="B101" t="s">
        <v>538</v>
      </c>
      <c r="C101">
        <v>2</v>
      </c>
      <c r="D101">
        <v>4</v>
      </c>
      <c r="E101">
        <v>30.3125</v>
      </c>
      <c r="F101" t="s">
        <v>470</v>
      </c>
      <c r="G101" s="6" t="s">
        <v>861</v>
      </c>
      <c r="H101" t="s">
        <v>1071</v>
      </c>
      <c r="I101">
        <f t="shared" si="6"/>
        <v>242.5</v>
      </c>
      <c r="J101">
        <f t="shared" si="4"/>
        <v>109.99614972500001</v>
      </c>
      <c r="K101">
        <v>1.61</v>
      </c>
      <c r="L101">
        <f t="shared" si="5"/>
        <v>177.09380105725003</v>
      </c>
    </row>
    <row r="102" spans="1:12" x14ac:dyDescent="0.2">
      <c r="A102" s="4">
        <v>43437</v>
      </c>
      <c r="B102" t="s">
        <v>538</v>
      </c>
      <c r="C102">
        <v>2</v>
      </c>
      <c r="D102">
        <v>4</v>
      </c>
      <c r="E102">
        <v>30.3125</v>
      </c>
      <c r="F102" t="s">
        <v>580</v>
      </c>
      <c r="G102" s="6" t="s">
        <v>861</v>
      </c>
      <c r="H102" t="s">
        <v>1071</v>
      </c>
      <c r="I102">
        <f t="shared" si="6"/>
        <v>242.5</v>
      </c>
      <c r="J102">
        <f t="shared" si="4"/>
        <v>109.99614972500001</v>
      </c>
      <c r="K102">
        <v>1.61</v>
      </c>
      <c r="L102">
        <f t="shared" si="5"/>
        <v>177.09380105725003</v>
      </c>
    </row>
    <row r="103" spans="1:12" x14ac:dyDescent="0.2">
      <c r="A103" s="4">
        <v>43437</v>
      </c>
      <c r="B103" t="s">
        <v>538</v>
      </c>
      <c r="C103">
        <v>1</v>
      </c>
      <c r="D103">
        <v>4</v>
      </c>
      <c r="E103">
        <v>3.125</v>
      </c>
      <c r="F103" t="s">
        <v>453</v>
      </c>
      <c r="G103" s="6" t="s">
        <v>861</v>
      </c>
      <c r="H103" t="s">
        <v>1071</v>
      </c>
      <c r="I103">
        <f t="shared" si="6"/>
        <v>12.5</v>
      </c>
      <c r="J103">
        <f t="shared" si="4"/>
        <v>5.669904625</v>
      </c>
      <c r="K103">
        <v>1.61</v>
      </c>
      <c r="L103">
        <f t="shared" si="5"/>
        <v>9.1285464462500006</v>
      </c>
    </row>
    <row r="104" spans="1:12" x14ac:dyDescent="0.2">
      <c r="A104" s="4">
        <v>43439</v>
      </c>
      <c r="B104" t="s">
        <v>538</v>
      </c>
      <c r="C104">
        <v>1</v>
      </c>
      <c r="D104">
        <v>4</v>
      </c>
      <c r="E104">
        <v>1.8125</v>
      </c>
      <c r="F104" t="s">
        <v>575</v>
      </c>
      <c r="G104" s="6" t="s">
        <v>861</v>
      </c>
      <c r="H104" t="s">
        <v>1071</v>
      </c>
      <c r="I104">
        <f t="shared" si="6"/>
        <v>7.25</v>
      </c>
      <c r="J104">
        <f t="shared" si="4"/>
        <v>3.2885446825</v>
      </c>
      <c r="K104">
        <v>1.61</v>
      </c>
      <c r="L104">
        <f t="shared" si="5"/>
        <v>5.294556938825</v>
      </c>
    </row>
    <row r="105" spans="1:12" x14ac:dyDescent="0.2">
      <c r="A105" s="4">
        <v>43439</v>
      </c>
      <c r="B105" t="s">
        <v>538</v>
      </c>
      <c r="C105">
        <v>3</v>
      </c>
      <c r="D105">
        <v>4</v>
      </c>
      <c r="E105">
        <v>2.5</v>
      </c>
      <c r="F105" t="s">
        <v>436</v>
      </c>
      <c r="G105" s="6" t="s">
        <v>861</v>
      </c>
      <c r="H105" t="s">
        <v>1071</v>
      </c>
      <c r="I105">
        <f t="shared" si="6"/>
        <v>30</v>
      </c>
      <c r="J105">
        <f t="shared" si="4"/>
        <v>13.607771100000001</v>
      </c>
      <c r="K105">
        <v>1.61</v>
      </c>
      <c r="L105">
        <f t="shared" si="5"/>
        <v>21.908511471000004</v>
      </c>
    </row>
    <row r="106" spans="1:12" x14ac:dyDescent="0.2">
      <c r="A106" s="4">
        <v>43439</v>
      </c>
      <c r="B106" t="s">
        <v>538</v>
      </c>
      <c r="C106">
        <v>3</v>
      </c>
      <c r="D106">
        <v>4</v>
      </c>
      <c r="E106">
        <v>30.3125</v>
      </c>
      <c r="F106" t="s">
        <v>470</v>
      </c>
      <c r="G106" s="6" t="s">
        <v>861</v>
      </c>
      <c r="H106" t="s">
        <v>1071</v>
      </c>
      <c r="I106">
        <f t="shared" si="6"/>
        <v>363.75</v>
      </c>
      <c r="J106">
        <f t="shared" si="4"/>
        <v>164.99422458750001</v>
      </c>
      <c r="K106">
        <v>1.61</v>
      </c>
      <c r="L106">
        <f t="shared" si="5"/>
        <v>265.64070158587504</v>
      </c>
    </row>
    <row r="107" spans="1:12" x14ac:dyDescent="0.2">
      <c r="A107" s="4">
        <v>43439</v>
      </c>
      <c r="B107" t="s">
        <v>538</v>
      </c>
      <c r="C107">
        <v>1</v>
      </c>
      <c r="D107">
        <v>4</v>
      </c>
      <c r="E107">
        <v>30.3125</v>
      </c>
      <c r="F107" t="s">
        <v>580</v>
      </c>
      <c r="G107" s="6" t="s">
        <v>861</v>
      </c>
      <c r="H107" t="s">
        <v>1071</v>
      </c>
      <c r="I107">
        <f t="shared" si="6"/>
        <v>121.25</v>
      </c>
      <c r="J107">
        <f t="shared" si="4"/>
        <v>54.998074862500005</v>
      </c>
      <c r="K107">
        <v>1.61</v>
      </c>
      <c r="L107">
        <f t="shared" si="5"/>
        <v>88.546900528625017</v>
      </c>
    </row>
    <row r="108" spans="1:12" x14ac:dyDescent="0.2">
      <c r="A108" s="4">
        <v>43439</v>
      </c>
      <c r="B108" t="s">
        <v>538</v>
      </c>
      <c r="C108">
        <v>4</v>
      </c>
      <c r="D108">
        <v>4</v>
      </c>
      <c r="E108">
        <v>40.3125</v>
      </c>
      <c r="F108" t="s">
        <v>548</v>
      </c>
      <c r="G108" s="6" t="s">
        <v>861</v>
      </c>
      <c r="H108" t="s">
        <v>1071</v>
      </c>
      <c r="I108">
        <f t="shared" si="6"/>
        <v>645</v>
      </c>
      <c r="J108">
        <f t="shared" si="4"/>
        <v>292.56707865000004</v>
      </c>
      <c r="K108">
        <v>1.61</v>
      </c>
      <c r="L108">
        <f t="shared" si="5"/>
        <v>471.03299662650011</v>
      </c>
    </row>
    <row r="109" spans="1:12" x14ac:dyDescent="0.2">
      <c r="A109" s="4">
        <v>43439</v>
      </c>
      <c r="B109" t="s">
        <v>538</v>
      </c>
      <c r="C109">
        <v>1</v>
      </c>
      <c r="D109">
        <v>4</v>
      </c>
      <c r="E109">
        <v>3.125</v>
      </c>
      <c r="F109" t="s">
        <v>453</v>
      </c>
      <c r="G109" s="6" t="s">
        <v>861</v>
      </c>
      <c r="H109" t="s">
        <v>1071</v>
      </c>
      <c r="I109">
        <f t="shared" si="6"/>
        <v>12.5</v>
      </c>
      <c r="J109">
        <f t="shared" si="4"/>
        <v>5.669904625</v>
      </c>
      <c r="K109">
        <v>1.61</v>
      </c>
      <c r="L109">
        <f t="shared" si="5"/>
        <v>9.1285464462500006</v>
      </c>
    </row>
    <row r="110" spans="1:12" x14ac:dyDescent="0.2">
      <c r="A110" s="4">
        <v>43434</v>
      </c>
      <c r="B110" t="s">
        <v>538</v>
      </c>
      <c r="C110">
        <v>2</v>
      </c>
      <c r="D110">
        <v>4</v>
      </c>
      <c r="E110">
        <v>30.0625</v>
      </c>
      <c r="F110" t="s">
        <v>545</v>
      </c>
      <c r="G110" s="6" t="s">
        <v>901</v>
      </c>
      <c r="H110" t="s">
        <v>1071</v>
      </c>
      <c r="I110">
        <f t="shared" si="6"/>
        <v>240.5</v>
      </c>
      <c r="J110">
        <f t="shared" si="4"/>
        <v>109.088964985</v>
      </c>
      <c r="K110">
        <v>1.61</v>
      </c>
      <c r="L110">
        <f t="shared" si="5"/>
        <v>175.63323362585001</v>
      </c>
    </row>
    <row r="111" spans="1:12" x14ac:dyDescent="0.2">
      <c r="A111" s="4">
        <v>43434</v>
      </c>
      <c r="B111" t="s">
        <v>538</v>
      </c>
      <c r="C111">
        <v>2</v>
      </c>
      <c r="D111">
        <v>4</v>
      </c>
      <c r="E111">
        <v>2.5</v>
      </c>
      <c r="F111" t="s">
        <v>436</v>
      </c>
      <c r="G111" s="6" t="s">
        <v>903</v>
      </c>
      <c r="H111" t="s">
        <v>1071</v>
      </c>
      <c r="I111">
        <f t="shared" si="6"/>
        <v>20</v>
      </c>
      <c r="J111">
        <f t="shared" si="4"/>
        <v>9.0718474000000011</v>
      </c>
      <c r="K111">
        <v>1.61</v>
      </c>
      <c r="L111">
        <f t="shared" si="5"/>
        <v>14.605674314000003</v>
      </c>
    </row>
    <row r="112" spans="1:12" x14ac:dyDescent="0.2">
      <c r="A112" s="4">
        <v>43434</v>
      </c>
      <c r="B112" t="s">
        <v>538</v>
      </c>
      <c r="C112">
        <v>4</v>
      </c>
      <c r="D112">
        <v>4</v>
      </c>
      <c r="E112">
        <v>3.125</v>
      </c>
      <c r="F112" t="s">
        <v>453</v>
      </c>
      <c r="G112" s="6" t="s">
        <v>910</v>
      </c>
      <c r="H112" t="s">
        <v>1071</v>
      </c>
      <c r="I112">
        <f t="shared" si="6"/>
        <v>50</v>
      </c>
      <c r="J112">
        <f t="shared" si="4"/>
        <v>22.6796185</v>
      </c>
      <c r="K112">
        <v>1.61</v>
      </c>
      <c r="L112">
        <f t="shared" si="5"/>
        <v>36.514185785000002</v>
      </c>
    </row>
    <row r="113" spans="1:12" x14ac:dyDescent="0.2">
      <c r="A113" s="4">
        <v>43434</v>
      </c>
      <c r="B113" t="s">
        <v>517</v>
      </c>
      <c r="C113">
        <v>2</v>
      </c>
      <c r="D113">
        <v>6</v>
      </c>
      <c r="E113">
        <v>1</v>
      </c>
      <c r="F113" t="s">
        <v>519</v>
      </c>
      <c r="G113" t="s">
        <v>847</v>
      </c>
      <c r="H113" t="s">
        <v>1073</v>
      </c>
      <c r="I113">
        <f t="shared" si="6"/>
        <v>12</v>
      </c>
      <c r="J113">
        <f t="shared" si="4"/>
        <v>5.4431084400000005</v>
      </c>
      <c r="K113">
        <v>9.9740000000000002</v>
      </c>
      <c r="L113">
        <f t="shared" si="5"/>
        <v>54.289563580560007</v>
      </c>
    </row>
    <row r="114" spans="1:12" x14ac:dyDescent="0.2">
      <c r="A114" s="4">
        <v>43434</v>
      </c>
      <c r="B114" t="s">
        <v>517</v>
      </c>
      <c r="C114">
        <v>2</v>
      </c>
      <c r="D114">
        <v>6</v>
      </c>
      <c r="E114">
        <v>3</v>
      </c>
      <c r="F114" t="s">
        <v>387</v>
      </c>
      <c r="G114" t="s">
        <v>847</v>
      </c>
      <c r="H114" t="s">
        <v>1073</v>
      </c>
      <c r="I114">
        <f t="shared" si="6"/>
        <v>36</v>
      </c>
      <c r="J114">
        <f t="shared" si="4"/>
        <v>16.329325319999999</v>
      </c>
      <c r="K114">
        <v>9.9740000000000002</v>
      </c>
      <c r="L114">
        <f t="shared" si="5"/>
        <v>162.86869074167998</v>
      </c>
    </row>
    <row r="115" spans="1:12" x14ac:dyDescent="0.2">
      <c r="A115" s="4">
        <v>43434</v>
      </c>
      <c r="B115" t="s">
        <v>517</v>
      </c>
      <c r="C115">
        <v>2</v>
      </c>
      <c r="D115">
        <v>4</v>
      </c>
      <c r="E115">
        <v>5</v>
      </c>
      <c r="F115" t="s">
        <v>389</v>
      </c>
      <c r="G115" t="s">
        <v>847</v>
      </c>
      <c r="H115" t="s">
        <v>1073</v>
      </c>
      <c r="I115">
        <f t="shared" si="6"/>
        <v>40</v>
      </c>
      <c r="J115">
        <f t="shared" si="4"/>
        <v>18.143694800000002</v>
      </c>
      <c r="K115">
        <v>9.9740000000000002</v>
      </c>
      <c r="L115">
        <f t="shared" si="5"/>
        <v>180.96521193520002</v>
      </c>
    </row>
    <row r="116" spans="1:12" x14ac:dyDescent="0.2">
      <c r="A116" s="4">
        <v>43434</v>
      </c>
      <c r="B116" t="s">
        <v>517</v>
      </c>
      <c r="C116">
        <v>15</v>
      </c>
      <c r="D116">
        <v>4</v>
      </c>
      <c r="E116">
        <v>5</v>
      </c>
      <c r="F116" t="s">
        <v>521</v>
      </c>
      <c r="G116" t="s">
        <v>847</v>
      </c>
      <c r="H116" t="s">
        <v>1073</v>
      </c>
      <c r="I116">
        <f t="shared" ref="I116:I147" si="7">C116*D116*E116</f>
        <v>300</v>
      </c>
      <c r="J116">
        <f t="shared" si="4"/>
        <v>136.07771100000002</v>
      </c>
      <c r="K116">
        <v>9.9740000000000002</v>
      </c>
      <c r="L116">
        <f t="shared" si="5"/>
        <v>1357.2390895140002</v>
      </c>
    </row>
    <row r="117" spans="1:12" x14ac:dyDescent="0.2">
      <c r="A117" s="4">
        <v>43434</v>
      </c>
      <c r="B117" t="s">
        <v>517</v>
      </c>
      <c r="C117">
        <v>1</v>
      </c>
      <c r="D117">
        <v>4</v>
      </c>
      <c r="E117">
        <v>5</v>
      </c>
      <c r="F117" t="s">
        <v>390</v>
      </c>
      <c r="G117" t="s">
        <v>847</v>
      </c>
      <c r="H117" t="s">
        <v>1073</v>
      </c>
      <c r="I117">
        <f t="shared" si="7"/>
        <v>20</v>
      </c>
      <c r="J117">
        <f t="shared" si="4"/>
        <v>9.0718474000000011</v>
      </c>
      <c r="K117">
        <v>9.9740000000000002</v>
      </c>
      <c r="L117">
        <f t="shared" si="5"/>
        <v>90.482605967600009</v>
      </c>
    </row>
    <row r="118" spans="1:12" x14ac:dyDescent="0.2">
      <c r="A118" s="4">
        <v>43434</v>
      </c>
      <c r="B118" t="s">
        <v>517</v>
      </c>
      <c r="C118">
        <v>4</v>
      </c>
      <c r="D118">
        <v>4</v>
      </c>
      <c r="E118">
        <v>5</v>
      </c>
      <c r="F118" t="s">
        <v>391</v>
      </c>
      <c r="G118" t="s">
        <v>847</v>
      </c>
      <c r="H118" t="s">
        <v>1073</v>
      </c>
      <c r="I118">
        <f t="shared" si="7"/>
        <v>80</v>
      </c>
      <c r="J118">
        <f t="shared" si="4"/>
        <v>36.287389600000004</v>
      </c>
      <c r="K118">
        <v>9.9740000000000002</v>
      </c>
      <c r="L118">
        <f t="shared" si="5"/>
        <v>361.93042387040003</v>
      </c>
    </row>
    <row r="119" spans="1:12" x14ac:dyDescent="0.2">
      <c r="A119" s="4">
        <v>43434</v>
      </c>
      <c r="B119" t="s">
        <v>517</v>
      </c>
      <c r="C119">
        <v>3</v>
      </c>
      <c r="D119">
        <v>4</v>
      </c>
      <c r="E119">
        <v>5</v>
      </c>
      <c r="F119" t="s">
        <v>522</v>
      </c>
      <c r="G119" t="s">
        <v>847</v>
      </c>
      <c r="H119" t="s">
        <v>1073</v>
      </c>
      <c r="I119">
        <f t="shared" si="7"/>
        <v>60</v>
      </c>
      <c r="J119">
        <f t="shared" si="4"/>
        <v>27.215542200000002</v>
      </c>
      <c r="K119">
        <v>9.9740000000000002</v>
      </c>
      <c r="L119">
        <f t="shared" si="5"/>
        <v>271.44781790280001</v>
      </c>
    </row>
    <row r="120" spans="1:12" x14ac:dyDescent="0.2">
      <c r="A120" s="4">
        <v>43434</v>
      </c>
      <c r="B120" t="s">
        <v>517</v>
      </c>
      <c r="C120">
        <v>2</v>
      </c>
      <c r="D120">
        <v>4</v>
      </c>
      <c r="E120">
        <v>2.5</v>
      </c>
      <c r="F120" t="s">
        <v>1008</v>
      </c>
      <c r="G120" t="s">
        <v>847</v>
      </c>
      <c r="H120" t="s">
        <v>1073</v>
      </c>
      <c r="I120">
        <f t="shared" si="7"/>
        <v>20</v>
      </c>
      <c r="J120">
        <f t="shared" si="4"/>
        <v>9.0718474000000011</v>
      </c>
      <c r="K120">
        <v>9.9740000000000002</v>
      </c>
      <c r="L120">
        <f t="shared" si="5"/>
        <v>90.482605967600009</v>
      </c>
    </row>
    <row r="121" spans="1:12" x14ac:dyDescent="0.2">
      <c r="A121" s="4">
        <v>43434</v>
      </c>
      <c r="B121" t="s">
        <v>517</v>
      </c>
      <c r="C121">
        <v>2</v>
      </c>
      <c r="D121">
        <v>4</v>
      </c>
      <c r="E121">
        <v>2.5</v>
      </c>
      <c r="F121" t="s">
        <v>1009</v>
      </c>
      <c r="G121" t="s">
        <v>847</v>
      </c>
      <c r="H121" t="s">
        <v>1073</v>
      </c>
      <c r="I121">
        <f t="shared" si="7"/>
        <v>20</v>
      </c>
      <c r="J121">
        <f t="shared" si="4"/>
        <v>9.0718474000000011</v>
      </c>
      <c r="K121">
        <v>9.9740000000000002</v>
      </c>
      <c r="L121">
        <f t="shared" si="5"/>
        <v>90.482605967600009</v>
      </c>
    </row>
    <row r="122" spans="1:12" x14ac:dyDescent="0.2">
      <c r="A122" s="4">
        <v>43434</v>
      </c>
      <c r="B122" t="s">
        <v>517</v>
      </c>
      <c r="C122">
        <v>2</v>
      </c>
      <c r="D122">
        <v>8</v>
      </c>
      <c r="E122">
        <v>1.25</v>
      </c>
      <c r="F122" t="s">
        <v>1010</v>
      </c>
      <c r="G122" t="s">
        <v>847</v>
      </c>
      <c r="H122" t="s">
        <v>1073</v>
      </c>
      <c r="I122">
        <f t="shared" si="7"/>
        <v>20</v>
      </c>
      <c r="J122">
        <f t="shared" si="4"/>
        <v>9.0718474000000011</v>
      </c>
      <c r="K122">
        <v>9.9740000000000002</v>
      </c>
      <c r="L122">
        <f t="shared" si="5"/>
        <v>90.482605967600009</v>
      </c>
    </row>
    <row r="123" spans="1:12" x14ac:dyDescent="0.2">
      <c r="A123" s="4">
        <v>43434</v>
      </c>
      <c r="B123" t="s">
        <v>517</v>
      </c>
      <c r="C123">
        <v>2</v>
      </c>
      <c r="D123">
        <v>4</v>
      </c>
      <c r="E123">
        <v>2.5</v>
      </c>
      <c r="F123" t="s">
        <v>1011</v>
      </c>
      <c r="G123" t="s">
        <v>847</v>
      </c>
      <c r="H123" t="s">
        <v>1073</v>
      </c>
      <c r="I123">
        <f t="shared" si="7"/>
        <v>20</v>
      </c>
      <c r="J123">
        <f t="shared" si="4"/>
        <v>9.0718474000000011</v>
      </c>
      <c r="K123">
        <v>9.9740000000000002</v>
      </c>
      <c r="L123">
        <f t="shared" si="5"/>
        <v>90.482605967600009</v>
      </c>
    </row>
    <row r="124" spans="1:12" x14ac:dyDescent="0.2">
      <c r="A124" s="4">
        <v>43434</v>
      </c>
      <c r="B124" t="s">
        <v>517</v>
      </c>
      <c r="C124">
        <v>1</v>
      </c>
      <c r="D124">
        <v>2</v>
      </c>
      <c r="E124">
        <v>5</v>
      </c>
      <c r="F124" t="s">
        <v>393</v>
      </c>
      <c r="G124" t="s">
        <v>847</v>
      </c>
      <c r="H124" t="s">
        <v>1073</v>
      </c>
      <c r="I124">
        <f t="shared" si="7"/>
        <v>10</v>
      </c>
      <c r="J124">
        <f t="shared" si="4"/>
        <v>4.5359237000000006</v>
      </c>
      <c r="K124">
        <v>9.9740000000000002</v>
      </c>
      <c r="L124">
        <f t="shared" si="5"/>
        <v>45.241302983800004</v>
      </c>
    </row>
    <row r="125" spans="1:12" x14ac:dyDescent="0.2">
      <c r="A125" s="4">
        <v>43434</v>
      </c>
      <c r="B125" t="s">
        <v>517</v>
      </c>
      <c r="C125">
        <v>1</v>
      </c>
      <c r="D125">
        <v>6</v>
      </c>
      <c r="E125">
        <v>2</v>
      </c>
      <c r="F125" t="s">
        <v>523</v>
      </c>
      <c r="G125" t="s">
        <v>847</v>
      </c>
      <c r="H125" t="s">
        <v>1073</v>
      </c>
      <c r="I125">
        <f t="shared" si="7"/>
        <v>12</v>
      </c>
      <c r="J125">
        <f t="shared" si="4"/>
        <v>5.4431084400000005</v>
      </c>
      <c r="K125">
        <v>9.9740000000000002</v>
      </c>
      <c r="L125">
        <f t="shared" si="5"/>
        <v>54.289563580560007</v>
      </c>
    </row>
    <row r="126" spans="1:12" x14ac:dyDescent="0.2">
      <c r="A126" s="4">
        <v>43434</v>
      </c>
      <c r="B126" t="s">
        <v>517</v>
      </c>
      <c r="C126">
        <v>1</v>
      </c>
      <c r="D126">
        <v>6</v>
      </c>
      <c r="E126">
        <v>3</v>
      </c>
      <c r="F126" t="s">
        <v>394</v>
      </c>
      <c r="G126" t="s">
        <v>847</v>
      </c>
      <c r="H126" t="s">
        <v>1073</v>
      </c>
      <c r="I126">
        <f t="shared" si="7"/>
        <v>18</v>
      </c>
      <c r="J126">
        <f t="shared" si="4"/>
        <v>8.1646626599999994</v>
      </c>
      <c r="K126">
        <v>9.9740000000000002</v>
      </c>
      <c r="L126">
        <f t="shared" si="5"/>
        <v>81.434345370839992</v>
      </c>
    </row>
    <row r="127" spans="1:12" x14ac:dyDescent="0.2">
      <c r="A127" s="4">
        <v>43437</v>
      </c>
      <c r="B127" t="s">
        <v>517</v>
      </c>
      <c r="C127">
        <v>4</v>
      </c>
      <c r="D127">
        <v>4</v>
      </c>
      <c r="E127">
        <v>5</v>
      </c>
      <c r="F127" t="s">
        <v>391</v>
      </c>
      <c r="G127" t="s">
        <v>847</v>
      </c>
      <c r="H127" t="s">
        <v>1073</v>
      </c>
      <c r="I127">
        <f t="shared" si="7"/>
        <v>80</v>
      </c>
      <c r="J127">
        <f t="shared" si="4"/>
        <v>36.287389600000004</v>
      </c>
      <c r="K127">
        <v>9.9740000000000002</v>
      </c>
      <c r="L127">
        <f t="shared" si="5"/>
        <v>361.93042387040003</v>
      </c>
    </row>
    <row r="128" spans="1:12" x14ac:dyDescent="0.2">
      <c r="A128" s="4">
        <v>43437</v>
      </c>
      <c r="B128" t="s">
        <v>517</v>
      </c>
      <c r="C128">
        <v>6</v>
      </c>
      <c r="D128">
        <v>4</v>
      </c>
      <c r="E128">
        <v>5</v>
      </c>
      <c r="F128" t="s">
        <v>392</v>
      </c>
      <c r="G128" t="s">
        <v>847</v>
      </c>
      <c r="H128" t="s">
        <v>1073</v>
      </c>
      <c r="I128">
        <f t="shared" si="7"/>
        <v>120</v>
      </c>
      <c r="J128">
        <f t="shared" si="4"/>
        <v>54.431084400000003</v>
      </c>
      <c r="K128">
        <v>9.9740000000000002</v>
      </c>
      <c r="L128">
        <f t="shared" si="5"/>
        <v>542.89563580560002</v>
      </c>
    </row>
    <row r="129" spans="1:12" x14ac:dyDescent="0.2">
      <c r="A129" s="4">
        <v>43437</v>
      </c>
      <c r="B129" t="s">
        <v>517</v>
      </c>
      <c r="C129">
        <v>3</v>
      </c>
      <c r="D129">
        <v>2</v>
      </c>
      <c r="E129">
        <v>5</v>
      </c>
      <c r="F129" t="s">
        <v>393</v>
      </c>
      <c r="G129" t="s">
        <v>847</v>
      </c>
      <c r="H129" t="s">
        <v>1073</v>
      </c>
      <c r="I129">
        <f t="shared" si="7"/>
        <v>30</v>
      </c>
      <c r="J129">
        <f t="shared" si="4"/>
        <v>13.607771100000001</v>
      </c>
      <c r="K129">
        <v>9.9740000000000002</v>
      </c>
      <c r="L129">
        <f t="shared" si="5"/>
        <v>135.72390895140001</v>
      </c>
    </row>
    <row r="130" spans="1:12" x14ac:dyDescent="0.2">
      <c r="A130" s="4">
        <v>43439</v>
      </c>
      <c r="B130" t="s">
        <v>517</v>
      </c>
      <c r="C130">
        <v>1</v>
      </c>
      <c r="D130">
        <v>10</v>
      </c>
      <c r="E130">
        <v>3</v>
      </c>
      <c r="F130" t="s">
        <v>587</v>
      </c>
      <c r="G130" t="s">
        <v>847</v>
      </c>
      <c r="H130" t="s">
        <v>1073</v>
      </c>
      <c r="I130">
        <f t="shared" si="7"/>
        <v>30</v>
      </c>
      <c r="J130">
        <f t="shared" si="4"/>
        <v>13.607771100000001</v>
      </c>
      <c r="K130">
        <v>9.9740000000000002</v>
      </c>
      <c r="L130">
        <f t="shared" si="5"/>
        <v>135.72390895140001</v>
      </c>
    </row>
    <row r="131" spans="1:12" x14ac:dyDescent="0.2">
      <c r="A131" s="4">
        <v>43439</v>
      </c>
      <c r="B131" t="s">
        <v>517</v>
      </c>
      <c r="C131">
        <v>2</v>
      </c>
      <c r="D131">
        <v>4</v>
      </c>
      <c r="E131">
        <v>5</v>
      </c>
      <c r="F131" t="s">
        <v>390</v>
      </c>
      <c r="G131" t="s">
        <v>847</v>
      </c>
      <c r="H131" t="s">
        <v>1073</v>
      </c>
      <c r="I131">
        <f t="shared" si="7"/>
        <v>40</v>
      </c>
      <c r="J131">
        <f t="shared" ref="J131:J194" si="8">CONVERT(I131,"lbm","kg")</f>
        <v>18.143694800000002</v>
      </c>
      <c r="K131">
        <v>9.9740000000000002</v>
      </c>
      <c r="L131">
        <f t="shared" ref="L131:L194" si="9">J131*K131</f>
        <v>180.96521193520002</v>
      </c>
    </row>
    <row r="132" spans="1:12" x14ac:dyDescent="0.2">
      <c r="A132" s="4">
        <v>43439</v>
      </c>
      <c r="B132" t="s">
        <v>517</v>
      </c>
      <c r="C132">
        <v>2</v>
      </c>
      <c r="D132">
        <v>4</v>
      </c>
      <c r="E132">
        <v>5</v>
      </c>
      <c r="F132" t="s">
        <v>391</v>
      </c>
      <c r="G132" t="s">
        <v>847</v>
      </c>
      <c r="H132" t="s">
        <v>1073</v>
      </c>
      <c r="I132">
        <f t="shared" si="7"/>
        <v>40</v>
      </c>
      <c r="J132">
        <f t="shared" si="8"/>
        <v>18.143694800000002</v>
      </c>
      <c r="K132">
        <v>9.9740000000000002</v>
      </c>
      <c r="L132">
        <f t="shared" si="9"/>
        <v>180.96521193520002</v>
      </c>
    </row>
    <row r="133" spans="1:12" x14ac:dyDescent="0.2">
      <c r="A133" s="4">
        <v>43439</v>
      </c>
      <c r="B133" t="s">
        <v>517</v>
      </c>
      <c r="C133">
        <v>5</v>
      </c>
      <c r="D133">
        <v>4</v>
      </c>
      <c r="E133">
        <v>5</v>
      </c>
      <c r="F133" t="s">
        <v>392</v>
      </c>
      <c r="G133" t="s">
        <v>847</v>
      </c>
      <c r="H133" t="s">
        <v>1073</v>
      </c>
      <c r="I133">
        <f t="shared" si="7"/>
        <v>100</v>
      </c>
      <c r="J133">
        <f t="shared" si="8"/>
        <v>45.359237</v>
      </c>
      <c r="K133">
        <v>9.9740000000000002</v>
      </c>
      <c r="L133">
        <f t="shared" si="9"/>
        <v>452.413029838</v>
      </c>
    </row>
    <row r="134" spans="1:12" x14ac:dyDescent="0.2">
      <c r="A134" s="4">
        <v>43439</v>
      </c>
      <c r="B134" t="s">
        <v>517</v>
      </c>
      <c r="C134">
        <v>1</v>
      </c>
      <c r="D134">
        <v>4</v>
      </c>
      <c r="E134">
        <v>2.5</v>
      </c>
      <c r="F134" t="s">
        <v>1008</v>
      </c>
      <c r="G134" t="s">
        <v>847</v>
      </c>
      <c r="H134" t="s">
        <v>1073</v>
      </c>
      <c r="I134">
        <f t="shared" si="7"/>
        <v>10</v>
      </c>
      <c r="J134">
        <f t="shared" si="8"/>
        <v>4.5359237000000006</v>
      </c>
      <c r="K134">
        <v>9.9740000000000002</v>
      </c>
      <c r="L134">
        <f t="shared" si="9"/>
        <v>45.241302983800004</v>
      </c>
    </row>
    <row r="135" spans="1:12" x14ac:dyDescent="0.2">
      <c r="A135" s="4">
        <v>43439</v>
      </c>
      <c r="B135" t="s">
        <v>517</v>
      </c>
      <c r="C135">
        <v>1</v>
      </c>
      <c r="D135">
        <v>8</v>
      </c>
      <c r="E135">
        <v>1.25</v>
      </c>
      <c r="F135" t="s">
        <v>1010</v>
      </c>
      <c r="G135" t="s">
        <v>847</v>
      </c>
      <c r="H135" t="s">
        <v>1073</v>
      </c>
      <c r="I135">
        <f t="shared" si="7"/>
        <v>10</v>
      </c>
      <c r="J135">
        <f t="shared" si="8"/>
        <v>4.5359237000000006</v>
      </c>
      <c r="K135">
        <v>9.9740000000000002</v>
      </c>
      <c r="L135">
        <f t="shared" si="9"/>
        <v>45.241302983800004</v>
      </c>
    </row>
    <row r="136" spans="1:12" x14ac:dyDescent="0.2">
      <c r="A136" s="4">
        <v>43439</v>
      </c>
      <c r="B136" t="s">
        <v>517</v>
      </c>
      <c r="C136">
        <v>2</v>
      </c>
      <c r="D136">
        <v>4</v>
      </c>
      <c r="E136">
        <v>2.5</v>
      </c>
      <c r="F136" t="s">
        <v>1011</v>
      </c>
      <c r="G136" t="s">
        <v>847</v>
      </c>
      <c r="H136" t="s">
        <v>1073</v>
      </c>
      <c r="I136">
        <f t="shared" si="7"/>
        <v>20</v>
      </c>
      <c r="J136">
        <f t="shared" si="8"/>
        <v>9.0718474000000011</v>
      </c>
      <c r="K136">
        <v>9.9740000000000002</v>
      </c>
      <c r="L136">
        <f t="shared" si="9"/>
        <v>90.482605967600009</v>
      </c>
    </row>
    <row r="137" spans="1:12" x14ac:dyDescent="0.2">
      <c r="A137" s="4">
        <v>43399</v>
      </c>
      <c r="B137" t="s">
        <v>175</v>
      </c>
      <c r="C137" s="37">
        <v>1</v>
      </c>
      <c r="D137" s="37">
        <v>1</v>
      </c>
      <c r="E137">
        <v>80</v>
      </c>
      <c r="F137" t="s">
        <v>31</v>
      </c>
      <c r="G137" t="s">
        <v>755</v>
      </c>
      <c r="H137" s="9" t="s">
        <v>1072</v>
      </c>
      <c r="I137">
        <f t="shared" si="7"/>
        <v>80</v>
      </c>
      <c r="J137">
        <f t="shared" si="8"/>
        <v>36.287389600000004</v>
      </c>
      <c r="K137">
        <v>4.1879999999999997</v>
      </c>
      <c r="L137">
        <f t="shared" si="9"/>
        <v>151.9715876448</v>
      </c>
    </row>
    <row r="138" spans="1:12" x14ac:dyDescent="0.2">
      <c r="A138" s="4">
        <v>43403</v>
      </c>
      <c r="B138" t="s">
        <v>175</v>
      </c>
      <c r="C138" s="37">
        <v>1</v>
      </c>
      <c r="D138" s="37">
        <v>1</v>
      </c>
      <c r="E138">
        <v>280</v>
      </c>
      <c r="F138" t="s">
        <v>31</v>
      </c>
      <c r="G138" t="s">
        <v>755</v>
      </c>
      <c r="H138" s="9" t="s">
        <v>1072</v>
      </c>
      <c r="I138">
        <f t="shared" si="7"/>
        <v>280</v>
      </c>
      <c r="J138">
        <f t="shared" si="8"/>
        <v>127.00586360000001</v>
      </c>
      <c r="K138">
        <v>4.1879999999999997</v>
      </c>
      <c r="L138">
        <f t="shared" si="9"/>
        <v>531.90055675680003</v>
      </c>
    </row>
    <row r="139" spans="1:12" x14ac:dyDescent="0.2">
      <c r="A139" s="4">
        <v>43440</v>
      </c>
      <c r="B139" t="s">
        <v>201</v>
      </c>
      <c r="C139">
        <v>15</v>
      </c>
      <c r="D139" s="28">
        <v>1</v>
      </c>
      <c r="E139">
        <v>20</v>
      </c>
      <c r="F139" s="9" t="s">
        <v>51</v>
      </c>
      <c r="G139" s="9" t="s">
        <v>755</v>
      </c>
      <c r="H139" s="9" t="s">
        <v>1072</v>
      </c>
      <c r="I139">
        <f t="shared" si="7"/>
        <v>300</v>
      </c>
      <c r="J139">
        <f t="shared" si="8"/>
        <v>136.07771100000002</v>
      </c>
      <c r="K139">
        <v>4.1879999999999997</v>
      </c>
      <c r="L139">
        <f t="shared" si="9"/>
        <v>569.89345366800001</v>
      </c>
    </row>
    <row r="140" spans="1:12" x14ac:dyDescent="0.2">
      <c r="A140" s="4">
        <v>43440</v>
      </c>
      <c r="B140" t="s">
        <v>201</v>
      </c>
      <c r="C140">
        <v>15</v>
      </c>
      <c r="D140" s="28">
        <v>1</v>
      </c>
      <c r="E140">
        <v>20</v>
      </c>
      <c r="F140" s="9" t="s">
        <v>473</v>
      </c>
      <c r="G140" s="9" t="s">
        <v>755</v>
      </c>
      <c r="H140" s="9" t="s">
        <v>1072</v>
      </c>
      <c r="I140">
        <f t="shared" si="7"/>
        <v>300</v>
      </c>
      <c r="J140">
        <f t="shared" si="8"/>
        <v>136.07771100000002</v>
      </c>
      <c r="K140">
        <v>4.1879999999999997</v>
      </c>
      <c r="L140">
        <f t="shared" si="9"/>
        <v>569.89345366800001</v>
      </c>
    </row>
    <row r="141" spans="1:12" x14ac:dyDescent="0.2">
      <c r="A141" s="4">
        <v>43437</v>
      </c>
      <c r="B141" t="s">
        <v>201</v>
      </c>
      <c r="C141">
        <v>15</v>
      </c>
      <c r="D141" s="28">
        <v>1</v>
      </c>
      <c r="E141">
        <v>20</v>
      </c>
      <c r="F141" s="9" t="s">
        <v>51</v>
      </c>
      <c r="G141" s="9" t="s">
        <v>755</v>
      </c>
      <c r="H141" s="9" t="s">
        <v>1072</v>
      </c>
      <c r="I141">
        <f t="shared" si="7"/>
        <v>300</v>
      </c>
      <c r="J141">
        <f t="shared" si="8"/>
        <v>136.07771100000002</v>
      </c>
      <c r="K141">
        <v>4.1879999999999997</v>
      </c>
      <c r="L141">
        <f t="shared" si="9"/>
        <v>569.89345366800001</v>
      </c>
    </row>
    <row r="142" spans="1:12" x14ac:dyDescent="0.2">
      <c r="A142" s="4">
        <v>43437</v>
      </c>
      <c r="B142" t="s">
        <v>201</v>
      </c>
      <c r="C142">
        <v>15</v>
      </c>
      <c r="D142" s="28">
        <v>1</v>
      </c>
      <c r="E142">
        <v>20</v>
      </c>
      <c r="F142" s="9" t="s">
        <v>473</v>
      </c>
      <c r="G142" s="9" t="s">
        <v>755</v>
      </c>
      <c r="H142" s="9" t="s">
        <v>1072</v>
      </c>
      <c r="I142">
        <f t="shared" si="7"/>
        <v>300</v>
      </c>
      <c r="J142">
        <f t="shared" si="8"/>
        <v>136.07771100000002</v>
      </c>
      <c r="K142">
        <v>4.1879999999999997</v>
      </c>
      <c r="L142">
        <f t="shared" si="9"/>
        <v>569.89345366800001</v>
      </c>
    </row>
    <row r="143" spans="1:12" x14ac:dyDescent="0.2">
      <c r="A143" s="4">
        <v>43437</v>
      </c>
      <c r="B143" t="s">
        <v>201</v>
      </c>
      <c r="C143">
        <v>16</v>
      </c>
      <c r="D143" s="28">
        <v>1</v>
      </c>
      <c r="E143">
        <v>20</v>
      </c>
      <c r="F143" s="9" t="s">
        <v>474</v>
      </c>
      <c r="G143" s="9" t="s">
        <v>755</v>
      </c>
      <c r="H143" s="9" t="s">
        <v>1072</v>
      </c>
      <c r="I143">
        <f t="shared" si="7"/>
        <v>320</v>
      </c>
      <c r="J143">
        <f t="shared" si="8"/>
        <v>145.14955840000002</v>
      </c>
      <c r="K143">
        <v>4.1879999999999997</v>
      </c>
      <c r="L143">
        <f t="shared" si="9"/>
        <v>607.88635057919998</v>
      </c>
    </row>
    <row r="144" spans="1:12" x14ac:dyDescent="0.2">
      <c r="A144" s="4">
        <v>43437</v>
      </c>
      <c r="B144" t="s">
        <v>201</v>
      </c>
      <c r="C144">
        <v>4</v>
      </c>
      <c r="D144" s="28">
        <v>1</v>
      </c>
      <c r="E144">
        <v>40</v>
      </c>
      <c r="F144" s="9" t="s">
        <v>52</v>
      </c>
      <c r="G144" s="9" t="s">
        <v>755</v>
      </c>
      <c r="H144" s="9" t="s">
        <v>1072</v>
      </c>
      <c r="I144">
        <f t="shared" si="7"/>
        <v>160</v>
      </c>
      <c r="J144">
        <f t="shared" si="8"/>
        <v>72.574779200000009</v>
      </c>
      <c r="K144">
        <v>4.1879999999999997</v>
      </c>
      <c r="L144">
        <f t="shared" si="9"/>
        <v>303.94317528959999</v>
      </c>
    </row>
    <row r="145" spans="1:12" x14ac:dyDescent="0.2">
      <c r="A145" s="4">
        <v>43438</v>
      </c>
      <c r="B145" t="s">
        <v>201</v>
      </c>
      <c r="C145">
        <v>15</v>
      </c>
      <c r="D145" s="28">
        <v>1</v>
      </c>
      <c r="E145">
        <v>20</v>
      </c>
      <c r="F145" s="9" t="s">
        <v>51</v>
      </c>
      <c r="G145" s="9" t="s">
        <v>755</v>
      </c>
      <c r="H145" s="9" t="s">
        <v>1072</v>
      </c>
      <c r="I145">
        <f t="shared" si="7"/>
        <v>300</v>
      </c>
      <c r="J145">
        <f t="shared" si="8"/>
        <v>136.07771100000002</v>
      </c>
      <c r="K145">
        <v>4.1879999999999997</v>
      </c>
      <c r="L145">
        <f t="shared" si="9"/>
        <v>569.89345366800001</v>
      </c>
    </row>
    <row r="146" spans="1:12" x14ac:dyDescent="0.2">
      <c r="A146" s="4">
        <v>43439</v>
      </c>
      <c r="B146" t="s">
        <v>201</v>
      </c>
      <c r="C146">
        <v>15</v>
      </c>
      <c r="D146" s="28">
        <v>1</v>
      </c>
      <c r="E146">
        <v>20</v>
      </c>
      <c r="F146" s="9" t="s">
        <v>51</v>
      </c>
      <c r="G146" s="9" t="s">
        <v>755</v>
      </c>
      <c r="H146" s="9" t="s">
        <v>1072</v>
      </c>
      <c r="I146">
        <f t="shared" si="7"/>
        <v>300</v>
      </c>
      <c r="J146">
        <f t="shared" si="8"/>
        <v>136.07771100000002</v>
      </c>
      <c r="K146">
        <v>4.1879999999999997</v>
      </c>
      <c r="L146">
        <f t="shared" si="9"/>
        <v>569.89345366800001</v>
      </c>
    </row>
    <row r="147" spans="1:12" x14ac:dyDescent="0.2">
      <c r="A147" s="4">
        <v>43439</v>
      </c>
      <c r="B147" t="s">
        <v>201</v>
      </c>
      <c r="C147">
        <v>15</v>
      </c>
      <c r="D147" s="28">
        <v>1</v>
      </c>
      <c r="E147">
        <v>20</v>
      </c>
      <c r="F147" s="9" t="s">
        <v>474</v>
      </c>
      <c r="G147" s="9" t="s">
        <v>755</v>
      </c>
      <c r="H147" s="9" t="s">
        <v>1072</v>
      </c>
      <c r="I147">
        <f t="shared" si="7"/>
        <v>300</v>
      </c>
      <c r="J147">
        <f t="shared" si="8"/>
        <v>136.07771100000002</v>
      </c>
      <c r="K147">
        <v>4.1879999999999997</v>
      </c>
      <c r="L147">
        <f t="shared" si="9"/>
        <v>569.89345366800001</v>
      </c>
    </row>
    <row r="148" spans="1:12" x14ac:dyDescent="0.2">
      <c r="A148" s="4">
        <v>43439</v>
      </c>
      <c r="B148" t="s">
        <v>201</v>
      </c>
      <c r="C148">
        <v>1</v>
      </c>
      <c r="D148" s="28">
        <v>1</v>
      </c>
      <c r="E148">
        <v>20</v>
      </c>
      <c r="F148" s="9" t="s">
        <v>475</v>
      </c>
      <c r="G148" s="9" t="s">
        <v>755</v>
      </c>
      <c r="H148" s="9" t="s">
        <v>1072</v>
      </c>
      <c r="I148">
        <f t="shared" ref="I148:I155" si="10">C148*D148*E148</f>
        <v>20</v>
      </c>
      <c r="J148">
        <f t="shared" si="8"/>
        <v>9.0718474000000011</v>
      </c>
      <c r="K148">
        <v>4.1879999999999997</v>
      </c>
      <c r="L148">
        <f t="shared" si="9"/>
        <v>37.992896911199999</v>
      </c>
    </row>
    <row r="149" spans="1:12" x14ac:dyDescent="0.2">
      <c r="A149" s="4">
        <v>43439</v>
      </c>
      <c r="B149" t="s">
        <v>201</v>
      </c>
      <c r="C149">
        <v>1</v>
      </c>
      <c r="D149" s="28">
        <v>1</v>
      </c>
      <c r="E149">
        <v>40</v>
      </c>
      <c r="F149" s="9" t="s">
        <v>52</v>
      </c>
      <c r="G149" s="9" t="s">
        <v>755</v>
      </c>
      <c r="H149" s="9" t="s">
        <v>1072</v>
      </c>
      <c r="I149">
        <f t="shared" si="10"/>
        <v>40</v>
      </c>
      <c r="J149">
        <f t="shared" si="8"/>
        <v>18.143694800000002</v>
      </c>
      <c r="K149">
        <v>4.1879999999999997</v>
      </c>
      <c r="L149">
        <f t="shared" si="9"/>
        <v>75.985793822399998</v>
      </c>
    </row>
    <row r="150" spans="1:12" x14ac:dyDescent="0.2">
      <c r="A150" s="4">
        <v>43434</v>
      </c>
      <c r="B150" t="s">
        <v>538</v>
      </c>
      <c r="C150">
        <v>8</v>
      </c>
      <c r="D150">
        <v>6</v>
      </c>
      <c r="E150">
        <v>10</v>
      </c>
      <c r="F150" t="s">
        <v>539</v>
      </c>
      <c r="G150" t="s">
        <v>896</v>
      </c>
      <c r="H150" s="6" t="s">
        <v>1071</v>
      </c>
      <c r="I150">
        <f t="shared" si="10"/>
        <v>480</v>
      </c>
      <c r="J150">
        <f t="shared" si="8"/>
        <v>217.72433760000001</v>
      </c>
      <c r="K150">
        <v>0.49099999999999999</v>
      </c>
      <c r="L150">
        <f t="shared" si="9"/>
        <v>106.9026497616</v>
      </c>
    </row>
    <row r="151" spans="1:12" x14ac:dyDescent="0.2">
      <c r="A151" s="4">
        <v>43439</v>
      </c>
      <c r="B151" t="s">
        <v>538</v>
      </c>
      <c r="C151">
        <v>3</v>
      </c>
      <c r="D151">
        <v>6</v>
      </c>
      <c r="E151">
        <v>10</v>
      </c>
      <c r="F151" t="s">
        <v>539</v>
      </c>
      <c r="G151" t="s">
        <v>896</v>
      </c>
      <c r="H151" s="6" t="s">
        <v>1071</v>
      </c>
      <c r="I151">
        <f t="shared" si="10"/>
        <v>180</v>
      </c>
      <c r="J151">
        <f t="shared" si="8"/>
        <v>81.646626600000005</v>
      </c>
      <c r="K151">
        <v>0.49099999999999999</v>
      </c>
      <c r="L151">
        <f t="shared" si="9"/>
        <v>40.088493660600001</v>
      </c>
    </row>
    <row r="152" spans="1:12" x14ac:dyDescent="0.2">
      <c r="A152" s="4">
        <v>43434</v>
      </c>
      <c r="B152" t="s">
        <v>531</v>
      </c>
      <c r="C152">
        <v>11</v>
      </c>
      <c r="D152">
        <v>100</v>
      </c>
      <c r="E152">
        <f>2.6/16</f>
        <v>0.16250000000000001</v>
      </c>
      <c r="F152" t="s">
        <v>532</v>
      </c>
      <c r="G152" s="6" t="s">
        <v>853</v>
      </c>
      <c r="H152" s="6" t="s">
        <v>1071</v>
      </c>
      <c r="I152">
        <f t="shared" si="10"/>
        <v>178.75</v>
      </c>
      <c r="J152">
        <f t="shared" si="8"/>
        <v>81.079636137500003</v>
      </c>
      <c r="K152">
        <v>1.2</v>
      </c>
      <c r="L152">
        <f t="shared" si="9"/>
        <v>97.295563365000007</v>
      </c>
    </row>
    <row r="153" spans="1:12" x14ac:dyDescent="0.2">
      <c r="A153" s="4">
        <v>43434</v>
      </c>
      <c r="B153" t="s">
        <v>48</v>
      </c>
      <c r="C153" s="28">
        <v>1</v>
      </c>
      <c r="D153" s="28">
        <v>1</v>
      </c>
      <c r="E153">
        <f>30*(2.8/16)</f>
        <v>5.25</v>
      </c>
      <c r="F153" t="s">
        <v>300</v>
      </c>
      <c r="G153" t="s">
        <v>300</v>
      </c>
      <c r="H153" s="6" t="s">
        <v>1071</v>
      </c>
      <c r="I153">
        <f t="shared" si="10"/>
        <v>5.25</v>
      </c>
      <c r="J153">
        <f t="shared" si="8"/>
        <v>2.3813599425</v>
      </c>
      <c r="K153">
        <v>0.26100000000000001</v>
      </c>
      <c r="L153">
        <f t="shared" si="9"/>
        <v>0.62153494499250006</v>
      </c>
    </row>
    <row r="154" spans="1:12" x14ac:dyDescent="0.2">
      <c r="A154" s="4">
        <v>43437</v>
      </c>
      <c r="B154" t="s">
        <v>48</v>
      </c>
      <c r="C154" s="28">
        <v>1</v>
      </c>
      <c r="D154" s="28">
        <v>1</v>
      </c>
      <c r="E154">
        <f>30*(2.8/16)</f>
        <v>5.25</v>
      </c>
      <c r="F154" t="s">
        <v>300</v>
      </c>
      <c r="G154" t="s">
        <v>300</v>
      </c>
      <c r="H154" s="6" t="s">
        <v>1071</v>
      </c>
      <c r="I154">
        <f t="shared" si="10"/>
        <v>5.25</v>
      </c>
      <c r="J154">
        <f t="shared" si="8"/>
        <v>2.3813599425</v>
      </c>
      <c r="K154">
        <v>0.26100000000000001</v>
      </c>
      <c r="L154">
        <f t="shared" si="9"/>
        <v>0.62153494499250006</v>
      </c>
    </row>
    <row r="155" spans="1:12" x14ac:dyDescent="0.2">
      <c r="A155" s="4">
        <v>43438</v>
      </c>
      <c r="B155" t="s">
        <v>48</v>
      </c>
      <c r="C155" s="28">
        <v>1</v>
      </c>
      <c r="D155" s="28">
        <v>1</v>
      </c>
      <c r="E155">
        <f>30*(2.8/16)</f>
        <v>5.25</v>
      </c>
      <c r="F155" t="s">
        <v>300</v>
      </c>
      <c r="G155" t="s">
        <v>300</v>
      </c>
      <c r="H155" s="6" t="s">
        <v>1071</v>
      </c>
      <c r="I155">
        <f t="shared" si="10"/>
        <v>5.25</v>
      </c>
      <c r="J155">
        <f t="shared" si="8"/>
        <v>2.3813599425</v>
      </c>
      <c r="K155">
        <v>0.26100000000000001</v>
      </c>
      <c r="L155">
        <f t="shared" si="9"/>
        <v>0.62153494499250006</v>
      </c>
    </row>
    <row r="156" spans="1:12" x14ac:dyDescent="0.2">
      <c r="A156" s="4">
        <v>43439</v>
      </c>
      <c r="B156" t="s">
        <v>538</v>
      </c>
      <c r="C156">
        <v>1</v>
      </c>
      <c r="D156">
        <v>6</v>
      </c>
      <c r="E156" t="s">
        <v>422</v>
      </c>
      <c r="F156" t="s">
        <v>423</v>
      </c>
      <c r="G156" s="14" t="s">
        <v>919</v>
      </c>
      <c r="H156" s="6" t="s">
        <v>1071</v>
      </c>
      <c r="I156">
        <v>0</v>
      </c>
      <c r="J156">
        <f t="shared" si="8"/>
        <v>0</v>
      </c>
      <c r="K156">
        <v>33.646999999999998</v>
      </c>
      <c r="L156">
        <f t="shared" si="9"/>
        <v>0</v>
      </c>
    </row>
    <row r="157" spans="1:12" x14ac:dyDescent="0.2">
      <c r="A157" s="4">
        <v>43403</v>
      </c>
      <c r="B157" t="s">
        <v>291</v>
      </c>
      <c r="C157" s="37">
        <v>1</v>
      </c>
      <c r="D157" s="37">
        <v>1</v>
      </c>
      <c r="E157">
        <v>10</v>
      </c>
      <c r="F157" t="s">
        <v>292</v>
      </c>
      <c r="G157" t="s">
        <v>809</v>
      </c>
      <c r="H157" s="9" t="s">
        <v>1071</v>
      </c>
      <c r="I157">
        <f t="shared" ref="I157:I178" si="11">C157*D157*E157</f>
        <v>10</v>
      </c>
      <c r="J157">
        <f t="shared" si="8"/>
        <v>4.5359237000000006</v>
      </c>
      <c r="K157">
        <v>6.2789999999999999</v>
      </c>
      <c r="L157">
        <f t="shared" si="9"/>
        <v>28.481064912300003</v>
      </c>
    </row>
    <row r="158" spans="1:12" x14ac:dyDescent="0.2">
      <c r="A158" s="4">
        <v>43403</v>
      </c>
      <c r="B158" t="s">
        <v>291</v>
      </c>
      <c r="C158" s="37">
        <v>1</v>
      </c>
      <c r="D158" s="37">
        <v>1</v>
      </c>
      <c r="E158" s="8">
        <v>5</v>
      </c>
      <c r="F158" s="8" t="s">
        <v>293</v>
      </c>
      <c r="G158" s="8" t="s">
        <v>809</v>
      </c>
      <c r="H158" s="9" t="s">
        <v>1071</v>
      </c>
      <c r="I158">
        <f t="shared" si="11"/>
        <v>5</v>
      </c>
      <c r="J158">
        <f t="shared" si="8"/>
        <v>2.2679618500000003</v>
      </c>
      <c r="K158" s="8">
        <v>6.2789999999999999</v>
      </c>
      <c r="L158">
        <f t="shared" si="9"/>
        <v>14.240532456150001</v>
      </c>
    </row>
    <row r="159" spans="1:12" x14ac:dyDescent="0.2">
      <c r="A159" s="4">
        <v>43434</v>
      </c>
      <c r="B159" t="s">
        <v>48</v>
      </c>
      <c r="C159" s="28">
        <v>2</v>
      </c>
      <c r="D159" s="28">
        <v>1</v>
      </c>
      <c r="E159">
        <v>10</v>
      </c>
      <c r="F159" t="s">
        <v>344</v>
      </c>
      <c r="G159" t="s">
        <v>794</v>
      </c>
      <c r="H159" s="6" t="s">
        <v>1071</v>
      </c>
      <c r="I159">
        <f t="shared" si="11"/>
        <v>20</v>
      </c>
      <c r="J159">
        <f t="shared" si="8"/>
        <v>9.0718474000000011</v>
      </c>
      <c r="K159">
        <v>0.20599999999999999</v>
      </c>
      <c r="L159">
        <f t="shared" si="9"/>
        <v>1.8688005644000001</v>
      </c>
    </row>
    <row r="160" spans="1:12" x14ac:dyDescent="0.2">
      <c r="A160" s="4">
        <v>43435</v>
      </c>
      <c r="B160" t="s">
        <v>48</v>
      </c>
      <c r="C160" s="28">
        <v>2</v>
      </c>
      <c r="D160" s="28">
        <v>1</v>
      </c>
      <c r="E160">
        <v>10</v>
      </c>
      <c r="F160" t="s">
        <v>344</v>
      </c>
      <c r="G160" t="s">
        <v>794</v>
      </c>
      <c r="H160" s="6" t="s">
        <v>1071</v>
      </c>
      <c r="I160">
        <f t="shared" si="11"/>
        <v>20</v>
      </c>
      <c r="J160">
        <f t="shared" si="8"/>
        <v>9.0718474000000011</v>
      </c>
      <c r="K160">
        <v>0.20599999999999999</v>
      </c>
      <c r="L160">
        <f t="shared" si="9"/>
        <v>1.8688005644000001</v>
      </c>
    </row>
    <row r="161" spans="1:12" x14ac:dyDescent="0.2">
      <c r="A161" s="4">
        <v>43438</v>
      </c>
      <c r="B161" t="s">
        <v>48</v>
      </c>
      <c r="C161" s="28">
        <v>4</v>
      </c>
      <c r="D161" s="28">
        <v>1</v>
      </c>
      <c r="E161">
        <v>10</v>
      </c>
      <c r="F161" t="s">
        <v>344</v>
      </c>
      <c r="G161" t="s">
        <v>794</v>
      </c>
      <c r="H161" s="6" t="s">
        <v>1071</v>
      </c>
      <c r="I161">
        <f t="shared" si="11"/>
        <v>40</v>
      </c>
      <c r="J161">
        <f t="shared" si="8"/>
        <v>18.143694800000002</v>
      </c>
      <c r="K161">
        <v>0.20599999999999999</v>
      </c>
      <c r="L161">
        <f t="shared" si="9"/>
        <v>3.7376011288000002</v>
      </c>
    </row>
    <row r="162" spans="1:12" x14ac:dyDescent="0.2">
      <c r="A162" s="4">
        <v>43434</v>
      </c>
      <c r="B162" t="s">
        <v>538</v>
      </c>
      <c r="C162">
        <v>4</v>
      </c>
      <c r="D162">
        <v>2</v>
      </c>
      <c r="E162">
        <f>1.5*9.59</f>
        <v>14.385</v>
      </c>
      <c r="F162" t="s">
        <v>563</v>
      </c>
      <c r="G162" s="6" t="s">
        <v>980</v>
      </c>
      <c r="H162" s="9" t="s">
        <v>1071</v>
      </c>
      <c r="I162">
        <f t="shared" si="11"/>
        <v>115.08</v>
      </c>
      <c r="J162">
        <f t="shared" si="8"/>
        <v>52.199409939600002</v>
      </c>
      <c r="K162">
        <v>3.33</v>
      </c>
      <c r="L162">
        <f t="shared" si="9"/>
        <v>173.82403509886802</v>
      </c>
    </row>
    <row r="163" spans="1:12" x14ac:dyDescent="0.2">
      <c r="A163" s="4">
        <v>43437</v>
      </c>
      <c r="B163" t="s">
        <v>538</v>
      </c>
      <c r="C163">
        <v>1</v>
      </c>
      <c r="D163">
        <v>6</v>
      </c>
      <c r="E163">
        <v>7.125</v>
      </c>
      <c r="F163" t="s">
        <v>1007</v>
      </c>
      <c r="G163" s="6" t="s">
        <v>980</v>
      </c>
      <c r="H163" s="9" t="s">
        <v>1071</v>
      </c>
      <c r="I163">
        <f t="shared" si="11"/>
        <v>42.75</v>
      </c>
      <c r="J163">
        <f t="shared" si="8"/>
        <v>19.391073817500001</v>
      </c>
      <c r="K163">
        <v>3.33</v>
      </c>
      <c r="L163">
        <f t="shared" si="9"/>
        <v>64.572275812275009</v>
      </c>
    </row>
    <row r="164" spans="1:12" x14ac:dyDescent="0.2">
      <c r="A164" s="4">
        <v>43439</v>
      </c>
      <c r="B164" t="s">
        <v>538</v>
      </c>
      <c r="C164">
        <v>2</v>
      </c>
      <c r="D164">
        <v>6</v>
      </c>
      <c r="E164">
        <v>7.125</v>
      </c>
      <c r="F164" t="s">
        <v>1007</v>
      </c>
      <c r="G164" s="6" t="s">
        <v>980</v>
      </c>
      <c r="H164" s="9" t="s">
        <v>1071</v>
      </c>
      <c r="I164">
        <f t="shared" si="11"/>
        <v>85.5</v>
      </c>
      <c r="J164">
        <f t="shared" si="8"/>
        <v>38.782147635000001</v>
      </c>
      <c r="K164">
        <v>3.33</v>
      </c>
      <c r="L164">
        <f t="shared" si="9"/>
        <v>129.14455162455002</v>
      </c>
    </row>
    <row r="165" spans="1:12" x14ac:dyDescent="0.2">
      <c r="A165" s="4">
        <v>43434</v>
      </c>
      <c r="B165" t="s">
        <v>538</v>
      </c>
      <c r="C165">
        <v>2</v>
      </c>
      <c r="D165">
        <v>2</v>
      </c>
      <c r="E165">
        <f>105/16</f>
        <v>6.5625</v>
      </c>
      <c r="F165" t="s">
        <v>561</v>
      </c>
      <c r="G165" s="6" t="s">
        <v>980</v>
      </c>
      <c r="H165" s="9" t="s">
        <v>1071</v>
      </c>
      <c r="I165">
        <f t="shared" si="11"/>
        <v>26.25</v>
      </c>
      <c r="J165">
        <f t="shared" si="8"/>
        <v>11.9067997125</v>
      </c>
      <c r="K165">
        <v>3.33</v>
      </c>
      <c r="L165">
        <f t="shared" si="9"/>
        <v>39.649643042625001</v>
      </c>
    </row>
    <row r="166" spans="1:12" x14ac:dyDescent="0.2">
      <c r="A166" s="4">
        <v>43439</v>
      </c>
      <c r="B166" t="s">
        <v>538</v>
      </c>
      <c r="C166">
        <v>1</v>
      </c>
      <c r="D166">
        <v>4</v>
      </c>
      <c r="E166">
        <f>105/16</f>
        <v>6.5625</v>
      </c>
      <c r="F166" t="s">
        <v>456</v>
      </c>
      <c r="G166" s="6" t="s">
        <v>980</v>
      </c>
      <c r="H166" s="9" t="s">
        <v>1071</v>
      </c>
      <c r="I166">
        <f t="shared" si="11"/>
        <v>26.25</v>
      </c>
      <c r="J166">
        <f t="shared" si="8"/>
        <v>11.9067997125</v>
      </c>
      <c r="K166">
        <v>3.33</v>
      </c>
      <c r="L166">
        <f t="shared" si="9"/>
        <v>39.649643042625001</v>
      </c>
    </row>
    <row r="167" spans="1:12" x14ac:dyDescent="0.2">
      <c r="A167" s="4">
        <v>43434</v>
      </c>
      <c r="B167" t="s">
        <v>538</v>
      </c>
      <c r="C167">
        <v>1</v>
      </c>
      <c r="D167">
        <v>6</v>
      </c>
      <c r="E167">
        <v>5</v>
      </c>
      <c r="F167" t="s">
        <v>549</v>
      </c>
      <c r="G167" s="6" t="s">
        <v>980</v>
      </c>
      <c r="H167" s="9" t="s">
        <v>1071</v>
      </c>
      <c r="I167">
        <f t="shared" si="11"/>
        <v>30</v>
      </c>
      <c r="J167">
        <f t="shared" si="8"/>
        <v>13.607771100000001</v>
      </c>
      <c r="K167">
        <v>3.33</v>
      </c>
      <c r="L167">
        <f t="shared" si="9"/>
        <v>45.313877763000001</v>
      </c>
    </row>
    <row r="168" spans="1:12" x14ac:dyDescent="0.2">
      <c r="A168" s="4">
        <v>43437</v>
      </c>
      <c r="B168" t="s">
        <v>538</v>
      </c>
      <c r="C168">
        <v>1</v>
      </c>
      <c r="D168">
        <v>4</v>
      </c>
      <c r="E168">
        <f>1.13*10.16</f>
        <v>11.480799999999999</v>
      </c>
      <c r="F168" t="s">
        <v>572</v>
      </c>
      <c r="G168" s="6" t="s">
        <v>980</v>
      </c>
      <c r="H168" s="9" t="s">
        <v>1071</v>
      </c>
      <c r="I168">
        <f t="shared" si="11"/>
        <v>45.923199999999994</v>
      </c>
      <c r="J168">
        <f t="shared" si="8"/>
        <v>20.830413125983998</v>
      </c>
      <c r="K168">
        <v>3.33</v>
      </c>
      <c r="L168">
        <f t="shared" si="9"/>
        <v>69.365275709526713</v>
      </c>
    </row>
    <row r="169" spans="1:12" x14ac:dyDescent="0.2">
      <c r="A169" s="4">
        <v>43437</v>
      </c>
      <c r="B169" t="s">
        <v>538</v>
      </c>
      <c r="C169">
        <v>1</v>
      </c>
      <c r="D169">
        <v>12</v>
      </c>
      <c r="E169">
        <v>1.5625</v>
      </c>
      <c r="F169" t="s">
        <v>449</v>
      </c>
      <c r="G169" s="6" t="s">
        <v>980</v>
      </c>
      <c r="H169" s="9" t="s">
        <v>1071</v>
      </c>
      <c r="I169">
        <f t="shared" si="11"/>
        <v>18.75</v>
      </c>
      <c r="J169">
        <f t="shared" si="8"/>
        <v>8.5048569375000014</v>
      </c>
      <c r="K169">
        <v>3.33</v>
      </c>
      <c r="L169">
        <f t="shared" si="9"/>
        <v>28.321173601875007</v>
      </c>
    </row>
    <row r="170" spans="1:12" x14ac:dyDescent="0.2">
      <c r="A170" s="4">
        <v>43437</v>
      </c>
      <c r="B170" t="s">
        <v>538</v>
      </c>
      <c r="C170">
        <v>1</v>
      </c>
      <c r="D170">
        <v>4</v>
      </c>
      <c r="E170">
        <f>1.13*10.16</f>
        <v>11.480799999999999</v>
      </c>
      <c r="F170" t="s">
        <v>584</v>
      </c>
      <c r="G170" s="6" t="s">
        <v>980</v>
      </c>
      <c r="H170" s="9" t="s">
        <v>1071</v>
      </c>
      <c r="I170">
        <f t="shared" si="11"/>
        <v>45.923199999999994</v>
      </c>
      <c r="J170">
        <f t="shared" si="8"/>
        <v>20.830413125983998</v>
      </c>
      <c r="K170">
        <v>3.33</v>
      </c>
      <c r="L170">
        <f t="shared" si="9"/>
        <v>69.365275709526713</v>
      </c>
    </row>
    <row r="171" spans="1:12" x14ac:dyDescent="0.2">
      <c r="A171" s="4">
        <v>43437</v>
      </c>
      <c r="B171" t="s">
        <v>538</v>
      </c>
      <c r="C171">
        <v>2</v>
      </c>
      <c r="D171">
        <v>4</v>
      </c>
      <c r="E171">
        <f>1.13*11.68</f>
        <v>13.198399999999998</v>
      </c>
      <c r="F171" t="s">
        <v>585</v>
      </c>
      <c r="G171" s="6" t="s">
        <v>980</v>
      </c>
      <c r="H171" s="9" t="s">
        <v>1071</v>
      </c>
      <c r="I171">
        <f t="shared" si="11"/>
        <v>105.58719999999998</v>
      </c>
      <c r="J171">
        <f t="shared" si="8"/>
        <v>47.893548289663997</v>
      </c>
      <c r="K171">
        <v>3.33</v>
      </c>
      <c r="L171">
        <f t="shared" si="9"/>
        <v>159.48551580458113</v>
      </c>
    </row>
    <row r="172" spans="1:12" x14ac:dyDescent="0.2">
      <c r="A172" s="4">
        <v>43439</v>
      </c>
      <c r="B172" t="s">
        <v>538</v>
      </c>
      <c r="C172">
        <v>1</v>
      </c>
      <c r="D172">
        <v>24</v>
      </c>
      <c r="E172">
        <v>0.3125</v>
      </c>
      <c r="F172" t="s">
        <v>585</v>
      </c>
      <c r="G172" s="6" t="s">
        <v>980</v>
      </c>
      <c r="H172" s="9" t="s">
        <v>1071</v>
      </c>
      <c r="I172">
        <f t="shared" si="11"/>
        <v>7.5</v>
      </c>
      <c r="J172">
        <f t="shared" si="8"/>
        <v>3.4019427750000002</v>
      </c>
      <c r="K172">
        <v>3.33</v>
      </c>
      <c r="L172">
        <f t="shared" si="9"/>
        <v>11.32846944075</v>
      </c>
    </row>
    <row r="173" spans="1:12" x14ac:dyDescent="0.2">
      <c r="A173" s="4">
        <v>43439</v>
      </c>
      <c r="B173" t="s">
        <v>538</v>
      </c>
      <c r="C173">
        <v>1</v>
      </c>
      <c r="D173">
        <v>24</v>
      </c>
      <c r="E173">
        <f>6/16</f>
        <v>0.375</v>
      </c>
      <c r="F173" t="s">
        <v>594</v>
      </c>
      <c r="G173" s="6" t="s">
        <v>980</v>
      </c>
      <c r="H173" s="9" t="s">
        <v>1071</v>
      </c>
      <c r="I173">
        <f t="shared" si="11"/>
        <v>9</v>
      </c>
      <c r="J173">
        <f t="shared" si="8"/>
        <v>4.0823313299999997</v>
      </c>
      <c r="K173">
        <v>3.33</v>
      </c>
      <c r="L173">
        <f t="shared" si="9"/>
        <v>13.594163328899999</v>
      </c>
    </row>
    <row r="174" spans="1:12" x14ac:dyDescent="0.2">
      <c r="A174" s="4">
        <v>43439</v>
      </c>
      <c r="B174" t="s">
        <v>538</v>
      </c>
      <c r="C174">
        <v>1</v>
      </c>
      <c r="D174">
        <v>12</v>
      </c>
      <c r="E174">
        <v>1.5625</v>
      </c>
      <c r="F174" t="s">
        <v>449</v>
      </c>
      <c r="G174" s="6" t="s">
        <v>980</v>
      </c>
      <c r="H174" s="9" t="s">
        <v>1071</v>
      </c>
      <c r="I174">
        <f t="shared" si="11"/>
        <v>18.75</v>
      </c>
      <c r="J174">
        <f t="shared" si="8"/>
        <v>8.5048569375000014</v>
      </c>
      <c r="K174">
        <v>3.33</v>
      </c>
      <c r="L174">
        <f t="shared" si="9"/>
        <v>28.321173601875007</v>
      </c>
    </row>
    <row r="175" spans="1:12" x14ac:dyDescent="0.2">
      <c r="A175" s="4">
        <v>43439</v>
      </c>
      <c r="B175" t="s">
        <v>538</v>
      </c>
      <c r="C175">
        <v>1</v>
      </c>
      <c r="D175">
        <v>12</v>
      </c>
      <c r="E175">
        <v>10.4375</v>
      </c>
      <c r="F175" t="s">
        <v>460</v>
      </c>
      <c r="G175" s="6" t="s">
        <v>980</v>
      </c>
      <c r="H175" s="9" t="s">
        <v>1071</v>
      </c>
      <c r="I175">
        <f t="shared" si="11"/>
        <v>125.25</v>
      </c>
      <c r="J175">
        <f t="shared" si="8"/>
        <v>56.812444342500001</v>
      </c>
      <c r="K175">
        <v>3.33</v>
      </c>
      <c r="L175">
        <f t="shared" si="9"/>
        <v>189.18543966052502</v>
      </c>
    </row>
    <row r="176" spans="1:12" x14ac:dyDescent="0.2">
      <c r="A176" s="4">
        <v>43434</v>
      </c>
      <c r="B176" t="s">
        <v>538</v>
      </c>
      <c r="C176">
        <v>4</v>
      </c>
      <c r="D176">
        <v>4</v>
      </c>
      <c r="E176">
        <v>7.79</v>
      </c>
      <c r="F176" t="s">
        <v>543</v>
      </c>
      <c r="G176" s="6" t="s">
        <v>1089</v>
      </c>
      <c r="H176" s="9" t="s">
        <v>1073</v>
      </c>
      <c r="I176">
        <f t="shared" si="11"/>
        <v>124.64</v>
      </c>
      <c r="J176">
        <f t="shared" si="8"/>
        <v>56.535752996799999</v>
      </c>
      <c r="K176">
        <v>3.33</v>
      </c>
      <c r="L176">
        <f t="shared" si="9"/>
        <v>188.26405747934399</v>
      </c>
    </row>
    <row r="177" spans="1:12" x14ac:dyDescent="0.2">
      <c r="A177" s="4">
        <v>43439</v>
      </c>
      <c r="B177" t="s">
        <v>538</v>
      </c>
      <c r="C177">
        <v>3</v>
      </c>
      <c r="D177">
        <v>4</v>
      </c>
      <c r="E177">
        <v>7.79</v>
      </c>
      <c r="F177" t="s">
        <v>543</v>
      </c>
      <c r="G177" s="6" t="s">
        <v>1089</v>
      </c>
      <c r="H177" s="9" t="s">
        <v>1073</v>
      </c>
      <c r="I177">
        <f t="shared" si="11"/>
        <v>93.48</v>
      </c>
      <c r="J177">
        <f t="shared" si="8"/>
        <v>42.4018147476</v>
      </c>
      <c r="K177">
        <v>3.33</v>
      </c>
      <c r="L177">
        <f t="shared" si="9"/>
        <v>141.19804310950801</v>
      </c>
    </row>
    <row r="178" spans="1:12" x14ac:dyDescent="0.2">
      <c r="A178" s="4">
        <v>43437</v>
      </c>
      <c r="B178" t="s">
        <v>48</v>
      </c>
      <c r="C178" s="28">
        <v>1</v>
      </c>
      <c r="D178" s="28">
        <v>1</v>
      </c>
      <c r="E178">
        <v>20</v>
      </c>
      <c r="F178" t="s">
        <v>490</v>
      </c>
      <c r="G178" t="s">
        <v>837</v>
      </c>
      <c r="H178" s="6" t="s">
        <v>1071</v>
      </c>
      <c r="I178">
        <f t="shared" si="11"/>
        <v>20</v>
      </c>
      <c r="J178">
        <f t="shared" si="8"/>
        <v>9.0718474000000011</v>
      </c>
      <c r="K178">
        <v>0.75700000000000001</v>
      </c>
      <c r="L178">
        <f t="shared" si="9"/>
        <v>6.8673884818000008</v>
      </c>
    </row>
    <row r="179" spans="1:12" x14ac:dyDescent="0.2">
      <c r="A179" s="4">
        <v>43438</v>
      </c>
      <c r="B179" t="s">
        <v>48</v>
      </c>
      <c r="C179" s="28">
        <v>3</v>
      </c>
      <c r="D179" s="28">
        <v>1</v>
      </c>
      <c r="E179" t="s">
        <v>499</v>
      </c>
      <c r="F179" t="s">
        <v>500</v>
      </c>
      <c r="G179" s="14" t="s">
        <v>837</v>
      </c>
      <c r="H179" s="6" t="s">
        <v>1071</v>
      </c>
      <c r="I179">
        <v>0</v>
      </c>
      <c r="J179">
        <f t="shared" si="8"/>
        <v>0</v>
      </c>
      <c r="K179">
        <v>0.75700000000000001</v>
      </c>
      <c r="L179">
        <f t="shared" si="9"/>
        <v>0</v>
      </c>
    </row>
    <row r="180" spans="1:12" x14ac:dyDescent="0.2">
      <c r="A180" s="4">
        <v>43437</v>
      </c>
      <c r="B180" t="s">
        <v>531</v>
      </c>
      <c r="C180">
        <v>3</v>
      </c>
      <c r="D180">
        <v>1</v>
      </c>
      <c r="E180">
        <v>30</v>
      </c>
      <c r="F180" t="s">
        <v>411</v>
      </c>
      <c r="G180" t="s">
        <v>849</v>
      </c>
      <c r="H180" s="6" t="s">
        <v>1071</v>
      </c>
      <c r="I180">
        <f>C180*D180*E180</f>
        <v>90</v>
      </c>
      <c r="J180">
        <f t="shared" si="8"/>
        <v>40.823313300000002</v>
      </c>
      <c r="K180">
        <v>0.75700000000000001</v>
      </c>
      <c r="L180">
        <f t="shared" si="9"/>
        <v>30.903248168100003</v>
      </c>
    </row>
    <row r="181" spans="1:12" x14ac:dyDescent="0.2">
      <c r="A181" s="4">
        <v>43439</v>
      </c>
      <c r="B181" t="s">
        <v>531</v>
      </c>
      <c r="C181">
        <v>1</v>
      </c>
      <c r="D181">
        <v>1</v>
      </c>
      <c r="E181">
        <v>30</v>
      </c>
      <c r="F181" t="s">
        <v>411</v>
      </c>
      <c r="G181" t="s">
        <v>849</v>
      </c>
      <c r="H181" s="6" t="s">
        <v>1071</v>
      </c>
      <c r="I181">
        <f>C181*D181*E181</f>
        <v>30</v>
      </c>
      <c r="J181">
        <f t="shared" si="8"/>
        <v>13.607771100000001</v>
      </c>
      <c r="K181">
        <v>0.75700000000000001</v>
      </c>
      <c r="L181">
        <f t="shared" si="9"/>
        <v>10.3010827227</v>
      </c>
    </row>
    <row r="182" spans="1:12" x14ac:dyDescent="0.2">
      <c r="A182" s="4">
        <v>43434</v>
      </c>
      <c r="B182" t="s">
        <v>525</v>
      </c>
      <c r="C182">
        <v>12</v>
      </c>
      <c r="D182">
        <v>1</v>
      </c>
      <c r="E182">
        <v>10</v>
      </c>
      <c r="F182" t="s">
        <v>526</v>
      </c>
      <c r="G182" s="9" t="s">
        <v>889</v>
      </c>
      <c r="H182" s="9" t="s">
        <v>1072</v>
      </c>
      <c r="I182">
        <f>C182*D182*E182</f>
        <v>120</v>
      </c>
      <c r="J182">
        <f t="shared" si="8"/>
        <v>54.431084400000003</v>
      </c>
      <c r="K182">
        <v>32.845999999999997</v>
      </c>
      <c r="L182">
        <f t="shared" si="9"/>
        <v>1787.8433982023998</v>
      </c>
    </row>
    <row r="183" spans="1:12" x14ac:dyDescent="0.2">
      <c r="A183" s="4">
        <v>43439</v>
      </c>
      <c r="B183" t="s">
        <v>538</v>
      </c>
      <c r="C183">
        <v>1</v>
      </c>
      <c r="D183">
        <v>12</v>
      </c>
      <c r="E183" t="s">
        <v>407</v>
      </c>
      <c r="F183" t="s">
        <v>542</v>
      </c>
      <c r="G183" s="14" t="s">
        <v>916</v>
      </c>
      <c r="H183" t="s">
        <v>1071</v>
      </c>
      <c r="I183">
        <v>0</v>
      </c>
      <c r="J183">
        <f t="shared" si="8"/>
        <v>0</v>
      </c>
      <c r="K183">
        <v>0.55000000000000004</v>
      </c>
      <c r="L183">
        <f t="shared" si="9"/>
        <v>0</v>
      </c>
    </row>
    <row r="184" spans="1:12" x14ac:dyDescent="0.2">
      <c r="A184" s="4">
        <v>43437</v>
      </c>
      <c r="B184" t="s">
        <v>538</v>
      </c>
      <c r="C184">
        <v>1</v>
      </c>
      <c r="D184">
        <v>1</v>
      </c>
      <c r="E184">
        <v>25</v>
      </c>
      <c r="F184" t="s">
        <v>573</v>
      </c>
      <c r="G184" t="s">
        <v>916</v>
      </c>
      <c r="H184" s="9" t="s">
        <v>1071</v>
      </c>
      <c r="I184">
        <f>C184*D184*E184</f>
        <v>25</v>
      </c>
      <c r="J184">
        <f t="shared" si="8"/>
        <v>11.33980925</v>
      </c>
      <c r="K184">
        <v>0.55000000000000004</v>
      </c>
      <c r="L184">
        <f t="shared" si="9"/>
        <v>6.2368950875000007</v>
      </c>
    </row>
    <row r="185" spans="1:12" x14ac:dyDescent="0.2">
      <c r="A185" s="4">
        <v>43437</v>
      </c>
      <c r="B185" t="s">
        <v>538</v>
      </c>
      <c r="C185">
        <v>1</v>
      </c>
      <c r="D185">
        <v>6</v>
      </c>
      <c r="E185">
        <v>5</v>
      </c>
      <c r="F185" t="s">
        <v>579</v>
      </c>
      <c r="G185" s="14" t="s">
        <v>916</v>
      </c>
      <c r="H185" s="9" t="s">
        <v>1071</v>
      </c>
      <c r="I185">
        <f>C185*D185*E185</f>
        <v>30</v>
      </c>
      <c r="J185">
        <f t="shared" si="8"/>
        <v>13.607771100000001</v>
      </c>
      <c r="K185">
        <v>0.55000000000000004</v>
      </c>
      <c r="L185">
        <f t="shared" si="9"/>
        <v>7.4842741050000008</v>
      </c>
    </row>
    <row r="186" spans="1:12" x14ac:dyDescent="0.2">
      <c r="A186" s="4">
        <v>43439</v>
      </c>
      <c r="B186" t="s">
        <v>538</v>
      </c>
      <c r="C186">
        <v>1</v>
      </c>
      <c r="D186">
        <v>24</v>
      </c>
      <c r="E186">
        <v>1</v>
      </c>
      <c r="F186" t="s">
        <v>433</v>
      </c>
      <c r="G186" t="s">
        <v>900</v>
      </c>
      <c r="H186" s="9" t="s">
        <v>1071</v>
      </c>
      <c r="I186">
        <f>C186*D186*E186</f>
        <v>24</v>
      </c>
      <c r="J186">
        <f t="shared" si="8"/>
        <v>10.886216880000001</v>
      </c>
      <c r="K186">
        <v>0.76</v>
      </c>
      <c r="L186">
        <f t="shared" si="9"/>
        <v>8.2735248288000012</v>
      </c>
    </row>
    <row r="187" spans="1:12" x14ac:dyDescent="0.2">
      <c r="A187" s="4">
        <v>43434</v>
      </c>
      <c r="B187" t="s">
        <v>538</v>
      </c>
      <c r="C187">
        <v>2</v>
      </c>
      <c r="D187">
        <v>24</v>
      </c>
      <c r="E187">
        <v>1</v>
      </c>
      <c r="F187" t="s">
        <v>433</v>
      </c>
      <c r="G187" t="s">
        <v>900</v>
      </c>
      <c r="H187" s="9" t="s">
        <v>1071</v>
      </c>
      <c r="I187">
        <f>C187*D187*E187</f>
        <v>48</v>
      </c>
      <c r="J187">
        <f t="shared" si="8"/>
        <v>21.772433760000002</v>
      </c>
      <c r="K187">
        <v>0.76</v>
      </c>
      <c r="L187">
        <f t="shared" si="9"/>
        <v>16.547049657600002</v>
      </c>
    </row>
    <row r="188" spans="1:12" x14ac:dyDescent="0.2">
      <c r="A188" s="4">
        <v>43439</v>
      </c>
      <c r="B188" t="s">
        <v>538</v>
      </c>
      <c r="C188">
        <v>1</v>
      </c>
      <c r="D188">
        <v>500</v>
      </c>
      <c r="E188" t="s">
        <v>1088</v>
      </c>
      <c r="F188" t="s">
        <v>430</v>
      </c>
      <c r="G188" s="14" t="s">
        <v>881</v>
      </c>
      <c r="H188" s="9" t="s">
        <v>1071</v>
      </c>
      <c r="I188">
        <v>0</v>
      </c>
      <c r="J188">
        <f t="shared" si="8"/>
        <v>0</v>
      </c>
      <c r="K188">
        <v>2.5299999999999998</v>
      </c>
      <c r="L188">
        <f t="shared" si="9"/>
        <v>0</v>
      </c>
    </row>
    <row r="189" spans="1:12" x14ac:dyDescent="0.2">
      <c r="A189" s="4">
        <v>43439</v>
      </c>
      <c r="B189" t="s">
        <v>538</v>
      </c>
      <c r="C189">
        <v>1</v>
      </c>
      <c r="D189">
        <v>150</v>
      </c>
      <c r="E189">
        <v>3.125E-2</v>
      </c>
      <c r="F189" t="s">
        <v>442</v>
      </c>
      <c r="G189" s="6" t="s">
        <v>881</v>
      </c>
      <c r="H189" s="9" t="s">
        <v>1071</v>
      </c>
      <c r="I189">
        <f t="shared" ref="I189:I252" si="12">C189*D189*E189</f>
        <v>4.6875</v>
      </c>
      <c r="J189">
        <f t="shared" si="8"/>
        <v>2.1262142343750003</v>
      </c>
      <c r="K189">
        <v>2.5299999999999998</v>
      </c>
      <c r="L189">
        <f t="shared" si="9"/>
        <v>5.3793220129687507</v>
      </c>
    </row>
    <row r="190" spans="1:12" x14ac:dyDescent="0.2">
      <c r="A190" s="4">
        <v>43437</v>
      </c>
      <c r="B190" t="s">
        <v>538</v>
      </c>
      <c r="C190">
        <v>1</v>
      </c>
      <c r="D190">
        <v>1</v>
      </c>
      <c r="E190">
        <v>10</v>
      </c>
      <c r="F190" t="s">
        <v>454</v>
      </c>
      <c r="G190" t="s">
        <v>879</v>
      </c>
      <c r="H190" s="9" t="s">
        <v>1071</v>
      </c>
      <c r="I190">
        <f t="shared" si="12"/>
        <v>10</v>
      </c>
      <c r="J190">
        <f t="shared" si="8"/>
        <v>4.5359237000000006</v>
      </c>
      <c r="K190">
        <v>1.4179999999999999</v>
      </c>
      <c r="L190">
        <f t="shared" si="9"/>
        <v>6.4319398066000009</v>
      </c>
    </row>
    <row r="191" spans="1:12" x14ac:dyDescent="0.2">
      <c r="A191" s="4">
        <v>43434</v>
      </c>
      <c r="B191" t="s">
        <v>517</v>
      </c>
      <c r="C191">
        <v>1</v>
      </c>
      <c r="D191">
        <v>1</v>
      </c>
      <c r="E191">
        <v>2</v>
      </c>
      <c r="F191" t="s">
        <v>380</v>
      </c>
      <c r="G191" t="s">
        <v>841</v>
      </c>
      <c r="H191" s="9" t="s">
        <v>1073</v>
      </c>
      <c r="I191">
        <f t="shared" si="12"/>
        <v>2</v>
      </c>
      <c r="J191">
        <f t="shared" si="8"/>
        <v>0.90718474000000004</v>
      </c>
      <c r="K191">
        <v>5.32</v>
      </c>
      <c r="L191">
        <f t="shared" si="9"/>
        <v>4.8262228168000005</v>
      </c>
    </row>
    <row r="192" spans="1:12" x14ac:dyDescent="0.2">
      <c r="A192" s="4">
        <v>43439</v>
      </c>
      <c r="B192" t="s">
        <v>517</v>
      </c>
      <c r="C192">
        <v>1</v>
      </c>
      <c r="D192">
        <v>1</v>
      </c>
      <c r="E192">
        <v>2</v>
      </c>
      <c r="F192" t="s">
        <v>380</v>
      </c>
      <c r="G192" t="s">
        <v>841</v>
      </c>
      <c r="H192" s="9" t="s">
        <v>1073</v>
      </c>
      <c r="I192">
        <f t="shared" si="12"/>
        <v>2</v>
      </c>
      <c r="J192">
        <f t="shared" si="8"/>
        <v>0.90718474000000004</v>
      </c>
      <c r="K192">
        <v>5.32</v>
      </c>
      <c r="L192">
        <f t="shared" si="9"/>
        <v>4.8262228168000005</v>
      </c>
    </row>
    <row r="193" spans="1:12" x14ac:dyDescent="0.2">
      <c r="A193" s="4">
        <v>43434</v>
      </c>
      <c r="B193" t="s">
        <v>48</v>
      </c>
      <c r="C193" s="28">
        <v>2</v>
      </c>
      <c r="D193" s="28">
        <v>1</v>
      </c>
      <c r="E193">
        <f>10/9*50</f>
        <v>55.555555555555557</v>
      </c>
      <c r="F193" t="s">
        <v>301</v>
      </c>
      <c r="G193" t="s">
        <v>620</v>
      </c>
      <c r="H193" s="9" t="s">
        <v>1071</v>
      </c>
      <c r="I193">
        <f t="shared" si="12"/>
        <v>111.11111111111111</v>
      </c>
      <c r="J193">
        <f t="shared" si="8"/>
        <v>50.399152222222227</v>
      </c>
      <c r="K193">
        <v>0.40899999999999997</v>
      </c>
      <c r="L193">
        <f t="shared" si="9"/>
        <v>20.613253258888889</v>
      </c>
    </row>
    <row r="194" spans="1:12" x14ac:dyDescent="0.2">
      <c r="A194" s="4">
        <v>43435</v>
      </c>
      <c r="B194" t="s">
        <v>48</v>
      </c>
      <c r="C194" s="28">
        <v>2</v>
      </c>
      <c r="D194" s="28">
        <v>1</v>
      </c>
      <c r="E194">
        <f>10/9*50</f>
        <v>55.555555555555557</v>
      </c>
      <c r="F194" t="s">
        <v>301</v>
      </c>
      <c r="G194" t="s">
        <v>620</v>
      </c>
      <c r="H194" s="9" t="s">
        <v>1071</v>
      </c>
      <c r="I194">
        <f t="shared" si="12"/>
        <v>111.11111111111111</v>
      </c>
      <c r="J194">
        <f t="shared" si="8"/>
        <v>50.399152222222227</v>
      </c>
      <c r="K194">
        <v>0.40899999999999997</v>
      </c>
      <c r="L194">
        <f t="shared" si="9"/>
        <v>20.613253258888889</v>
      </c>
    </row>
    <row r="195" spans="1:12" x14ac:dyDescent="0.2">
      <c r="A195" s="4">
        <v>43439</v>
      </c>
      <c r="B195" t="s">
        <v>538</v>
      </c>
      <c r="C195">
        <v>2</v>
      </c>
      <c r="D195">
        <v>4</v>
      </c>
      <c r="E195">
        <v>8.35</v>
      </c>
      <c r="F195" t="s">
        <v>595</v>
      </c>
      <c r="G195" t="s">
        <v>89</v>
      </c>
      <c r="H195" s="9" t="s">
        <v>1071</v>
      </c>
      <c r="I195">
        <f t="shared" si="12"/>
        <v>66.8</v>
      </c>
      <c r="J195">
        <f t="shared" ref="J195:J258" si="13">CONVERT(I195,"lbm","kg")</f>
        <v>30.299970316</v>
      </c>
      <c r="K195">
        <v>0.40899999999999997</v>
      </c>
      <c r="L195">
        <f t="shared" ref="L195:L258" si="14">J195*K195</f>
        <v>12.392687859243999</v>
      </c>
    </row>
    <row r="196" spans="1:12" x14ac:dyDescent="0.2">
      <c r="A196" s="4">
        <v>43434</v>
      </c>
      <c r="B196" t="s">
        <v>517</v>
      </c>
      <c r="C196">
        <v>12</v>
      </c>
      <c r="D196">
        <v>2</v>
      </c>
      <c r="E196">
        <v>20</v>
      </c>
      <c r="F196" t="s">
        <v>381</v>
      </c>
      <c r="G196" t="s">
        <v>843</v>
      </c>
      <c r="H196" s="9" t="s">
        <v>1073</v>
      </c>
      <c r="I196">
        <f t="shared" si="12"/>
        <v>480</v>
      </c>
      <c r="J196">
        <f t="shared" si="13"/>
        <v>217.72433760000001</v>
      </c>
      <c r="K196">
        <v>3.754</v>
      </c>
      <c r="L196">
        <f t="shared" si="14"/>
        <v>817.33716335040003</v>
      </c>
    </row>
    <row r="197" spans="1:12" x14ac:dyDescent="0.2">
      <c r="A197" s="4">
        <v>43434</v>
      </c>
      <c r="B197" t="s">
        <v>517</v>
      </c>
      <c r="C197">
        <v>1</v>
      </c>
      <c r="D197">
        <v>15</v>
      </c>
      <c r="E197">
        <v>2</v>
      </c>
      <c r="F197" t="s">
        <v>385</v>
      </c>
      <c r="G197" t="s">
        <v>843</v>
      </c>
      <c r="H197" s="9" t="s">
        <v>1073</v>
      </c>
      <c r="I197">
        <f t="shared" si="12"/>
        <v>30</v>
      </c>
      <c r="J197">
        <f t="shared" si="13"/>
        <v>13.607771100000001</v>
      </c>
      <c r="K197">
        <v>3.754</v>
      </c>
      <c r="L197">
        <f t="shared" si="14"/>
        <v>51.083572709400002</v>
      </c>
    </row>
    <row r="198" spans="1:12" x14ac:dyDescent="0.2">
      <c r="A198" s="4">
        <v>43434</v>
      </c>
      <c r="B198" t="s">
        <v>517</v>
      </c>
      <c r="C198">
        <v>2</v>
      </c>
      <c r="D198">
        <v>15</v>
      </c>
      <c r="E198">
        <f>24/16</f>
        <v>1.5</v>
      </c>
      <c r="F198" t="s">
        <v>386</v>
      </c>
      <c r="G198" t="s">
        <v>843</v>
      </c>
      <c r="H198" s="9" t="s">
        <v>1073</v>
      </c>
      <c r="I198">
        <f t="shared" si="12"/>
        <v>45</v>
      </c>
      <c r="J198">
        <f t="shared" si="13"/>
        <v>20.411656650000001</v>
      </c>
      <c r="K198">
        <v>3.754</v>
      </c>
      <c r="L198">
        <f t="shared" si="14"/>
        <v>76.62535906410001</v>
      </c>
    </row>
    <row r="199" spans="1:12" x14ac:dyDescent="0.2">
      <c r="A199" s="4">
        <v>43437</v>
      </c>
      <c r="B199" t="s">
        <v>517</v>
      </c>
      <c r="C199">
        <v>13</v>
      </c>
      <c r="D199">
        <v>2</v>
      </c>
      <c r="E199">
        <v>20</v>
      </c>
      <c r="F199" t="s">
        <v>381</v>
      </c>
      <c r="G199" t="s">
        <v>843</v>
      </c>
      <c r="H199" s="9" t="s">
        <v>1073</v>
      </c>
      <c r="I199">
        <f t="shared" si="12"/>
        <v>520</v>
      </c>
      <c r="J199">
        <f t="shared" si="13"/>
        <v>235.8680324</v>
      </c>
      <c r="K199">
        <v>3.754</v>
      </c>
      <c r="L199">
        <f t="shared" si="14"/>
        <v>885.44859362960005</v>
      </c>
    </row>
    <row r="200" spans="1:12" x14ac:dyDescent="0.2">
      <c r="A200" s="4">
        <v>43437</v>
      </c>
      <c r="B200" t="s">
        <v>517</v>
      </c>
      <c r="C200">
        <v>2</v>
      </c>
      <c r="D200">
        <v>15</v>
      </c>
      <c r="E200">
        <v>2</v>
      </c>
      <c r="F200" t="s">
        <v>385</v>
      </c>
      <c r="G200" t="s">
        <v>843</v>
      </c>
      <c r="H200" s="9" t="s">
        <v>1073</v>
      </c>
      <c r="I200">
        <f t="shared" si="12"/>
        <v>60</v>
      </c>
      <c r="J200">
        <f t="shared" si="13"/>
        <v>27.215542200000002</v>
      </c>
      <c r="K200">
        <v>3.754</v>
      </c>
      <c r="L200">
        <f t="shared" si="14"/>
        <v>102.1671454188</v>
      </c>
    </row>
    <row r="201" spans="1:12" x14ac:dyDescent="0.2">
      <c r="A201" s="4">
        <v>43439</v>
      </c>
      <c r="B201" t="s">
        <v>517</v>
      </c>
      <c r="C201">
        <v>8</v>
      </c>
      <c r="D201">
        <v>2</v>
      </c>
      <c r="E201">
        <v>20</v>
      </c>
      <c r="F201" t="s">
        <v>381</v>
      </c>
      <c r="G201" t="s">
        <v>843</v>
      </c>
      <c r="H201" s="9" t="s">
        <v>1073</v>
      </c>
      <c r="I201">
        <f t="shared" si="12"/>
        <v>320</v>
      </c>
      <c r="J201">
        <f t="shared" si="13"/>
        <v>145.14955840000002</v>
      </c>
      <c r="K201">
        <v>3.754</v>
      </c>
      <c r="L201">
        <f t="shared" si="14"/>
        <v>544.89144223360006</v>
      </c>
    </row>
    <row r="202" spans="1:12" x14ac:dyDescent="0.2">
      <c r="A202" s="4">
        <v>43439</v>
      </c>
      <c r="B202" t="s">
        <v>517</v>
      </c>
      <c r="C202">
        <v>2</v>
      </c>
      <c r="D202">
        <v>15</v>
      </c>
      <c r="E202">
        <v>2</v>
      </c>
      <c r="F202" t="s">
        <v>385</v>
      </c>
      <c r="G202" t="s">
        <v>843</v>
      </c>
      <c r="H202" s="9" t="s">
        <v>1073</v>
      </c>
      <c r="I202">
        <f t="shared" si="12"/>
        <v>60</v>
      </c>
      <c r="J202">
        <f t="shared" si="13"/>
        <v>27.215542200000002</v>
      </c>
      <c r="K202">
        <v>3.754</v>
      </c>
      <c r="L202">
        <f t="shared" si="14"/>
        <v>102.1671454188</v>
      </c>
    </row>
    <row r="203" spans="1:12" x14ac:dyDescent="0.2">
      <c r="A203" s="4">
        <v>43439</v>
      </c>
      <c r="B203" t="s">
        <v>517</v>
      </c>
      <c r="C203">
        <v>4</v>
      </c>
      <c r="D203">
        <v>15</v>
      </c>
      <c r="E203">
        <f>24/16</f>
        <v>1.5</v>
      </c>
      <c r="F203" t="s">
        <v>386</v>
      </c>
      <c r="G203" t="s">
        <v>843</v>
      </c>
      <c r="H203" s="9" t="s">
        <v>1073</v>
      </c>
      <c r="I203">
        <f t="shared" si="12"/>
        <v>90</v>
      </c>
      <c r="J203">
        <f t="shared" si="13"/>
        <v>40.823313300000002</v>
      </c>
      <c r="K203">
        <v>3.754</v>
      </c>
      <c r="L203">
        <f t="shared" si="14"/>
        <v>153.25071812820002</v>
      </c>
    </row>
    <row r="204" spans="1:12" x14ac:dyDescent="0.2">
      <c r="A204" s="4">
        <v>43434</v>
      </c>
      <c r="B204" t="s">
        <v>48</v>
      </c>
      <c r="C204" s="28">
        <v>1</v>
      </c>
      <c r="D204" s="28">
        <v>1</v>
      </c>
      <c r="E204">
        <f>10/9*35</f>
        <v>38.888888888888893</v>
      </c>
      <c r="F204" t="s">
        <v>302</v>
      </c>
      <c r="G204" t="s">
        <v>785</v>
      </c>
      <c r="H204" s="9" t="s">
        <v>1071</v>
      </c>
      <c r="I204">
        <f t="shared" si="12"/>
        <v>38.888888888888893</v>
      </c>
      <c r="J204">
        <f t="shared" si="13"/>
        <v>17.63970327777778</v>
      </c>
      <c r="K204">
        <v>0.52600000000000002</v>
      </c>
      <c r="L204">
        <f t="shared" si="14"/>
        <v>9.2784839241111126</v>
      </c>
    </row>
    <row r="205" spans="1:12" x14ac:dyDescent="0.2">
      <c r="A205" s="4">
        <v>43437</v>
      </c>
      <c r="B205" t="s">
        <v>48</v>
      </c>
      <c r="C205" s="28">
        <v>1</v>
      </c>
      <c r="D205" s="28">
        <v>1</v>
      </c>
      <c r="E205">
        <f>10/9*35</f>
        <v>38.888888888888893</v>
      </c>
      <c r="F205" t="s">
        <v>302</v>
      </c>
      <c r="G205" t="s">
        <v>785</v>
      </c>
      <c r="H205" s="9" t="s">
        <v>1071</v>
      </c>
      <c r="I205">
        <f t="shared" si="12"/>
        <v>38.888888888888893</v>
      </c>
      <c r="J205">
        <f t="shared" si="13"/>
        <v>17.63970327777778</v>
      </c>
      <c r="K205">
        <v>0.52600000000000002</v>
      </c>
      <c r="L205">
        <f t="shared" si="14"/>
        <v>9.2784839241111126</v>
      </c>
    </row>
    <row r="206" spans="1:12" x14ac:dyDescent="0.2">
      <c r="A206" s="4">
        <v>43438</v>
      </c>
      <c r="B206" t="s">
        <v>48</v>
      </c>
      <c r="C206" s="28">
        <v>2</v>
      </c>
      <c r="D206" s="28">
        <v>1</v>
      </c>
      <c r="E206">
        <f>10/9*35</f>
        <v>38.888888888888893</v>
      </c>
      <c r="F206" t="s">
        <v>302</v>
      </c>
      <c r="G206" t="s">
        <v>785</v>
      </c>
      <c r="H206" s="9" t="s">
        <v>1071</v>
      </c>
      <c r="I206">
        <f t="shared" si="12"/>
        <v>77.777777777777786</v>
      </c>
      <c r="J206">
        <f t="shared" si="13"/>
        <v>35.27940655555556</v>
      </c>
      <c r="K206">
        <v>0.52600000000000002</v>
      </c>
      <c r="L206">
        <f t="shared" si="14"/>
        <v>18.556967848222225</v>
      </c>
    </row>
    <row r="207" spans="1:12" x14ac:dyDescent="0.2">
      <c r="A207" s="4">
        <v>43434</v>
      </c>
      <c r="B207" t="s">
        <v>527</v>
      </c>
      <c r="C207">
        <v>6</v>
      </c>
      <c r="D207">
        <v>1</v>
      </c>
      <c r="E207">
        <v>10</v>
      </c>
      <c r="F207" t="s">
        <v>528</v>
      </c>
      <c r="G207" t="s">
        <v>884</v>
      </c>
      <c r="H207" s="9" t="s">
        <v>1072</v>
      </c>
      <c r="I207">
        <f t="shared" si="12"/>
        <v>60</v>
      </c>
      <c r="J207">
        <f t="shared" si="13"/>
        <v>27.215542200000002</v>
      </c>
      <c r="K207">
        <v>3.0209999999999999</v>
      </c>
      <c r="L207">
        <f t="shared" si="14"/>
        <v>82.218152986199996</v>
      </c>
    </row>
    <row r="208" spans="1:12" x14ac:dyDescent="0.2">
      <c r="A208" s="4">
        <v>43434</v>
      </c>
      <c r="B208" t="s">
        <v>527</v>
      </c>
      <c r="C208">
        <v>8</v>
      </c>
      <c r="D208">
        <v>1</v>
      </c>
      <c r="E208">
        <v>10</v>
      </c>
      <c r="F208" t="s">
        <v>529</v>
      </c>
      <c r="G208" t="s">
        <v>884</v>
      </c>
      <c r="H208" s="9" t="s">
        <v>1072</v>
      </c>
      <c r="I208">
        <f t="shared" si="12"/>
        <v>80</v>
      </c>
      <c r="J208">
        <f t="shared" si="13"/>
        <v>36.287389600000004</v>
      </c>
      <c r="K208">
        <v>3.0209999999999999</v>
      </c>
      <c r="L208">
        <f t="shared" si="14"/>
        <v>109.6242039816</v>
      </c>
    </row>
    <row r="209" spans="1:13" x14ac:dyDescent="0.2">
      <c r="A209" s="4">
        <v>43437</v>
      </c>
      <c r="B209" t="s">
        <v>527</v>
      </c>
      <c r="C209">
        <v>10</v>
      </c>
      <c r="D209">
        <v>1</v>
      </c>
      <c r="E209">
        <v>10</v>
      </c>
      <c r="F209" t="s">
        <v>528</v>
      </c>
      <c r="G209" t="s">
        <v>884</v>
      </c>
      <c r="H209" s="9" t="s">
        <v>1072</v>
      </c>
      <c r="I209">
        <f t="shared" si="12"/>
        <v>100</v>
      </c>
      <c r="J209">
        <f t="shared" si="13"/>
        <v>45.359237</v>
      </c>
      <c r="K209">
        <v>3.0209999999999999</v>
      </c>
      <c r="L209">
        <f t="shared" si="14"/>
        <v>137.030254977</v>
      </c>
      <c r="M209" s="6"/>
    </row>
    <row r="210" spans="1:13" x14ac:dyDescent="0.2">
      <c r="A210" s="4">
        <v>43437</v>
      </c>
      <c r="B210" t="s">
        <v>527</v>
      </c>
      <c r="C210">
        <v>5</v>
      </c>
      <c r="D210">
        <v>1</v>
      </c>
      <c r="E210">
        <v>10</v>
      </c>
      <c r="F210" t="s">
        <v>529</v>
      </c>
      <c r="G210" t="s">
        <v>884</v>
      </c>
      <c r="H210" s="9" t="s">
        <v>1072</v>
      </c>
      <c r="I210">
        <f t="shared" si="12"/>
        <v>50</v>
      </c>
      <c r="J210">
        <f t="shared" si="13"/>
        <v>22.6796185</v>
      </c>
      <c r="K210">
        <v>3.0209999999999999</v>
      </c>
      <c r="L210">
        <f t="shared" si="14"/>
        <v>68.515127488499999</v>
      </c>
      <c r="M210" s="6"/>
    </row>
    <row r="211" spans="1:13" x14ac:dyDescent="0.2">
      <c r="A211" s="4">
        <v>43437</v>
      </c>
      <c r="B211" t="s">
        <v>527</v>
      </c>
      <c r="C211">
        <v>4</v>
      </c>
      <c r="D211">
        <v>1</v>
      </c>
      <c r="E211">
        <v>15</v>
      </c>
      <c r="F211" t="s">
        <v>1013</v>
      </c>
      <c r="G211" t="s">
        <v>884</v>
      </c>
      <c r="H211" s="9" t="s">
        <v>1072</v>
      </c>
      <c r="I211">
        <f t="shared" si="12"/>
        <v>60</v>
      </c>
      <c r="J211">
        <f t="shared" si="13"/>
        <v>27.215542200000002</v>
      </c>
      <c r="K211">
        <v>3.0209999999999999</v>
      </c>
      <c r="L211">
        <f t="shared" si="14"/>
        <v>82.218152986199996</v>
      </c>
      <c r="M211" s="6"/>
    </row>
    <row r="212" spans="1:13" x14ac:dyDescent="0.2">
      <c r="A212" s="4">
        <v>43439</v>
      </c>
      <c r="B212" t="s">
        <v>527</v>
      </c>
      <c r="C212">
        <v>1</v>
      </c>
      <c r="D212">
        <v>1</v>
      </c>
      <c r="E212">
        <v>10</v>
      </c>
      <c r="F212" t="s">
        <v>528</v>
      </c>
      <c r="G212" t="s">
        <v>884</v>
      </c>
      <c r="H212" s="9" t="s">
        <v>1072</v>
      </c>
      <c r="I212">
        <f t="shared" si="12"/>
        <v>10</v>
      </c>
      <c r="J212">
        <f t="shared" si="13"/>
        <v>4.5359237000000006</v>
      </c>
      <c r="K212">
        <v>3.0209999999999999</v>
      </c>
      <c r="L212">
        <f t="shared" si="14"/>
        <v>13.703025497700001</v>
      </c>
      <c r="M212" s="6"/>
    </row>
    <row r="213" spans="1:13" x14ac:dyDescent="0.2">
      <c r="A213" s="4">
        <v>43439</v>
      </c>
      <c r="B213" t="s">
        <v>527</v>
      </c>
      <c r="C213">
        <v>8</v>
      </c>
      <c r="D213">
        <v>1</v>
      </c>
      <c r="E213">
        <v>15</v>
      </c>
      <c r="F213" t="s">
        <v>1013</v>
      </c>
      <c r="G213" t="s">
        <v>884</v>
      </c>
      <c r="H213" s="9" t="s">
        <v>1072</v>
      </c>
      <c r="I213">
        <f t="shared" si="12"/>
        <v>120</v>
      </c>
      <c r="J213">
        <f t="shared" si="13"/>
        <v>54.431084400000003</v>
      </c>
      <c r="K213">
        <v>3.0209999999999999</v>
      </c>
      <c r="L213">
        <f t="shared" si="14"/>
        <v>164.43630597239999</v>
      </c>
      <c r="M213" s="6"/>
    </row>
    <row r="214" spans="1:13" x14ac:dyDescent="0.2">
      <c r="A214" s="4">
        <v>43434</v>
      </c>
      <c r="B214" t="s">
        <v>538</v>
      </c>
      <c r="C214">
        <v>6</v>
      </c>
      <c r="D214">
        <v>1</v>
      </c>
      <c r="E214">
        <v>50</v>
      </c>
      <c r="F214" t="s">
        <v>431</v>
      </c>
      <c r="G214" t="s">
        <v>863</v>
      </c>
      <c r="H214" s="9" t="s">
        <v>1071</v>
      </c>
      <c r="I214">
        <f t="shared" si="12"/>
        <v>300</v>
      </c>
      <c r="J214">
        <f t="shared" si="13"/>
        <v>136.07771100000002</v>
      </c>
      <c r="K214">
        <v>0.35799999999999998</v>
      </c>
      <c r="L214">
        <f t="shared" si="14"/>
        <v>48.715820538000003</v>
      </c>
    </row>
    <row r="215" spans="1:13" x14ac:dyDescent="0.2">
      <c r="A215" s="4">
        <v>43434</v>
      </c>
      <c r="B215" t="s">
        <v>538</v>
      </c>
      <c r="C215">
        <v>4</v>
      </c>
      <c r="D215">
        <v>1</v>
      </c>
      <c r="E215">
        <v>25</v>
      </c>
      <c r="F215" t="s">
        <v>446</v>
      </c>
      <c r="G215" t="s">
        <v>863</v>
      </c>
      <c r="H215" s="9" t="s">
        <v>1071</v>
      </c>
      <c r="I215">
        <f t="shared" si="12"/>
        <v>100</v>
      </c>
      <c r="J215">
        <f t="shared" si="13"/>
        <v>45.359237</v>
      </c>
      <c r="K215">
        <v>0.35799999999999998</v>
      </c>
      <c r="L215">
        <f t="shared" si="14"/>
        <v>16.238606846</v>
      </c>
    </row>
    <row r="216" spans="1:13" x14ac:dyDescent="0.2">
      <c r="A216" s="4">
        <v>43437</v>
      </c>
      <c r="B216" t="s">
        <v>538</v>
      </c>
      <c r="C216">
        <v>1</v>
      </c>
      <c r="D216">
        <v>1</v>
      </c>
      <c r="E216">
        <v>50</v>
      </c>
      <c r="F216" t="s">
        <v>431</v>
      </c>
      <c r="G216" t="s">
        <v>863</v>
      </c>
      <c r="H216" s="9" t="s">
        <v>1071</v>
      </c>
      <c r="I216">
        <f t="shared" si="12"/>
        <v>50</v>
      </c>
      <c r="J216">
        <f t="shared" si="13"/>
        <v>22.6796185</v>
      </c>
      <c r="K216">
        <v>0.35799999999999998</v>
      </c>
      <c r="L216">
        <f t="shared" si="14"/>
        <v>8.1193034229999999</v>
      </c>
    </row>
    <row r="217" spans="1:13" x14ac:dyDescent="0.2">
      <c r="A217" s="4">
        <v>43439</v>
      </c>
      <c r="B217" t="s">
        <v>538</v>
      </c>
      <c r="C217">
        <v>5</v>
      </c>
      <c r="D217">
        <v>1</v>
      </c>
      <c r="E217">
        <v>50</v>
      </c>
      <c r="F217" t="s">
        <v>431</v>
      </c>
      <c r="G217" t="s">
        <v>863</v>
      </c>
      <c r="H217" s="9" t="s">
        <v>1071</v>
      </c>
      <c r="I217">
        <f t="shared" si="12"/>
        <v>250</v>
      </c>
      <c r="J217">
        <f t="shared" si="13"/>
        <v>113.3980925</v>
      </c>
      <c r="K217">
        <v>0.35799999999999998</v>
      </c>
      <c r="L217">
        <f t="shared" si="14"/>
        <v>40.596517114999997</v>
      </c>
    </row>
    <row r="218" spans="1:13" x14ac:dyDescent="0.2">
      <c r="A218" s="4">
        <v>43434</v>
      </c>
      <c r="B218" t="s">
        <v>48</v>
      </c>
      <c r="C218" s="28">
        <v>1</v>
      </c>
      <c r="D218" s="28">
        <v>1</v>
      </c>
      <c r="E218">
        <f>4*8.35</f>
        <v>33.4</v>
      </c>
      <c r="F218" t="s">
        <v>303</v>
      </c>
      <c r="G218" t="s">
        <v>811</v>
      </c>
      <c r="H218" s="9" t="s">
        <v>1071</v>
      </c>
      <c r="I218">
        <f t="shared" si="12"/>
        <v>33.4</v>
      </c>
      <c r="J218">
        <f t="shared" si="13"/>
        <v>15.149985158</v>
      </c>
      <c r="K218">
        <v>0.74299999999999999</v>
      </c>
      <c r="L218">
        <f t="shared" si="14"/>
        <v>11.256438972393999</v>
      </c>
    </row>
    <row r="219" spans="1:13" x14ac:dyDescent="0.2">
      <c r="A219" s="4">
        <v>43435</v>
      </c>
      <c r="B219" t="s">
        <v>48</v>
      </c>
      <c r="C219" s="28">
        <v>1</v>
      </c>
      <c r="D219" s="28">
        <v>1</v>
      </c>
      <c r="E219">
        <f>4*8.35</f>
        <v>33.4</v>
      </c>
      <c r="F219" t="s">
        <v>303</v>
      </c>
      <c r="G219" t="s">
        <v>811</v>
      </c>
      <c r="H219" s="9" t="s">
        <v>1071</v>
      </c>
      <c r="I219">
        <f t="shared" si="12"/>
        <v>33.4</v>
      </c>
      <c r="J219">
        <f t="shared" si="13"/>
        <v>15.149985158</v>
      </c>
      <c r="K219">
        <v>0.74299999999999999</v>
      </c>
      <c r="L219">
        <f t="shared" si="14"/>
        <v>11.256438972393999</v>
      </c>
    </row>
    <row r="220" spans="1:13" x14ac:dyDescent="0.2">
      <c r="A220" s="4">
        <v>43437</v>
      </c>
      <c r="B220" t="s">
        <v>48</v>
      </c>
      <c r="C220" s="28">
        <v>1</v>
      </c>
      <c r="D220" s="28">
        <v>1</v>
      </c>
      <c r="E220">
        <f>4*8.35</f>
        <v>33.4</v>
      </c>
      <c r="F220" t="s">
        <v>303</v>
      </c>
      <c r="G220" t="s">
        <v>811</v>
      </c>
      <c r="H220" s="9" t="s">
        <v>1071</v>
      </c>
      <c r="I220">
        <f t="shared" si="12"/>
        <v>33.4</v>
      </c>
      <c r="J220">
        <f t="shared" si="13"/>
        <v>15.149985158</v>
      </c>
      <c r="K220">
        <v>0.74299999999999999</v>
      </c>
      <c r="L220">
        <f t="shared" si="14"/>
        <v>11.256438972393999</v>
      </c>
    </row>
    <row r="221" spans="1:13" x14ac:dyDescent="0.2">
      <c r="A221" s="4">
        <v>43437</v>
      </c>
      <c r="B221" t="s">
        <v>48</v>
      </c>
      <c r="C221" s="28">
        <v>2</v>
      </c>
      <c r="D221" s="28">
        <v>1</v>
      </c>
      <c r="E221">
        <v>25</v>
      </c>
      <c r="F221" t="s">
        <v>493</v>
      </c>
      <c r="G221" t="s">
        <v>215</v>
      </c>
      <c r="H221" s="9" t="s">
        <v>1071</v>
      </c>
      <c r="I221">
        <f t="shared" si="12"/>
        <v>50</v>
      </c>
      <c r="J221">
        <f t="shared" si="13"/>
        <v>22.6796185</v>
      </c>
      <c r="K221">
        <v>0.95</v>
      </c>
      <c r="L221">
        <f t="shared" si="14"/>
        <v>21.545637575000001</v>
      </c>
    </row>
    <row r="222" spans="1:13" x14ac:dyDescent="0.2">
      <c r="A222" s="4">
        <v>43440</v>
      </c>
      <c r="B222" t="s">
        <v>48</v>
      </c>
      <c r="C222" s="35">
        <v>2</v>
      </c>
      <c r="D222" s="28">
        <v>1</v>
      </c>
      <c r="E222" s="8">
        <v>25</v>
      </c>
      <c r="F222" s="8" t="s">
        <v>516</v>
      </c>
      <c r="G222" s="8" t="s">
        <v>215</v>
      </c>
      <c r="H222" s="9" t="s">
        <v>1071</v>
      </c>
      <c r="I222">
        <f t="shared" si="12"/>
        <v>50</v>
      </c>
      <c r="J222">
        <f t="shared" si="13"/>
        <v>22.6796185</v>
      </c>
      <c r="K222">
        <v>0.95</v>
      </c>
      <c r="L222">
        <f t="shared" si="14"/>
        <v>21.545637575000001</v>
      </c>
    </row>
    <row r="223" spans="1:13" x14ac:dyDescent="0.2">
      <c r="A223" s="4">
        <v>43434</v>
      </c>
      <c r="B223" t="s">
        <v>48</v>
      </c>
      <c r="C223" s="28">
        <v>6</v>
      </c>
      <c r="D223" s="28">
        <v>1</v>
      </c>
      <c r="E223">
        <v>18</v>
      </c>
      <c r="F223" t="s">
        <v>304</v>
      </c>
      <c r="G223" t="s">
        <v>786</v>
      </c>
      <c r="H223" s="9" t="s">
        <v>1071</v>
      </c>
      <c r="I223">
        <f t="shared" si="12"/>
        <v>108</v>
      </c>
      <c r="J223">
        <f t="shared" si="13"/>
        <v>48.987975960000007</v>
      </c>
      <c r="K223">
        <v>0.47799999999999998</v>
      </c>
      <c r="L223">
        <f t="shared" si="14"/>
        <v>23.416252508880003</v>
      </c>
    </row>
    <row r="224" spans="1:13" x14ac:dyDescent="0.2">
      <c r="A224" s="4">
        <v>43437</v>
      </c>
      <c r="B224" t="s">
        <v>48</v>
      </c>
      <c r="C224" s="28">
        <v>6</v>
      </c>
      <c r="D224" s="28">
        <v>1</v>
      </c>
      <c r="E224">
        <v>18</v>
      </c>
      <c r="F224" t="s">
        <v>304</v>
      </c>
      <c r="G224" t="s">
        <v>786</v>
      </c>
      <c r="H224" s="9" t="s">
        <v>1071</v>
      </c>
      <c r="I224">
        <f t="shared" si="12"/>
        <v>108</v>
      </c>
      <c r="J224">
        <f t="shared" si="13"/>
        <v>48.987975960000007</v>
      </c>
      <c r="K224">
        <v>0.47799999999999998</v>
      </c>
      <c r="L224">
        <f t="shared" si="14"/>
        <v>23.416252508880003</v>
      </c>
    </row>
    <row r="225" spans="1:12" x14ac:dyDescent="0.2">
      <c r="A225" s="4">
        <v>43439</v>
      </c>
      <c r="B225" t="s">
        <v>48</v>
      </c>
      <c r="C225" s="28">
        <v>6</v>
      </c>
      <c r="D225" s="28">
        <v>1</v>
      </c>
      <c r="E225">
        <v>18</v>
      </c>
      <c r="F225" t="s">
        <v>304</v>
      </c>
      <c r="G225" t="s">
        <v>786</v>
      </c>
      <c r="H225" s="9" t="s">
        <v>1071</v>
      </c>
      <c r="I225">
        <f t="shared" si="12"/>
        <v>108</v>
      </c>
      <c r="J225">
        <f t="shared" si="13"/>
        <v>48.987975960000007</v>
      </c>
      <c r="K225">
        <v>0.47799999999999998</v>
      </c>
      <c r="L225">
        <f t="shared" si="14"/>
        <v>23.416252508880003</v>
      </c>
    </row>
    <row r="226" spans="1:12" x14ac:dyDescent="0.2">
      <c r="A226" s="4">
        <v>43440</v>
      </c>
      <c r="B226" t="s">
        <v>48</v>
      </c>
      <c r="C226" s="28">
        <v>4</v>
      </c>
      <c r="D226" s="28">
        <v>1</v>
      </c>
      <c r="E226">
        <v>18</v>
      </c>
      <c r="F226" t="s">
        <v>304</v>
      </c>
      <c r="G226" t="s">
        <v>786</v>
      </c>
      <c r="H226" s="9" t="s">
        <v>1071</v>
      </c>
      <c r="I226">
        <f t="shared" si="12"/>
        <v>72</v>
      </c>
      <c r="J226">
        <f t="shared" si="13"/>
        <v>32.658650639999998</v>
      </c>
      <c r="K226">
        <v>0.47799999999999998</v>
      </c>
      <c r="L226">
        <f t="shared" si="14"/>
        <v>15.610835005919999</v>
      </c>
    </row>
    <row r="227" spans="1:12" x14ac:dyDescent="0.2">
      <c r="A227" s="4">
        <v>43434</v>
      </c>
      <c r="B227" t="s">
        <v>48</v>
      </c>
      <c r="C227" s="28">
        <v>1</v>
      </c>
      <c r="D227" s="28">
        <v>1</v>
      </c>
      <c r="E227">
        <f>2*36*(8.7/16)</f>
        <v>39.15</v>
      </c>
      <c r="F227" t="s">
        <v>481</v>
      </c>
      <c r="G227" s="6" t="s">
        <v>836</v>
      </c>
      <c r="H227" s="9" t="s">
        <v>1071</v>
      </c>
      <c r="I227">
        <f t="shared" si="12"/>
        <v>39.15</v>
      </c>
      <c r="J227">
        <f t="shared" si="13"/>
        <v>17.758141285500002</v>
      </c>
      <c r="K227">
        <v>1.21</v>
      </c>
      <c r="L227">
        <f t="shared" si="14"/>
        <v>21.487350955455003</v>
      </c>
    </row>
    <row r="228" spans="1:12" x14ac:dyDescent="0.2">
      <c r="A228" s="4">
        <v>43438</v>
      </c>
      <c r="B228" t="s">
        <v>48</v>
      </c>
      <c r="C228" s="28">
        <v>2</v>
      </c>
      <c r="D228" s="28">
        <v>1</v>
      </c>
      <c r="E228">
        <f>2*36*(8.7/16)</f>
        <v>39.15</v>
      </c>
      <c r="F228" t="s">
        <v>497</v>
      </c>
      <c r="G228" s="6" t="s">
        <v>836</v>
      </c>
      <c r="H228" s="9" t="s">
        <v>1071</v>
      </c>
      <c r="I228">
        <f t="shared" si="12"/>
        <v>78.3</v>
      </c>
      <c r="J228">
        <f t="shared" si="13"/>
        <v>35.516282571000005</v>
      </c>
      <c r="K228">
        <v>1.21</v>
      </c>
      <c r="L228">
        <f t="shared" si="14"/>
        <v>42.974701910910007</v>
      </c>
    </row>
    <row r="229" spans="1:12" x14ac:dyDescent="0.2">
      <c r="A229" s="4">
        <v>43434</v>
      </c>
      <c r="B229" t="s">
        <v>538</v>
      </c>
      <c r="C229">
        <v>2</v>
      </c>
      <c r="D229">
        <v>8</v>
      </c>
      <c r="E229">
        <v>5</v>
      </c>
      <c r="F229" t="s">
        <v>542</v>
      </c>
      <c r="G229" s="6" t="s">
        <v>899</v>
      </c>
      <c r="H229" s="9" t="s">
        <v>1071</v>
      </c>
      <c r="I229">
        <f t="shared" si="12"/>
        <v>80</v>
      </c>
      <c r="J229">
        <f t="shared" si="13"/>
        <v>36.287389600000004</v>
      </c>
      <c r="K229">
        <v>0.55000000000000004</v>
      </c>
      <c r="L229">
        <f t="shared" si="14"/>
        <v>19.958064280000006</v>
      </c>
    </row>
    <row r="230" spans="1:12" x14ac:dyDescent="0.2">
      <c r="A230" s="4">
        <v>43434</v>
      </c>
      <c r="B230" t="s">
        <v>48</v>
      </c>
      <c r="C230" s="28">
        <v>1</v>
      </c>
      <c r="D230" s="28">
        <v>1</v>
      </c>
      <c r="E230">
        <v>1</v>
      </c>
      <c r="F230" t="s">
        <v>307</v>
      </c>
      <c r="G230" t="s">
        <v>812</v>
      </c>
      <c r="H230" s="9" t="s">
        <v>1071</v>
      </c>
      <c r="I230">
        <f t="shared" si="12"/>
        <v>1</v>
      </c>
      <c r="J230">
        <f t="shared" si="13"/>
        <v>0.45359237000000002</v>
      </c>
      <c r="K230">
        <v>0.221</v>
      </c>
      <c r="L230">
        <f t="shared" si="14"/>
        <v>0.10024391377000001</v>
      </c>
    </row>
    <row r="231" spans="1:12" x14ac:dyDescent="0.2">
      <c r="A231" s="4">
        <v>43434</v>
      </c>
      <c r="B231" t="s">
        <v>48</v>
      </c>
      <c r="C231" s="28">
        <v>1</v>
      </c>
      <c r="D231" s="28">
        <v>1</v>
      </c>
      <c r="E231">
        <v>1</v>
      </c>
      <c r="F231" t="s">
        <v>309</v>
      </c>
      <c r="G231" t="s">
        <v>812</v>
      </c>
      <c r="H231" s="9" t="s">
        <v>1071</v>
      </c>
      <c r="I231">
        <f t="shared" si="12"/>
        <v>1</v>
      </c>
      <c r="J231">
        <f t="shared" si="13"/>
        <v>0.45359237000000002</v>
      </c>
      <c r="K231">
        <v>0.221</v>
      </c>
      <c r="L231">
        <f t="shared" si="14"/>
        <v>0.10024391377000001</v>
      </c>
    </row>
    <row r="232" spans="1:12" x14ac:dyDescent="0.2">
      <c r="A232" s="4">
        <v>43435</v>
      </c>
      <c r="B232" t="s">
        <v>48</v>
      </c>
      <c r="C232" s="28">
        <v>1</v>
      </c>
      <c r="D232" s="28">
        <v>1</v>
      </c>
      <c r="E232">
        <v>1</v>
      </c>
      <c r="F232" t="s">
        <v>307</v>
      </c>
      <c r="G232" t="s">
        <v>812</v>
      </c>
      <c r="H232" s="9" t="s">
        <v>1071</v>
      </c>
      <c r="I232">
        <f t="shared" si="12"/>
        <v>1</v>
      </c>
      <c r="J232">
        <f t="shared" si="13"/>
        <v>0.45359237000000002</v>
      </c>
      <c r="K232">
        <v>0.221</v>
      </c>
      <c r="L232">
        <f t="shared" si="14"/>
        <v>0.10024391377000001</v>
      </c>
    </row>
    <row r="233" spans="1:12" x14ac:dyDescent="0.2">
      <c r="A233" s="4">
        <v>43437</v>
      </c>
      <c r="B233" t="s">
        <v>48</v>
      </c>
      <c r="C233" s="28">
        <v>1</v>
      </c>
      <c r="D233" s="28">
        <v>1</v>
      </c>
      <c r="E233">
        <v>1</v>
      </c>
      <c r="F233" t="s">
        <v>309</v>
      </c>
      <c r="G233" t="s">
        <v>812</v>
      </c>
      <c r="H233" s="9" t="s">
        <v>1071</v>
      </c>
      <c r="I233">
        <f t="shared" si="12"/>
        <v>1</v>
      </c>
      <c r="J233">
        <f t="shared" si="13"/>
        <v>0.45359237000000002</v>
      </c>
      <c r="K233">
        <v>0.221</v>
      </c>
      <c r="L233">
        <f t="shared" si="14"/>
        <v>0.10024391377000001</v>
      </c>
    </row>
    <row r="234" spans="1:12" x14ac:dyDescent="0.2">
      <c r="A234" s="4">
        <v>43438</v>
      </c>
      <c r="B234" t="s">
        <v>48</v>
      </c>
      <c r="C234" s="28">
        <v>1</v>
      </c>
      <c r="D234" s="28">
        <v>1</v>
      </c>
      <c r="E234">
        <v>1</v>
      </c>
      <c r="F234" t="s">
        <v>307</v>
      </c>
      <c r="G234" t="s">
        <v>812</v>
      </c>
      <c r="H234" s="9" t="s">
        <v>1071</v>
      </c>
      <c r="I234">
        <f t="shared" si="12"/>
        <v>1</v>
      </c>
      <c r="J234">
        <f t="shared" si="13"/>
        <v>0.45359237000000002</v>
      </c>
      <c r="K234">
        <v>0.221</v>
      </c>
      <c r="L234">
        <f t="shared" si="14"/>
        <v>0.10024391377000001</v>
      </c>
    </row>
    <row r="235" spans="1:12" x14ac:dyDescent="0.2">
      <c r="A235" s="4">
        <v>43438</v>
      </c>
      <c r="B235" t="s">
        <v>48</v>
      </c>
      <c r="C235" s="28">
        <v>1</v>
      </c>
      <c r="D235" s="28">
        <v>1</v>
      </c>
      <c r="E235">
        <v>1</v>
      </c>
      <c r="F235" t="s">
        <v>308</v>
      </c>
      <c r="G235" t="s">
        <v>812</v>
      </c>
      <c r="H235" s="9" t="s">
        <v>1071</v>
      </c>
      <c r="I235">
        <f t="shared" si="12"/>
        <v>1</v>
      </c>
      <c r="J235">
        <f t="shared" si="13"/>
        <v>0.45359237000000002</v>
      </c>
      <c r="K235">
        <v>0.221</v>
      </c>
      <c r="L235">
        <f t="shared" si="14"/>
        <v>0.10024391377000001</v>
      </c>
    </row>
    <row r="236" spans="1:12" x14ac:dyDescent="0.2">
      <c r="A236" s="4">
        <v>43438</v>
      </c>
      <c r="B236" t="s">
        <v>48</v>
      </c>
      <c r="C236" s="28">
        <v>1</v>
      </c>
      <c r="D236" s="28">
        <v>1</v>
      </c>
      <c r="E236">
        <v>1</v>
      </c>
      <c r="F236" t="s">
        <v>309</v>
      </c>
      <c r="G236" t="s">
        <v>812</v>
      </c>
      <c r="H236" s="9" t="s">
        <v>1071</v>
      </c>
      <c r="I236">
        <f t="shared" si="12"/>
        <v>1</v>
      </c>
      <c r="J236">
        <f t="shared" si="13"/>
        <v>0.45359237000000002</v>
      </c>
      <c r="K236">
        <v>0.221</v>
      </c>
      <c r="L236">
        <f t="shared" si="14"/>
        <v>0.10024391377000001</v>
      </c>
    </row>
    <row r="237" spans="1:12" x14ac:dyDescent="0.2">
      <c r="A237" s="4">
        <v>43437</v>
      </c>
      <c r="B237" t="s">
        <v>538</v>
      </c>
      <c r="C237">
        <v>1</v>
      </c>
      <c r="D237">
        <v>6</v>
      </c>
      <c r="E237">
        <v>5</v>
      </c>
      <c r="F237" t="s">
        <v>571</v>
      </c>
      <c r="G237" t="s">
        <v>878</v>
      </c>
      <c r="H237" s="9" t="s">
        <v>1071</v>
      </c>
      <c r="I237">
        <f t="shared" si="12"/>
        <v>30</v>
      </c>
      <c r="J237">
        <f t="shared" si="13"/>
        <v>13.607771100000001</v>
      </c>
      <c r="K237">
        <v>2.44</v>
      </c>
      <c r="L237">
        <f t="shared" si="14"/>
        <v>33.202961483999999</v>
      </c>
    </row>
    <row r="238" spans="1:12" x14ac:dyDescent="0.2">
      <c r="A238" s="4">
        <v>43439</v>
      </c>
      <c r="B238" t="s">
        <v>538</v>
      </c>
      <c r="C238">
        <v>1</v>
      </c>
      <c r="D238">
        <v>6</v>
      </c>
      <c r="E238">
        <v>5</v>
      </c>
      <c r="F238" t="s">
        <v>571</v>
      </c>
      <c r="G238" t="s">
        <v>878</v>
      </c>
      <c r="H238" s="9" t="s">
        <v>1071</v>
      </c>
      <c r="I238">
        <f t="shared" si="12"/>
        <v>30</v>
      </c>
      <c r="J238">
        <f t="shared" si="13"/>
        <v>13.607771100000001</v>
      </c>
      <c r="K238">
        <v>2.44</v>
      </c>
      <c r="L238">
        <f t="shared" si="14"/>
        <v>33.202961483999999</v>
      </c>
    </row>
    <row r="239" spans="1:12" x14ac:dyDescent="0.2">
      <c r="A239" s="4">
        <v>43434</v>
      </c>
      <c r="B239" t="s">
        <v>48</v>
      </c>
      <c r="C239" s="28">
        <v>8</v>
      </c>
      <c r="D239" s="28">
        <v>1</v>
      </c>
      <c r="E239">
        <f>8*4</f>
        <v>32</v>
      </c>
      <c r="F239" t="s">
        <v>312</v>
      </c>
      <c r="G239" t="s">
        <v>789</v>
      </c>
      <c r="H239" s="9" t="s">
        <v>1071</v>
      </c>
      <c r="I239">
        <f t="shared" si="12"/>
        <v>256</v>
      </c>
      <c r="J239">
        <f t="shared" si="13"/>
        <v>116.11964672000001</v>
      </c>
      <c r="K239">
        <v>0.28399999999999997</v>
      </c>
      <c r="L239">
        <f t="shared" si="14"/>
        <v>32.977979668479996</v>
      </c>
    </row>
    <row r="240" spans="1:12" x14ac:dyDescent="0.2">
      <c r="A240" s="4">
        <v>43435</v>
      </c>
      <c r="B240" t="s">
        <v>48</v>
      </c>
      <c r="C240" s="28">
        <v>6</v>
      </c>
      <c r="D240" s="28">
        <v>1</v>
      </c>
      <c r="E240">
        <f>8*4</f>
        <v>32</v>
      </c>
      <c r="F240" t="s">
        <v>312</v>
      </c>
      <c r="G240" t="s">
        <v>789</v>
      </c>
      <c r="H240" s="9" t="s">
        <v>1071</v>
      </c>
      <c r="I240">
        <f t="shared" si="12"/>
        <v>192</v>
      </c>
      <c r="J240">
        <f t="shared" si="13"/>
        <v>87.089735040000008</v>
      </c>
      <c r="K240">
        <v>0.28399999999999997</v>
      </c>
      <c r="L240">
        <f t="shared" si="14"/>
        <v>24.733484751359999</v>
      </c>
    </row>
    <row r="241" spans="1:13" x14ac:dyDescent="0.2">
      <c r="A241" s="4">
        <v>43437</v>
      </c>
      <c r="B241" t="s">
        <v>48</v>
      </c>
      <c r="C241" s="28">
        <v>5</v>
      </c>
      <c r="D241" s="28">
        <v>1</v>
      </c>
      <c r="E241">
        <f>8*4</f>
        <v>32</v>
      </c>
      <c r="F241" t="s">
        <v>312</v>
      </c>
      <c r="G241" t="s">
        <v>789</v>
      </c>
      <c r="H241" s="9" t="s">
        <v>1071</v>
      </c>
      <c r="I241">
        <f t="shared" si="12"/>
        <v>160</v>
      </c>
      <c r="J241">
        <f t="shared" si="13"/>
        <v>72.574779200000009</v>
      </c>
      <c r="K241">
        <v>0.28399999999999997</v>
      </c>
      <c r="L241">
        <f t="shared" si="14"/>
        <v>20.611237292800002</v>
      </c>
    </row>
    <row r="242" spans="1:13" x14ac:dyDescent="0.2">
      <c r="A242" s="4">
        <v>43438</v>
      </c>
      <c r="B242" t="s">
        <v>48</v>
      </c>
      <c r="C242" s="28">
        <v>7</v>
      </c>
      <c r="D242" s="28">
        <v>1</v>
      </c>
      <c r="E242">
        <f>8*4</f>
        <v>32</v>
      </c>
      <c r="F242" t="s">
        <v>312</v>
      </c>
      <c r="G242" t="s">
        <v>789</v>
      </c>
      <c r="H242" s="9" t="s">
        <v>1071</v>
      </c>
      <c r="I242">
        <f t="shared" si="12"/>
        <v>224</v>
      </c>
      <c r="J242">
        <f t="shared" si="13"/>
        <v>101.60469088000001</v>
      </c>
      <c r="K242">
        <v>0.28399999999999997</v>
      </c>
      <c r="L242">
        <f t="shared" si="14"/>
        <v>28.855732209919999</v>
      </c>
    </row>
    <row r="243" spans="1:13" x14ac:dyDescent="0.2">
      <c r="A243" s="4">
        <v>43440</v>
      </c>
      <c r="B243" t="s">
        <v>48</v>
      </c>
      <c r="C243" s="28">
        <v>4</v>
      </c>
      <c r="D243" s="28">
        <v>1</v>
      </c>
      <c r="E243">
        <f>8*4</f>
        <v>32</v>
      </c>
      <c r="F243" t="s">
        <v>312</v>
      </c>
      <c r="G243" t="s">
        <v>789</v>
      </c>
      <c r="H243" s="9" t="s">
        <v>1071</v>
      </c>
      <c r="I243">
        <f t="shared" si="12"/>
        <v>128</v>
      </c>
      <c r="J243">
        <f t="shared" si="13"/>
        <v>58.059823360000003</v>
      </c>
      <c r="K243">
        <v>0.28399999999999997</v>
      </c>
      <c r="L243">
        <f t="shared" si="14"/>
        <v>16.488989834239998</v>
      </c>
    </row>
    <row r="244" spans="1:13" x14ac:dyDescent="0.2">
      <c r="A244" s="10">
        <v>43404</v>
      </c>
      <c r="B244" s="9" t="s">
        <v>946</v>
      </c>
      <c r="C244" s="37">
        <v>1</v>
      </c>
      <c r="D244" s="37">
        <v>1</v>
      </c>
      <c r="E244" s="9">
        <f>5*10</f>
        <v>50</v>
      </c>
      <c r="F244" s="9" t="s">
        <v>947</v>
      </c>
      <c r="G244" s="9" t="s">
        <v>950</v>
      </c>
      <c r="H244" s="9" t="s">
        <v>1073</v>
      </c>
      <c r="I244">
        <f t="shared" si="12"/>
        <v>50</v>
      </c>
      <c r="J244">
        <f t="shared" si="13"/>
        <v>22.6796185</v>
      </c>
      <c r="K244" s="9">
        <v>3.8</v>
      </c>
      <c r="L244">
        <f t="shared" si="14"/>
        <v>86.182550300000003</v>
      </c>
    </row>
    <row r="245" spans="1:13" x14ac:dyDescent="0.2">
      <c r="A245" s="10">
        <v>43404</v>
      </c>
      <c r="B245" s="9" t="s">
        <v>946</v>
      </c>
      <c r="C245" s="37">
        <v>1</v>
      </c>
      <c r="D245" s="37">
        <v>1</v>
      </c>
      <c r="E245" s="9">
        <f>5*10</f>
        <v>50</v>
      </c>
      <c r="F245" s="9" t="s">
        <v>948</v>
      </c>
      <c r="G245" s="9" t="s">
        <v>950</v>
      </c>
      <c r="H245" s="9" t="s">
        <v>1073</v>
      </c>
      <c r="I245">
        <f t="shared" si="12"/>
        <v>50</v>
      </c>
      <c r="J245">
        <f t="shared" si="13"/>
        <v>22.6796185</v>
      </c>
      <c r="K245" s="9">
        <v>3.8</v>
      </c>
      <c r="L245">
        <f t="shared" si="14"/>
        <v>86.182550300000003</v>
      </c>
    </row>
    <row r="246" spans="1:13" x14ac:dyDescent="0.2">
      <c r="A246" s="10">
        <v>43404</v>
      </c>
      <c r="B246" s="9" t="s">
        <v>946</v>
      </c>
      <c r="C246" s="37">
        <v>1</v>
      </c>
      <c r="D246" s="37">
        <v>1</v>
      </c>
      <c r="E246" s="9">
        <f>5*10</f>
        <v>50</v>
      </c>
      <c r="F246" s="9" t="s">
        <v>952</v>
      </c>
      <c r="G246" s="9" t="s">
        <v>950</v>
      </c>
      <c r="H246" s="9" t="s">
        <v>1073</v>
      </c>
      <c r="I246">
        <f t="shared" si="12"/>
        <v>50</v>
      </c>
      <c r="J246">
        <f t="shared" si="13"/>
        <v>22.6796185</v>
      </c>
      <c r="K246" s="9">
        <v>3.8</v>
      </c>
      <c r="L246">
        <f t="shared" si="14"/>
        <v>86.182550300000003</v>
      </c>
    </row>
    <row r="247" spans="1:13" x14ac:dyDescent="0.2">
      <c r="A247" s="4">
        <v>43434</v>
      </c>
      <c r="B247" t="s">
        <v>517</v>
      </c>
      <c r="C247">
        <v>4</v>
      </c>
      <c r="D247">
        <v>1</v>
      </c>
      <c r="E247">
        <f t="shared" ref="E247:E254" si="15">3*8.6</f>
        <v>25.799999999999997</v>
      </c>
      <c r="F247" t="s">
        <v>518</v>
      </c>
      <c r="G247" s="6" t="s">
        <v>888</v>
      </c>
      <c r="H247" s="9" t="s">
        <v>1073</v>
      </c>
      <c r="I247">
        <f t="shared" si="12"/>
        <v>103.19999999999999</v>
      </c>
      <c r="J247">
        <f t="shared" si="13"/>
        <v>46.810732584</v>
      </c>
      <c r="K247" s="6">
        <v>3.84</v>
      </c>
      <c r="L247">
        <f t="shared" si="14"/>
        <v>179.75321312256</v>
      </c>
    </row>
    <row r="248" spans="1:13" s="6" customFormat="1" x14ac:dyDescent="0.2">
      <c r="A248" s="4">
        <v>43434</v>
      </c>
      <c r="B248" t="s">
        <v>517</v>
      </c>
      <c r="C248">
        <v>4</v>
      </c>
      <c r="D248">
        <v>1</v>
      </c>
      <c r="E248">
        <f t="shared" si="15"/>
        <v>25.799999999999997</v>
      </c>
      <c r="F248" t="s">
        <v>468</v>
      </c>
      <c r="G248" s="6" t="s">
        <v>888</v>
      </c>
      <c r="H248" s="9" t="s">
        <v>1073</v>
      </c>
      <c r="I248">
        <f t="shared" si="12"/>
        <v>103.19999999999999</v>
      </c>
      <c r="J248">
        <f t="shared" si="13"/>
        <v>46.810732584</v>
      </c>
      <c r="K248" s="6">
        <v>3.84</v>
      </c>
      <c r="L248">
        <f t="shared" si="14"/>
        <v>179.75321312256</v>
      </c>
      <c r="M248"/>
    </row>
    <row r="249" spans="1:13" s="6" customFormat="1" x14ac:dyDescent="0.2">
      <c r="A249" s="4">
        <v>43434</v>
      </c>
      <c r="B249" t="s">
        <v>517</v>
      </c>
      <c r="C249">
        <v>4</v>
      </c>
      <c r="D249">
        <v>1</v>
      </c>
      <c r="E249">
        <f t="shared" si="15"/>
        <v>25.799999999999997</v>
      </c>
      <c r="F249" t="s">
        <v>524</v>
      </c>
      <c r="G249" s="6" t="s">
        <v>888</v>
      </c>
      <c r="H249" s="9" t="s">
        <v>1073</v>
      </c>
      <c r="I249">
        <f t="shared" si="12"/>
        <v>103.19999999999999</v>
      </c>
      <c r="J249">
        <f t="shared" si="13"/>
        <v>46.810732584</v>
      </c>
      <c r="K249" s="6">
        <v>3.84</v>
      </c>
      <c r="L249">
        <f t="shared" si="14"/>
        <v>179.75321312256</v>
      </c>
      <c r="M249"/>
    </row>
    <row r="250" spans="1:13" s="6" customFormat="1" x14ac:dyDescent="0.2">
      <c r="A250" s="4">
        <v>43439</v>
      </c>
      <c r="B250" t="s">
        <v>517</v>
      </c>
      <c r="C250">
        <v>2</v>
      </c>
      <c r="D250">
        <v>1</v>
      </c>
      <c r="E250">
        <f t="shared" si="15"/>
        <v>25.799999999999997</v>
      </c>
      <c r="F250" t="s">
        <v>600</v>
      </c>
      <c r="G250" s="6" t="s">
        <v>888</v>
      </c>
      <c r="H250" s="9" t="s">
        <v>1073</v>
      </c>
      <c r="I250">
        <f t="shared" si="12"/>
        <v>51.599999999999994</v>
      </c>
      <c r="J250">
        <f t="shared" si="13"/>
        <v>23.405366292</v>
      </c>
      <c r="K250" s="6">
        <v>3.84</v>
      </c>
      <c r="L250">
        <f t="shared" si="14"/>
        <v>89.876606561279999</v>
      </c>
      <c r="M250"/>
    </row>
    <row r="251" spans="1:13" s="6" customFormat="1" x14ac:dyDescent="0.2">
      <c r="A251" s="4">
        <v>43439</v>
      </c>
      <c r="B251" t="s">
        <v>517</v>
      </c>
      <c r="C251">
        <v>2</v>
      </c>
      <c r="D251">
        <v>1</v>
      </c>
      <c r="E251">
        <f t="shared" si="15"/>
        <v>25.799999999999997</v>
      </c>
      <c r="F251" t="s">
        <v>466</v>
      </c>
      <c r="G251" s="6" t="s">
        <v>888</v>
      </c>
      <c r="H251" s="9" t="s">
        <v>1073</v>
      </c>
      <c r="I251">
        <f t="shared" si="12"/>
        <v>51.599999999999994</v>
      </c>
      <c r="J251">
        <f t="shared" si="13"/>
        <v>23.405366292</v>
      </c>
      <c r="K251" s="6">
        <v>3.84</v>
      </c>
      <c r="L251">
        <f t="shared" si="14"/>
        <v>89.876606561279999</v>
      </c>
      <c r="M251"/>
    </row>
    <row r="252" spans="1:13" s="6" customFormat="1" x14ac:dyDescent="0.2">
      <c r="A252" s="4">
        <v>43439</v>
      </c>
      <c r="B252" t="s">
        <v>517</v>
      </c>
      <c r="C252">
        <v>3</v>
      </c>
      <c r="D252">
        <v>1</v>
      </c>
      <c r="E252">
        <f t="shared" si="15"/>
        <v>25.799999999999997</v>
      </c>
      <c r="F252" t="s">
        <v>467</v>
      </c>
      <c r="G252" s="6" t="s">
        <v>888</v>
      </c>
      <c r="H252" s="9" t="s">
        <v>1073</v>
      </c>
      <c r="I252">
        <f t="shared" si="12"/>
        <v>77.399999999999991</v>
      </c>
      <c r="J252">
        <f t="shared" si="13"/>
        <v>35.108049437999995</v>
      </c>
      <c r="K252" s="6">
        <v>3.84</v>
      </c>
      <c r="L252">
        <f t="shared" si="14"/>
        <v>134.81490984191998</v>
      </c>
      <c r="M252"/>
    </row>
    <row r="253" spans="1:13" s="6" customFormat="1" x14ac:dyDescent="0.2">
      <c r="A253" s="4">
        <v>43439</v>
      </c>
      <c r="B253" t="s">
        <v>517</v>
      </c>
      <c r="C253">
        <v>3</v>
      </c>
      <c r="D253">
        <v>1</v>
      </c>
      <c r="E253">
        <f t="shared" si="15"/>
        <v>25.799999999999997</v>
      </c>
      <c r="F253" t="s">
        <v>468</v>
      </c>
      <c r="G253" s="6" t="s">
        <v>888</v>
      </c>
      <c r="H253" s="9" t="s">
        <v>1073</v>
      </c>
      <c r="I253">
        <f t="shared" ref="I253:I316" si="16">C253*D253*E253</f>
        <v>77.399999999999991</v>
      </c>
      <c r="J253">
        <f t="shared" si="13"/>
        <v>35.108049437999995</v>
      </c>
      <c r="K253" s="6">
        <v>3.84</v>
      </c>
      <c r="L253">
        <f t="shared" si="14"/>
        <v>134.81490984191998</v>
      </c>
      <c r="M253"/>
    </row>
    <row r="254" spans="1:13" s="6" customFormat="1" x14ac:dyDescent="0.2">
      <c r="A254" s="4">
        <v>43439</v>
      </c>
      <c r="B254" t="s">
        <v>517</v>
      </c>
      <c r="C254">
        <v>3</v>
      </c>
      <c r="D254">
        <v>1</v>
      </c>
      <c r="E254">
        <f t="shared" si="15"/>
        <v>25.799999999999997</v>
      </c>
      <c r="F254" t="s">
        <v>469</v>
      </c>
      <c r="G254" s="6" t="s">
        <v>888</v>
      </c>
      <c r="H254" s="9" t="s">
        <v>1073</v>
      </c>
      <c r="I254">
        <f t="shared" si="16"/>
        <v>77.399999999999991</v>
      </c>
      <c r="J254">
        <f t="shared" si="13"/>
        <v>35.108049437999995</v>
      </c>
      <c r="K254" s="6">
        <v>3.84</v>
      </c>
      <c r="L254">
        <f t="shared" si="14"/>
        <v>134.81490984191998</v>
      </c>
      <c r="M254"/>
    </row>
    <row r="255" spans="1:13" s="6" customFormat="1" x14ac:dyDescent="0.2">
      <c r="A255" s="4">
        <v>43434</v>
      </c>
      <c r="B255" t="s">
        <v>538</v>
      </c>
      <c r="C255">
        <v>1</v>
      </c>
      <c r="D255">
        <v>6</v>
      </c>
      <c r="E255">
        <v>4</v>
      </c>
      <c r="F255" t="s">
        <v>438</v>
      </c>
      <c r="G255" s="6" t="s">
        <v>866</v>
      </c>
      <c r="H255" s="9" t="s">
        <v>1071</v>
      </c>
      <c r="I255">
        <f t="shared" si="16"/>
        <v>24</v>
      </c>
      <c r="J255">
        <f t="shared" si="13"/>
        <v>10.886216880000001</v>
      </c>
      <c r="K255" s="6">
        <v>3.25</v>
      </c>
      <c r="L255">
        <f t="shared" si="14"/>
        <v>35.380204860000006</v>
      </c>
      <c r="M255"/>
    </row>
    <row r="256" spans="1:13" s="6" customFormat="1" x14ac:dyDescent="0.2">
      <c r="A256" s="4">
        <v>43439</v>
      </c>
      <c r="B256" t="s">
        <v>538</v>
      </c>
      <c r="C256">
        <v>1</v>
      </c>
      <c r="D256">
        <v>6</v>
      </c>
      <c r="E256">
        <v>4</v>
      </c>
      <c r="F256" t="s">
        <v>438</v>
      </c>
      <c r="G256" s="6" t="s">
        <v>866</v>
      </c>
      <c r="H256" s="9" t="s">
        <v>1071</v>
      </c>
      <c r="I256">
        <f t="shared" si="16"/>
        <v>24</v>
      </c>
      <c r="J256">
        <f t="shared" si="13"/>
        <v>10.886216880000001</v>
      </c>
      <c r="K256" s="6">
        <v>3.25</v>
      </c>
      <c r="L256">
        <f t="shared" si="14"/>
        <v>35.380204860000006</v>
      </c>
      <c r="M256"/>
    </row>
    <row r="257" spans="1:13" s="6" customFormat="1" x14ac:dyDescent="0.2">
      <c r="A257" s="4">
        <v>43434</v>
      </c>
      <c r="B257" t="s">
        <v>48</v>
      </c>
      <c r="C257" s="28">
        <v>4</v>
      </c>
      <c r="D257" s="28">
        <v>1</v>
      </c>
      <c r="E257">
        <v>10</v>
      </c>
      <c r="F257" t="s">
        <v>356</v>
      </c>
      <c r="G257" t="s">
        <v>819</v>
      </c>
      <c r="H257" s="9" t="s">
        <v>1071</v>
      </c>
      <c r="I257">
        <f t="shared" si="16"/>
        <v>40</v>
      </c>
      <c r="J257">
        <f t="shared" si="13"/>
        <v>18.143694800000002</v>
      </c>
      <c r="K257">
        <v>0.193</v>
      </c>
      <c r="L257">
        <f t="shared" si="14"/>
        <v>3.5017330964000006</v>
      </c>
      <c r="M257"/>
    </row>
    <row r="258" spans="1:13" s="6" customFormat="1" x14ac:dyDescent="0.2">
      <c r="A258" s="4">
        <v>43440</v>
      </c>
      <c r="B258" t="s">
        <v>48</v>
      </c>
      <c r="C258" s="28">
        <v>2</v>
      </c>
      <c r="D258" s="28">
        <v>1</v>
      </c>
      <c r="E258">
        <f>12/16</f>
        <v>0.75</v>
      </c>
      <c r="F258" t="s">
        <v>507</v>
      </c>
      <c r="G258" t="s">
        <v>507</v>
      </c>
      <c r="H258" s="9" t="s">
        <v>1071</v>
      </c>
      <c r="I258">
        <f t="shared" si="16"/>
        <v>1.5</v>
      </c>
      <c r="J258">
        <f t="shared" si="13"/>
        <v>0.68038855500000006</v>
      </c>
      <c r="K258">
        <v>0.193</v>
      </c>
      <c r="L258">
        <f t="shared" si="14"/>
        <v>0.131314991115</v>
      </c>
      <c r="M258"/>
    </row>
    <row r="259" spans="1:13" s="6" customFormat="1" x14ac:dyDescent="0.2">
      <c r="A259" s="4">
        <v>43399</v>
      </c>
      <c r="B259" t="s">
        <v>175</v>
      </c>
      <c r="C259" s="37">
        <v>1</v>
      </c>
      <c r="D259" s="37">
        <v>1</v>
      </c>
      <c r="E259">
        <v>140.66</v>
      </c>
      <c r="F259" t="s">
        <v>178</v>
      </c>
      <c r="G259" t="s">
        <v>756</v>
      </c>
      <c r="H259" s="9" t="s">
        <v>1072</v>
      </c>
      <c r="I259">
        <f t="shared" si="16"/>
        <v>140.66</v>
      </c>
      <c r="J259">
        <f t="shared" ref="J259:J322" si="17">CONVERT(I259,"lbm","kg")</f>
        <v>63.8023027642</v>
      </c>
      <c r="K259">
        <v>34.744999999999997</v>
      </c>
      <c r="L259">
        <f t="shared" ref="L259:L322" si="18">J259*K259</f>
        <v>2216.8110095421289</v>
      </c>
      <c r="M259"/>
    </row>
    <row r="260" spans="1:13" s="6" customFormat="1" x14ac:dyDescent="0.2">
      <c r="A260" s="4">
        <v>43399</v>
      </c>
      <c r="B260" t="s">
        <v>175</v>
      </c>
      <c r="C260" s="37">
        <v>1</v>
      </c>
      <c r="D260" s="37">
        <v>1</v>
      </c>
      <c r="E260" s="6">
        <v>200</v>
      </c>
      <c r="F260" s="6" t="s">
        <v>282</v>
      </c>
      <c r="G260" s="6" t="s">
        <v>756</v>
      </c>
      <c r="H260" s="9" t="s">
        <v>1072</v>
      </c>
      <c r="I260">
        <f t="shared" si="16"/>
        <v>200</v>
      </c>
      <c r="J260">
        <f t="shared" si="17"/>
        <v>90.718474000000001</v>
      </c>
      <c r="K260">
        <v>34.744999999999997</v>
      </c>
      <c r="L260">
        <f t="shared" si="18"/>
        <v>3152.01337913</v>
      </c>
      <c r="M260"/>
    </row>
    <row r="261" spans="1:13" s="6" customFormat="1" x14ac:dyDescent="0.2">
      <c r="A261" s="4">
        <v>43434</v>
      </c>
      <c r="B261" t="s">
        <v>48</v>
      </c>
      <c r="C261" s="28">
        <v>1</v>
      </c>
      <c r="D261" s="28">
        <v>1</v>
      </c>
      <c r="E261">
        <f>12*(9/16)</f>
        <v>6.75</v>
      </c>
      <c r="F261" t="s">
        <v>482</v>
      </c>
      <c r="G261" s="9" t="s">
        <v>482</v>
      </c>
      <c r="H261" s="9" t="s">
        <v>1071</v>
      </c>
      <c r="I261">
        <f t="shared" si="16"/>
        <v>6.75</v>
      </c>
      <c r="J261">
        <f t="shared" si="17"/>
        <v>3.0617484975000004</v>
      </c>
      <c r="K261">
        <v>6.9000000000000006E-2</v>
      </c>
      <c r="L261">
        <f t="shared" si="18"/>
        <v>0.21126064632750005</v>
      </c>
      <c r="M261"/>
    </row>
    <row r="262" spans="1:13" s="6" customFormat="1" x14ac:dyDescent="0.2">
      <c r="A262" s="4">
        <v>43435</v>
      </c>
      <c r="B262" t="s">
        <v>48</v>
      </c>
      <c r="C262" s="28">
        <v>2</v>
      </c>
      <c r="D262" s="28">
        <v>1</v>
      </c>
      <c r="E262">
        <v>12</v>
      </c>
      <c r="F262" t="s">
        <v>488</v>
      </c>
      <c r="G262" t="s">
        <v>787</v>
      </c>
      <c r="H262" s="9" t="s">
        <v>1071</v>
      </c>
      <c r="I262">
        <f t="shared" si="16"/>
        <v>24</v>
      </c>
      <c r="J262">
        <f t="shared" si="17"/>
        <v>10.886216880000001</v>
      </c>
      <c r="K262">
        <v>0.22</v>
      </c>
      <c r="L262">
        <f t="shared" si="18"/>
        <v>2.3949677136000003</v>
      </c>
      <c r="M262"/>
    </row>
    <row r="263" spans="1:13" s="6" customFormat="1" x14ac:dyDescent="0.2">
      <c r="A263" s="4">
        <v>43437</v>
      </c>
      <c r="B263" t="s">
        <v>48</v>
      </c>
      <c r="C263" s="28">
        <v>1</v>
      </c>
      <c r="D263" s="28">
        <v>1</v>
      </c>
      <c r="E263">
        <v>10</v>
      </c>
      <c r="F263" t="s">
        <v>310</v>
      </c>
      <c r="G263" t="s">
        <v>787</v>
      </c>
      <c r="H263" s="9" t="s">
        <v>1071</v>
      </c>
      <c r="I263">
        <f t="shared" si="16"/>
        <v>10</v>
      </c>
      <c r="J263">
        <f t="shared" si="17"/>
        <v>4.5359237000000006</v>
      </c>
      <c r="K263">
        <v>0.22</v>
      </c>
      <c r="L263">
        <f t="shared" si="18"/>
        <v>0.99790321400000015</v>
      </c>
      <c r="M263"/>
    </row>
    <row r="264" spans="1:13" s="6" customFormat="1" x14ac:dyDescent="0.2">
      <c r="A264" s="4">
        <v>43437</v>
      </c>
      <c r="B264" t="s">
        <v>48</v>
      </c>
      <c r="C264" s="28">
        <v>2</v>
      </c>
      <c r="D264" s="28">
        <v>1</v>
      </c>
      <c r="E264">
        <v>12</v>
      </c>
      <c r="F264" t="s">
        <v>488</v>
      </c>
      <c r="G264" t="s">
        <v>787</v>
      </c>
      <c r="H264" s="9" t="s">
        <v>1071</v>
      </c>
      <c r="I264">
        <f t="shared" si="16"/>
        <v>24</v>
      </c>
      <c r="J264">
        <f t="shared" si="17"/>
        <v>10.886216880000001</v>
      </c>
      <c r="K264">
        <v>0.22</v>
      </c>
      <c r="L264">
        <f t="shared" si="18"/>
        <v>2.3949677136000003</v>
      </c>
      <c r="M264"/>
    </row>
    <row r="265" spans="1:13" s="6" customFormat="1" x14ac:dyDescent="0.2">
      <c r="A265" s="4">
        <v>43438</v>
      </c>
      <c r="B265" t="s">
        <v>48</v>
      </c>
      <c r="C265" s="28">
        <v>3</v>
      </c>
      <c r="D265" s="28">
        <v>1</v>
      </c>
      <c r="E265">
        <v>10</v>
      </c>
      <c r="F265" t="s">
        <v>310</v>
      </c>
      <c r="G265" t="s">
        <v>787</v>
      </c>
      <c r="H265" s="9" t="s">
        <v>1071</v>
      </c>
      <c r="I265">
        <f t="shared" si="16"/>
        <v>30</v>
      </c>
      <c r="J265">
        <f t="shared" si="17"/>
        <v>13.607771100000001</v>
      </c>
      <c r="K265">
        <v>0.22</v>
      </c>
      <c r="L265">
        <f t="shared" si="18"/>
        <v>2.9937096420000002</v>
      </c>
      <c r="M265"/>
    </row>
    <row r="266" spans="1:13" s="6" customFormat="1" x14ac:dyDescent="0.2">
      <c r="A266" s="4">
        <v>43439</v>
      </c>
      <c r="B266" t="s">
        <v>48</v>
      </c>
      <c r="C266" s="28">
        <v>2</v>
      </c>
      <c r="D266" s="28">
        <v>1</v>
      </c>
      <c r="E266">
        <v>12</v>
      </c>
      <c r="F266" t="s">
        <v>488</v>
      </c>
      <c r="G266" t="s">
        <v>787</v>
      </c>
      <c r="H266" s="9" t="s">
        <v>1071</v>
      </c>
      <c r="I266">
        <f t="shared" si="16"/>
        <v>24</v>
      </c>
      <c r="J266">
        <f t="shared" si="17"/>
        <v>10.886216880000001</v>
      </c>
      <c r="K266">
        <v>0.22</v>
      </c>
      <c r="L266">
        <f t="shared" si="18"/>
        <v>2.3949677136000003</v>
      </c>
      <c r="M266"/>
    </row>
    <row r="267" spans="1:13" s="6" customFormat="1" x14ac:dyDescent="0.2">
      <c r="A267" s="4">
        <v>43440</v>
      </c>
      <c r="B267" t="s">
        <v>48</v>
      </c>
      <c r="C267" s="28">
        <v>1</v>
      </c>
      <c r="D267" s="28">
        <v>1</v>
      </c>
      <c r="E267">
        <v>10</v>
      </c>
      <c r="F267" t="s">
        <v>508</v>
      </c>
      <c r="G267" t="s">
        <v>768</v>
      </c>
      <c r="H267" s="9" t="s">
        <v>1071</v>
      </c>
      <c r="I267">
        <f t="shared" si="16"/>
        <v>10</v>
      </c>
      <c r="J267">
        <f t="shared" si="17"/>
        <v>4.5359237000000006</v>
      </c>
      <c r="K267">
        <v>0.22</v>
      </c>
      <c r="L267">
        <f t="shared" si="18"/>
        <v>0.99790321400000015</v>
      </c>
      <c r="M267"/>
    </row>
    <row r="268" spans="1:13" s="6" customFormat="1" x14ac:dyDescent="0.2">
      <c r="A268" s="4">
        <v>43439</v>
      </c>
      <c r="B268" t="s">
        <v>38</v>
      </c>
      <c r="C268">
        <v>8</v>
      </c>
      <c r="D268" s="28">
        <v>1</v>
      </c>
      <c r="E268">
        <f>5*8.6</f>
        <v>43</v>
      </c>
      <c r="F268" s="9" t="s">
        <v>39</v>
      </c>
      <c r="G268" s="9" t="s">
        <v>774</v>
      </c>
      <c r="H268" s="9" t="s">
        <v>1073</v>
      </c>
      <c r="I268">
        <f t="shared" si="16"/>
        <v>344</v>
      </c>
      <c r="J268">
        <f t="shared" si="17"/>
        <v>156.03577528</v>
      </c>
      <c r="K268">
        <v>1.23</v>
      </c>
      <c r="L268">
        <f t="shared" si="18"/>
        <v>191.92400359440001</v>
      </c>
      <c r="M268"/>
    </row>
    <row r="269" spans="1:13" s="6" customFormat="1" x14ac:dyDescent="0.2">
      <c r="A269" s="4">
        <v>43439</v>
      </c>
      <c r="B269" t="s">
        <v>38</v>
      </c>
      <c r="C269">
        <v>5</v>
      </c>
      <c r="D269" s="28">
        <v>1</v>
      </c>
      <c r="E269">
        <f>5*8.6</f>
        <v>43</v>
      </c>
      <c r="F269" s="9" t="s">
        <v>40</v>
      </c>
      <c r="G269" s="9" t="s">
        <v>774</v>
      </c>
      <c r="H269" s="9" t="s">
        <v>1073</v>
      </c>
      <c r="I269">
        <f t="shared" si="16"/>
        <v>215</v>
      </c>
      <c r="J269">
        <f t="shared" si="17"/>
        <v>97.522359550000004</v>
      </c>
      <c r="K269">
        <v>1.23</v>
      </c>
      <c r="L269">
        <f t="shared" si="18"/>
        <v>119.9525022465</v>
      </c>
      <c r="M269"/>
    </row>
    <row r="270" spans="1:13" s="6" customFormat="1" x14ac:dyDescent="0.2">
      <c r="A270" s="4">
        <v>43439</v>
      </c>
      <c r="B270" t="s">
        <v>38</v>
      </c>
      <c r="C270">
        <v>3</v>
      </c>
      <c r="D270" s="28">
        <v>1</v>
      </c>
      <c r="E270">
        <f>5*8.6</f>
        <v>43</v>
      </c>
      <c r="F270" s="9" t="s">
        <v>46</v>
      </c>
      <c r="G270" s="9" t="s">
        <v>774</v>
      </c>
      <c r="H270" s="9" t="s">
        <v>1073</v>
      </c>
      <c r="I270">
        <f t="shared" si="16"/>
        <v>129</v>
      </c>
      <c r="J270">
        <f t="shared" si="17"/>
        <v>58.513415729999998</v>
      </c>
      <c r="K270">
        <v>1.23</v>
      </c>
      <c r="L270">
        <f t="shared" si="18"/>
        <v>71.971501347900002</v>
      </c>
      <c r="M270"/>
    </row>
    <row r="271" spans="1:13" x14ac:dyDescent="0.2">
      <c r="A271" s="4">
        <v>43439</v>
      </c>
      <c r="B271" t="s">
        <v>38</v>
      </c>
      <c r="C271" s="8">
        <v>6</v>
      </c>
      <c r="D271" s="28">
        <v>1</v>
      </c>
      <c r="E271">
        <f>5*8.6</f>
        <v>43</v>
      </c>
      <c r="F271" s="9" t="s">
        <v>47</v>
      </c>
      <c r="G271" s="9" t="s">
        <v>774</v>
      </c>
      <c r="H271" s="9" t="s">
        <v>1073</v>
      </c>
      <c r="I271">
        <f t="shared" si="16"/>
        <v>258</v>
      </c>
      <c r="J271">
        <f t="shared" si="17"/>
        <v>117.02683146</v>
      </c>
      <c r="K271">
        <v>1.23</v>
      </c>
      <c r="L271">
        <f t="shared" si="18"/>
        <v>143.9430026958</v>
      </c>
    </row>
    <row r="272" spans="1:13" x14ac:dyDescent="0.2">
      <c r="A272" s="4">
        <v>43437</v>
      </c>
      <c r="B272" t="s">
        <v>48</v>
      </c>
      <c r="C272" s="28">
        <v>2</v>
      </c>
      <c r="D272" s="28">
        <v>1</v>
      </c>
      <c r="E272">
        <f>4*8.6</f>
        <v>34.4</v>
      </c>
      <c r="F272" t="s">
        <v>494</v>
      </c>
      <c r="G272" t="s">
        <v>774</v>
      </c>
      <c r="H272" s="9" t="s">
        <v>1073</v>
      </c>
      <c r="I272">
        <f t="shared" si="16"/>
        <v>68.8</v>
      </c>
      <c r="J272">
        <f t="shared" si="17"/>
        <v>31.207155056000001</v>
      </c>
      <c r="K272">
        <v>1.23</v>
      </c>
      <c r="L272">
        <f t="shared" si="18"/>
        <v>38.384800718880001</v>
      </c>
    </row>
    <row r="273" spans="1:12" x14ac:dyDescent="0.2">
      <c r="A273" s="4">
        <v>43437</v>
      </c>
      <c r="B273" t="s">
        <v>517</v>
      </c>
      <c r="C273">
        <v>1</v>
      </c>
      <c r="D273">
        <v>20</v>
      </c>
      <c r="E273">
        <f>1/2</f>
        <v>0.5</v>
      </c>
      <c r="F273" t="s">
        <v>465</v>
      </c>
      <c r="G273" t="s">
        <v>774</v>
      </c>
      <c r="H273" s="9" t="s">
        <v>1073</v>
      </c>
      <c r="I273">
        <f t="shared" si="16"/>
        <v>10</v>
      </c>
      <c r="J273">
        <f t="shared" si="17"/>
        <v>4.5359237000000006</v>
      </c>
      <c r="K273">
        <v>1.23</v>
      </c>
      <c r="L273">
        <f t="shared" si="18"/>
        <v>5.5791861510000009</v>
      </c>
    </row>
    <row r="274" spans="1:12" x14ac:dyDescent="0.2">
      <c r="A274" s="4">
        <v>43434</v>
      </c>
      <c r="B274" t="s">
        <v>538</v>
      </c>
      <c r="C274">
        <v>1</v>
      </c>
      <c r="D274">
        <v>4</v>
      </c>
      <c r="E274">
        <f>11.89</f>
        <v>11.89</v>
      </c>
      <c r="F274" t="s">
        <v>547</v>
      </c>
      <c r="G274" t="s">
        <v>865</v>
      </c>
      <c r="H274" s="9" t="s">
        <v>1071</v>
      </c>
      <c r="I274">
        <f t="shared" si="16"/>
        <v>47.56</v>
      </c>
      <c r="J274">
        <f t="shared" si="17"/>
        <v>21.572853117200001</v>
      </c>
      <c r="K274">
        <v>0.48799999999999999</v>
      </c>
      <c r="L274">
        <f t="shared" si="18"/>
        <v>10.5275523211936</v>
      </c>
    </row>
    <row r="275" spans="1:12" x14ac:dyDescent="0.2">
      <c r="A275" s="4">
        <v>43434</v>
      </c>
      <c r="B275" t="s">
        <v>48</v>
      </c>
      <c r="C275" s="28">
        <v>4</v>
      </c>
      <c r="D275" s="28">
        <v>1</v>
      </c>
      <c r="E275">
        <v>5</v>
      </c>
      <c r="F275" t="s">
        <v>313</v>
      </c>
      <c r="G275" t="s">
        <v>313</v>
      </c>
      <c r="H275" s="9" t="s">
        <v>1071</v>
      </c>
      <c r="I275">
        <f t="shared" si="16"/>
        <v>20</v>
      </c>
      <c r="J275">
        <f t="shared" si="17"/>
        <v>9.0718474000000011</v>
      </c>
      <c r="K275">
        <v>3.093</v>
      </c>
      <c r="L275">
        <f t="shared" si="18"/>
        <v>28.059224008200005</v>
      </c>
    </row>
    <row r="276" spans="1:12" x14ac:dyDescent="0.2">
      <c r="A276" s="4">
        <v>43434</v>
      </c>
      <c r="B276" t="s">
        <v>48</v>
      </c>
      <c r="C276" s="28">
        <v>6</v>
      </c>
      <c r="D276" s="28">
        <v>1</v>
      </c>
      <c r="E276">
        <v>5</v>
      </c>
      <c r="F276" t="s">
        <v>313</v>
      </c>
      <c r="G276" t="s">
        <v>313</v>
      </c>
      <c r="H276" s="9" t="s">
        <v>1071</v>
      </c>
      <c r="I276">
        <f t="shared" si="16"/>
        <v>30</v>
      </c>
      <c r="J276">
        <f t="shared" si="17"/>
        <v>13.607771100000001</v>
      </c>
      <c r="K276">
        <v>3.093</v>
      </c>
      <c r="L276">
        <f t="shared" si="18"/>
        <v>42.0888360123</v>
      </c>
    </row>
    <row r="277" spans="1:12" x14ac:dyDescent="0.2">
      <c r="A277" s="4">
        <v>43435</v>
      </c>
      <c r="B277" t="s">
        <v>48</v>
      </c>
      <c r="C277" s="28">
        <v>8</v>
      </c>
      <c r="D277" s="28">
        <v>1</v>
      </c>
      <c r="E277">
        <v>5</v>
      </c>
      <c r="F277" t="s">
        <v>313</v>
      </c>
      <c r="G277" t="s">
        <v>313</v>
      </c>
      <c r="H277" s="9" t="s">
        <v>1071</v>
      </c>
      <c r="I277">
        <f t="shared" si="16"/>
        <v>40</v>
      </c>
      <c r="J277">
        <f t="shared" si="17"/>
        <v>18.143694800000002</v>
      </c>
      <c r="K277">
        <v>3.093</v>
      </c>
      <c r="L277">
        <f t="shared" si="18"/>
        <v>56.118448016400009</v>
      </c>
    </row>
    <row r="278" spans="1:12" x14ac:dyDescent="0.2">
      <c r="A278" s="4">
        <v>43437</v>
      </c>
      <c r="B278" t="s">
        <v>48</v>
      </c>
      <c r="C278" s="28">
        <v>4</v>
      </c>
      <c r="D278" s="28">
        <v>1</v>
      </c>
      <c r="E278">
        <v>5</v>
      </c>
      <c r="F278" t="s">
        <v>313</v>
      </c>
      <c r="G278" t="s">
        <v>313</v>
      </c>
      <c r="H278" s="9" t="s">
        <v>1071</v>
      </c>
      <c r="I278">
        <f t="shared" si="16"/>
        <v>20</v>
      </c>
      <c r="J278">
        <f t="shared" si="17"/>
        <v>9.0718474000000011</v>
      </c>
      <c r="K278">
        <v>3.093</v>
      </c>
      <c r="L278">
        <f t="shared" si="18"/>
        <v>28.059224008200005</v>
      </c>
    </row>
    <row r="279" spans="1:12" x14ac:dyDescent="0.2">
      <c r="A279" s="4">
        <v>43437</v>
      </c>
      <c r="B279" t="s">
        <v>48</v>
      </c>
      <c r="C279" s="28">
        <v>6</v>
      </c>
      <c r="D279" s="28">
        <v>1</v>
      </c>
      <c r="E279">
        <v>5</v>
      </c>
      <c r="F279" t="s">
        <v>313</v>
      </c>
      <c r="G279" t="s">
        <v>313</v>
      </c>
      <c r="H279" s="9" t="s">
        <v>1071</v>
      </c>
      <c r="I279">
        <f t="shared" si="16"/>
        <v>30</v>
      </c>
      <c r="J279">
        <f t="shared" si="17"/>
        <v>13.607771100000001</v>
      </c>
      <c r="K279">
        <v>3.093</v>
      </c>
      <c r="L279">
        <f t="shared" si="18"/>
        <v>42.0888360123</v>
      </c>
    </row>
    <row r="280" spans="1:12" x14ac:dyDescent="0.2">
      <c r="A280" s="4">
        <v>43438</v>
      </c>
      <c r="B280" t="s">
        <v>48</v>
      </c>
      <c r="C280" s="28">
        <v>10</v>
      </c>
      <c r="D280" s="28">
        <v>1</v>
      </c>
      <c r="E280">
        <v>5</v>
      </c>
      <c r="F280" t="s">
        <v>313</v>
      </c>
      <c r="G280" t="s">
        <v>313</v>
      </c>
      <c r="H280" s="9" t="s">
        <v>1071</v>
      </c>
      <c r="I280">
        <f t="shared" si="16"/>
        <v>50</v>
      </c>
      <c r="J280">
        <f t="shared" si="17"/>
        <v>22.6796185</v>
      </c>
      <c r="K280">
        <v>3.093</v>
      </c>
      <c r="L280">
        <f t="shared" si="18"/>
        <v>70.148060020499997</v>
      </c>
    </row>
    <row r="281" spans="1:12" x14ac:dyDescent="0.2">
      <c r="A281" s="4">
        <v>43439</v>
      </c>
      <c r="B281" t="s">
        <v>48</v>
      </c>
      <c r="C281" s="28">
        <v>6</v>
      </c>
      <c r="D281" s="28">
        <v>1</v>
      </c>
      <c r="E281">
        <v>5</v>
      </c>
      <c r="F281" t="s">
        <v>313</v>
      </c>
      <c r="G281" t="s">
        <v>313</v>
      </c>
      <c r="H281" s="9" t="s">
        <v>1071</v>
      </c>
      <c r="I281">
        <f t="shared" si="16"/>
        <v>30</v>
      </c>
      <c r="J281">
        <f t="shared" si="17"/>
        <v>13.607771100000001</v>
      </c>
      <c r="K281">
        <v>3.093</v>
      </c>
      <c r="L281">
        <f t="shared" si="18"/>
        <v>42.0888360123</v>
      </c>
    </row>
    <row r="282" spans="1:12" x14ac:dyDescent="0.2">
      <c r="A282" s="4">
        <v>43440</v>
      </c>
      <c r="B282" t="s">
        <v>48</v>
      </c>
      <c r="C282" s="28">
        <v>4</v>
      </c>
      <c r="D282" s="28">
        <v>1</v>
      </c>
      <c r="E282">
        <v>5</v>
      </c>
      <c r="F282" t="s">
        <v>210</v>
      </c>
      <c r="G282" t="s">
        <v>233</v>
      </c>
      <c r="H282" s="9" t="s">
        <v>1071</v>
      </c>
      <c r="I282">
        <f t="shared" si="16"/>
        <v>20</v>
      </c>
      <c r="J282">
        <f t="shared" si="17"/>
        <v>9.0718474000000011</v>
      </c>
      <c r="K282">
        <v>3.093</v>
      </c>
      <c r="L282">
        <f t="shared" si="18"/>
        <v>28.059224008200005</v>
      </c>
    </row>
    <row r="283" spans="1:12" x14ac:dyDescent="0.2">
      <c r="A283" s="4">
        <v>43440</v>
      </c>
      <c r="B283" t="s">
        <v>48</v>
      </c>
      <c r="C283" s="28">
        <v>10</v>
      </c>
      <c r="D283" s="28">
        <v>1</v>
      </c>
      <c r="E283">
        <v>5</v>
      </c>
      <c r="F283" t="s">
        <v>167</v>
      </c>
      <c r="G283" t="s">
        <v>233</v>
      </c>
      <c r="H283" s="9" t="s">
        <v>1071</v>
      </c>
      <c r="I283">
        <f t="shared" si="16"/>
        <v>50</v>
      </c>
      <c r="J283">
        <f t="shared" si="17"/>
        <v>22.6796185</v>
      </c>
      <c r="K283">
        <v>3.093</v>
      </c>
      <c r="L283">
        <f t="shared" si="18"/>
        <v>70.148060020499997</v>
      </c>
    </row>
    <row r="284" spans="1:12" x14ac:dyDescent="0.2">
      <c r="A284" s="4">
        <v>43437</v>
      </c>
      <c r="B284" t="s">
        <v>538</v>
      </c>
      <c r="C284">
        <v>3</v>
      </c>
      <c r="D284">
        <v>4</v>
      </c>
      <c r="E284">
        <v>5</v>
      </c>
      <c r="F284" t="s">
        <v>586</v>
      </c>
      <c r="G284" s="6" t="s">
        <v>876</v>
      </c>
      <c r="H284" s="9" t="s">
        <v>1071</v>
      </c>
      <c r="I284">
        <f t="shared" si="16"/>
        <v>60</v>
      </c>
      <c r="J284">
        <f t="shared" si="17"/>
        <v>27.215542200000002</v>
      </c>
      <c r="K284">
        <v>5.99</v>
      </c>
      <c r="L284">
        <f t="shared" si="18"/>
        <v>163.02109777800001</v>
      </c>
    </row>
    <row r="285" spans="1:12" x14ac:dyDescent="0.2">
      <c r="A285" s="4">
        <v>43439</v>
      </c>
      <c r="B285" t="s">
        <v>538</v>
      </c>
      <c r="C285">
        <v>3</v>
      </c>
      <c r="D285">
        <v>4</v>
      </c>
      <c r="E285">
        <v>5</v>
      </c>
      <c r="F285" t="s">
        <v>586</v>
      </c>
      <c r="G285" s="6" t="s">
        <v>876</v>
      </c>
      <c r="H285" s="9" t="s">
        <v>1071</v>
      </c>
      <c r="I285">
        <f t="shared" si="16"/>
        <v>60</v>
      </c>
      <c r="J285">
        <f t="shared" si="17"/>
        <v>27.215542200000002</v>
      </c>
      <c r="K285">
        <v>5.99</v>
      </c>
      <c r="L285">
        <f t="shared" si="18"/>
        <v>163.02109777800001</v>
      </c>
    </row>
    <row r="286" spans="1:12" x14ac:dyDescent="0.2">
      <c r="A286" s="4">
        <v>43437</v>
      </c>
      <c r="B286" t="s">
        <v>531</v>
      </c>
      <c r="C286">
        <v>3</v>
      </c>
      <c r="D286">
        <v>4</v>
      </c>
      <c r="E286">
        <v>5</v>
      </c>
      <c r="F286" t="s">
        <v>418</v>
      </c>
      <c r="G286" s="6" t="s">
        <v>876</v>
      </c>
      <c r="H286" s="9" t="s">
        <v>1071</v>
      </c>
      <c r="I286">
        <f t="shared" si="16"/>
        <v>60</v>
      </c>
      <c r="J286">
        <f t="shared" si="17"/>
        <v>27.215542200000002</v>
      </c>
      <c r="K286" s="6">
        <v>5.99</v>
      </c>
      <c r="L286">
        <f t="shared" si="18"/>
        <v>163.02109777800001</v>
      </c>
    </row>
    <row r="287" spans="1:12" x14ac:dyDescent="0.2">
      <c r="A287" s="4">
        <v>43437</v>
      </c>
      <c r="B287" t="s">
        <v>538</v>
      </c>
      <c r="C287">
        <v>6</v>
      </c>
      <c r="D287">
        <v>4</v>
      </c>
      <c r="E287">
        <v>7.9</v>
      </c>
      <c r="F287" t="s">
        <v>455</v>
      </c>
      <c r="G287" t="s">
        <v>867</v>
      </c>
      <c r="H287" s="9" t="s">
        <v>1071</v>
      </c>
      <c r="I287">
        <f t="shared" si="16"/>
        <v>189.60000000000002</v>
      </c>
      <c r="J287">
        <f t="shared" si="17"/>
        <v>86.001113352000019</v>
      </c>
      <c r="K287">
        <v>2.6459999999999999</v>
      </c>
      <c r="L287">
        <f t="shared" si="18"/>
        <v>227.55894592939205</v>
      </c>
    </row>
    <row r="288" spans="1:12" x14ac:dyDescent="0.2">
      <c r="A288" s="4">
        <v>43439</v>
      </c>
      <c r="B288" t="s">
        <v>538</v>
      </c>
      <c r="C288">
        <v>3</v>
      </c>
      <c r="D288">
        <v>1</v>
      </c>
      <c r="E288">
        <v>35</v>
      </c>
      <c r="F288" t="s">
        <v>441</v>
      </c>
      <c r="G288" t="s">
        <v>867</v>
      </c>
      <c r="H288" s="9" t="s">
        <v>1071</v>
      </c>
      <c r="I288">
        <f t="shared" si="16"/>
        <v>105</v>
      </c>
      <c r="J288">
        <f t="shared" si="17"/>
        <v>47.627198849999999</v>
      </c>
      <c r="K288">
        <v>2.6459999999999999</v>
      </c>
      <c r="L288">
        <f t="shared" si="18"/>
        <v>126.02156815709999</v>
      </c>
    </row>
    <row r="289" spans="1:12" x14ac:dyDescent="0.2">
      <c r="A289" s="4">
        <v>43439</v>
      </c>
      <c r="B289" t="s">
        <v>538</v>
      </c>
      <c r="C289">
        <v>6</v>
      </c>
      <c r="D289">
        <v>4</v>
      </c>
      <c r="E289">
        <v>7.9</v>
      </c>
      <c r="F289" t="s">
        <v>455</v>
      </c>
      <c r="G289" t="s">
        <v>867</v>
      </c>
      <c r="H289" s="9" t="s">
        <v>1071</v>
      </c>
      <c r="I289">
        <f t="shared" si="16"/>
        <v>189.60000000000002</v>
      </c>
      <c r="J289">
        <f t="shared" si="17"/>
        <v>86.001113352000019</v>
      </c>
      <c r="K289">
        <v>2.6459999999999999</v>
      </c>
      <c r="L289">
        <f t="shared" si="18"/>
        <v>227.55894592939205</v>
      </c>
    </row>
    <row r="290" spans="1:12" x14ac:dyDescent="0.2">
      <c r="A290" s="4">
        <v>43434</v>
      </c>
      <c r="B290" t="s">
        <v>538</v>
      </c>
      <c r="C290">
        <v>6</v>
      </c>
      <c r="D290">
        <v>4</v>
      </c>
      <c r="E290">
        <v>7.9</v>
      </c>
      <c r="F290" t="s">
        <v>455</v>
      </c>
      <c r="G290" t="s">
        <v>867</v>
      </c>
      <c r="H290" s="9" t="s">
        <v>1071</v>
      </c>
      <c r="I290">
        <f t="shared" si="16"/>
        <v>189.60000000000002</v>
      </c>
      <c r="J290">
        <f t="shared" si="17"/>
        <v>86.001113352000019</v>
      </c>
      <c r="K290">
        <v>2.6459999999999999</v>
      </c>
      <c r="L290">
        <f t="shared" si="18"/>
        <v>227.55894592939205</v>
      </c>
    </row>
    <row r="291" spans="1:12" x14ac:dyDescent="0.2">
      <c r="A291" s="4">
        <v>43439</v>
      </c>
      <c r="B291" t="s">
        <v>538</v>
      </c>
      <c r="C291">
        <v>1</v>
      </c>
      <c r="D291">
        <v>6</v>
      </c>
      <c r="E291">
        <v>10</v>
      </c>
      <c r="F291" t="s">
        <v>445</v>
      </c>
      <c r="G291" t="s">
        <v>883</v>
      </c>
      <c r="H291" s="9" t="s">
        <v>1071</v>
      </c>
      <c r="I291">
        <f t="shared" si="16"/>
        <v>60</v>
      </c>
      <c r="J291">
        <f t="shared" si="17"/>
        <v>27.215542200000002</v>
      </c>
      <c r="K291">
        <v>3.206</v>
      </c>
      <c r="L291">
        <f t="shared" si="18"/>
        <v>87.253028293200003</v>
      </c>
    </row>
    <row r="292" spans="1:12" x14ac:dyDescent="0.2">
      <c r="A292" s="4">
        <v>43440</v>
      </c>
      <c r="B292" t="s">
        <v>48</v>
      </c>
      <c r="C292" s="28">
        <v>2</v>
      </c>
      <c r="D292" s="28">
        <v>1</v>
      </c>
      <c r="E292">
        <v>25</v>
      </c>
      <c r="F292" t="s">
        <v>509</v>
      </c>
      <c r="G292" t="s">
        <v>762</v>
      </c>
      <c r="H292" s="9" t="s">
        <v>1071</v>
      </c>
      <c r="I292">
        <f t="shared" si="16"/>
        <v>50</v>
      </c>
      <c r="J292">
        <f t="shared" si="17"/>
        <v>22.6796185</v>
      </c>
      <c r="K292">
        <v>0.26900000000000002</v>
      </c>
      <c r="L292">
        <f t="shared" si="18"/>
        <v>6.1008173765000002</v>
      </c>
    </row>
    <row r="293" spans="1:12" x14ac:dyDescent="0.2">
      <c r="A293" s="4">
        <v>43440</v>
      </c>
      <c r="B293" t="s">
        <v>48</v>
      </c>
      <c r="C293" s="28">
        <v>2</v>
      </c>
      <c r="D293" s="28">
        <v>1</v>
      </c>
      <c r="E293">
        <v>50</v>
      </c>
      <c r="F293" t="s">
        <v>315</v>
      </c>
      <c r="G293" t="s">
        <v>790</v>
      </c>
      <c r="H293" s="9" t="s">
        <v>1071</v>
      </c>
      <c r="I293">
        <f t="shared" si="16"/>
        <v>100</v>
      </c>
      <c r="J293">
        <f t="shared" si="17"/>
        <v>45.359237</v>
      </c>
      <c r="K293">
        <v>0.26900000000000002</v>
      </c>
      <c r="L293">
        <f t="shared" si="18"/>
        <v>12.201634753</v>
      </c>
    </row>
    <row r="294" spans="1:12" x14ac:dyDescent="0.2">
      <c r="A294" s="4">
        <v>43440</v>
      </c>
      <c r="B294" t="s">
        <v>48</v>
      </c>
      <c r="C294" s="28">
        <v>2</v>
      </c>
      <c r="D294" s="28">
        <v>1</v>
      </c>
      <c r="E294">
        <v>20</v>
      </c>
      <c r="F294" t="s">
        <v>222</v>
      </c>
      <c r="G294" t="s">
        <v>762</v>
      </c>
      <c r="H294" s="9" t="s">
        <v>1071</v>
      </c>
      <c r="I294">
        <f t="shared" si="16"/>
        <v>40</v>
      </c>
      <c r="J294">
        <f t="shared" si="17"/>
        <v>18.143694800000002</v>
      </c>
      <c r="K294">
        <v>0.26900000000000002</v>
      </c>
      <c r="L294">
        <f t="shared" si="18"/>
        <v>4.8806539012000005</v>
      </c>
    </row>
    <row r="295" spans="1:12" x14ac:dyDescent="0.2">
      <c r="A295" s="4">
        <v>43434</v>
      </c>
      <c r="B295" t="s">
        <v>48</v>
      </c>
      <c r="C295" s="28">
        <v>2</v>
      </c>
      <c r="D295" s="28">
        <v>1</v>
      </c>
      <c r="E295">
        <v>1.25</v>
      </c>
      <c r="F295" t="s">
        <v>314</v>
      </c>
      <c r="G295" t="s">
        <v>824</v>
      </c>
      <c r="H295" s="9" t="s">
        <v>1071</v>
      </c>
      <c r="I295">
        <f t="shared" si="16"/>
        <v>2.5</v>
      </c>
      <c r="J295">
        <f t="shared" si="17"/>
        <v>1.1339809250000001</v>
      </c>
      <c r="K295">
        <v>8.5000000000000006E-2</v>
      </c>
      <c r="L295">
        <f t="shared" si="18"/>
        <v>9.6388378625000021E-2</v>
      </c>
    </row>
    <row r="296" spans="1:12" x14ac:dyDescent="0.2">
      <c r="A296" s="4">
        <v>43437</v>
      </c>
      <c r="B296" t="s">
        <v>48</v>
      </c>
      <c r="C296" s="28">
        <v>1</v>
      </c>
      <c r="D296" s="28">
        <v>1</v>
      </c>
      <c r="E296">
        <v>1.25</v>
      </c>
      <c r="F296" t="s">
        <v>314</v>
      </c>
      <c r="G296" t="s">
        <v>824</v>
      </c>
      <c r="H296" s="9" t="s">
        <v>1071</v>
      </c>
      <c r="I296">
        <f t="shared" si="16"/>
        <v>1.25</v>
      </c>
      <c r="J296">
        <f t="shared" si="17"/>
        <v>0.56699046250000007</v>
      </c>
      <c r="K296">
        <v>8.5000000000000006E-2</v>
      </c>
      <c r="L296">
        <f t="shared" si="18"/>
        <v>4.819418931250001E-2</v>
      </c>
    </row>
    <row r="297" spans="1:12" x14ac:dyDescent="0.2">
      <c r="A297" s="4">
        <v>43438</v>
      </c>
      <c r="B297" t="s">
        <v>48</v>
      </c>
      <c r="C297" s="28">
        <v>1</v>
      </c>
      <c r="D297" s="28">
        <v>1</v>
      </c>
      <c r="E297">
        <v>1.25</v>
      </c>
      <c r="F297" t="s">
        <v>314</v>
      </c>
      <c r="G297" t="s">
        <v>824</v>
      </c>
      <c r="H297" s="9" t="s">
        <v>1071</v>
      </c>
      <c r="I297">
        <f t="shared" si="16"/>
        <v>1.25</v>
      </c>
      <c r="J297">
        <f t="shared" si="17"/>
        <v>0.56699046250000007</v>
      </c>
      <c r="K297">
        <v>8.5000000000000006E-2</v>
      </c>
      <c r="L297">
        <f t="shared" si="18"/>
        <v>4.819418931250001E-2</v>
      </c>
    </row>
    <row r="298" spans="1:12" x14ac:dyDescent="0.2">
      <c r="A298" s="4">
        <v>43440</v>
      </c>
      <c r="B298" t="s">
        <v>48</v>
      </c>
      <c r="C298" s="28">
        <v>1</v>
      </c>
      <c r="D298" s="28">
        <v>1</v>
      </c>
      <c r="E298">
        <v>1.25</v>
      </c>
      <c r="F298" t="s">
        <v>314</v>
      </c>
      <c r="G298" t="s">
        <v>824</v>
      </c>
      <c r="H298" s="9" t="s">
        <v>1071</v>
      </c>
      <c r="I298">
        <f t="shared" si="16"/>
        <v>1.25</v>
      </c>
      <c r="J298">
        <f t="shared" si="17"/>
        <v>0.56699046250000007</v>
      </c>
      <c r="K298">
        <v>8.5000000000000006E-2</v>
      </c>
      <c r="L298">
        <f t="shared" si="18"/>
        <v>4.819418931250001E-2</v>
      </c>
    </row>
    <row r="299" spans="1:12" x14ac:dyDescent="0.2">
      <c r="A299" s="4">
        <v>43434</v>
      </c>
      <c r="B299" t="s">
        <v>48</v>
      </c>
      <c r="C299" s="28">
        <v>1</v>
      </c>
      <c r="D299" s="28">
        <v>1</v>
      </c>
      <c r="E299">
        <v>25</v>
      </c>
      <c r="F299" t="s">
        <v>340</v>
      </c>
      <c r="G299" t="s">
        <v>825</v>
      </c>
      <c r="H299" s="9" t="s">
        <v>1071</v>
      </c>
      <c r="I299">
        <f t="shared" si="16"/>
        <v>25</v>
      </c>
      <c r="J299">
        <f t="shared" si="17"/>
        <v>11.33980925</v>
      </c>
      <c r="K299">
        <v>0.26900000000000002</v>
      </c>
      <c r="L299">
        <f t="shared" si="18"/>
        <v>3.0504086882500001</v>
      </c>
    </row>
    <row r="300" spans="1:12" x14ac:dyDescent="0.2">
      <c r="A300" s="4">
        <v>43437</v>
      </c>
      <c r="B300" t="s">
        <v>48</v>
      </c>
      <c r="C300" s="28">
        <v>2</v>
      </c>
      <c r="D300" s="28">
        <v>1</v>
      </c>
      <c r="E300">
        <v>25</v>
      </c>
      <c r="F300" t="s">
        <v>340</v>
      </c>
      <c r="G300" t="s">
        <v>825</v>
      </c>
      <c r="H300" s="9" t="s">
        <v>1071</v>
      </c>
      <c r="I300">
        <f t="shared" si="16"/>
        <v>50</v>
      </c>
      <c r="J300">
        <f t="shared" si="17"/>
        <v>22.6796185</v>
      </c>
      <c r="K300">
        <v>0.26900000000000002</v>
      </c>
      <c r="L300">
        <f t="shared" si="18"/>
        <v>6.1008173765000002</v>
      </c>
    </row>
    <row r="301" spans="1:12" x14ac:dyDescent="0.2">
      <c r="A301" s="4">
        <v>43438</v>
      </c>
      <c r="B301" t="s">
        <v>48</v>
      </c>
      <c r="C301" s="28">
        <v>1</v>
      </c>
      <c r="D301" s="28">
        <v>1</v>
      </c>
      <c r="E301">
        <v>25</v>
      </c>
      <c r="F301" t="s">
        <v>340</v>
      </c>
      <c r="G301" t="s">
        <v>825</v>
      </c>
      <c r="H301" s="9" t="s">
        <v>1071</v>
      </c>
      <c r="I301">
        <f t="shared" si="16"/>
        <v>25</v>
      </c>
      <c r="J301">
        <f t="shared" si="17"/>
        <v>11.33980925</v>
      </c>
      <c r="K301">
        <v>0.26900000000000002</v>
      </c>
      <c r="L301">
        <f t="shared" si="18"/>
        <v>3.0504086882500001</v>
      </c>
    </row>
    <row r="302" spans="1:12" x14ac:dyDescent="0.2">
      <c r="A302" s="4">
        <v>43434</v>
      </c>
      <c r="B302" t="s">
        <v>48</v>
      </c>
      <c r="C302" s="28">
        <v>2</v>
      </c>
      <c r="D302" s="28">
        <v>1</v>
      </c>
      <c r="E302">
        <v>50</v>
      </c>
      <c r="F302" t="s">
        <v>315</v>
      </c>
      <c r="G302" t="s">
        <v>826</v>
      </c>
      <c r="H302" s="9" t="s">
        <v>1071</v>
      </c>
      <c r="I302">
        <f t="shared" si="16"/>
        <v>100</v>
      </c>
      <c r="J302">
        <f t="shared" si="17"/>
        <v>45.359237</v>
      </c>
      <c r="K302">
        <v>0.26900000000000002</v>
      </c>
      <c r="L302">
        <f t="shared" si="18"/>
        <v>12.201634753</v>
      </c>
    </row>
    <row r="303" spans="1:12" x14ac:dyDescent="0.2">
      <c r="A303" s="4">
        <v>43434</v>
      </c>
      <c r="B303" t="s">
        <v>48</v>
      </c>
      <c r="C303" s="28">
        <v>2</v>
      </c>
      <c r="D303" s="28">
        <v>1</v>
      </c>
      <c r="E303">
        <v>20</v>
      </c>
      <c r="F303" t="s">
        <v>326</v>
      </c>
      <c r="G303" t="s">
        <v>826</v>
      </c>
      <c r="H303" s="9" t="s">
        <v>1071</v>
      </c>
      <c r="I303">
        <f t="shared" si="16"/>
        <v>40</v>
      </c>
      <c r="J303">
        <f t="shared" si="17"/>
        <v>18.143694800000002</v>
      </c>
      <c r="K303">
        <v>0.26900000000000002</v>
      </c>
      <c r="L303">
        <f t="shared" si="18"/>
        <v>4.8806539012000005</v>
      </c>
    </row>
    <row r="304" spans="1:12" x14ac:dyDescent="0.2">
      <c r="A304" s="4">
        <v>43435</v>
      </c>
      <c r="B304" t="s">
        <v>48</v>
      </c>
      <c r="C304" s="28">
        <v>2</v>
      </c>
      <c r="D304" s="28">
        <v>1</v>
      </c>
      <c r="E304">
        <v>50</v>
      </c>
      <c r="F304" t="s">
        <v>315</v>
      </c>
      <c r="G304" t="s">
        <v>826</v>
      </c>
      <c r="H304" s="9" t="s">
        <v>1071</v>
      </c>
      <c r="I304">
        <f t="shared" si="16"/>
        <v>100</v>
      </c>
      <c r="J304">
        <f t="shared" si="17"/>
        <v>45.359237</v>
      </c>
      <c r="K304">
        <v>0.26900000000000002</v>
      </c>
      <c r="L304">
        <f t="shared" si="18"/>
        <v>12.201634753</v>
      </c>
    </row>
    <row r="305" spans="1:12" x14ac:dyDescent="0.2">
      <c r="A305" s="4">
        <v>43435</v>
      </c>
      <c r="B305" t="s">
        <v>48</v>
      </c>
      <c r="C305" s="28">
        <v>3</v>
      </c>
      <c r="D305" s="28">
        <v>1</v>
      </c>
      <c r="E305">
        <v>20</v>
      </c>
      <c r="F305" t="s">
        <v>326</v>
      </c>
      <c r="G305" t="s">
        <v>826</v>
      </c>
      <c r="H305" s="9" t="s">
        <v>1071</v>
      </c>
      <c r="I305">
        <f t="shared" si="16"/>
        <v>60</v>
      </c>
      <c r="J305">
        <f t="shared" si="17"/>
        <v>27.215542200000002</v>
      </c>
      <c r="K305">
        <v>0.26900000000000002</v>
      </c>
      <c r="L305">
        <f t="shared" si="18"/>
        <v>7.3209808518000008</v>
      </c>
    </row>
    <row r="306" spans="1:12" x14ac:dyDescent="0.2">
      <c r="A306" s="4">
        <v>43437</v>
      </c>
      <c r="B306" t="s">
        <v>48</v>
      </c>
      <c r="C306" s="28">
        <v>2</v>
      </c>
      <c r="D306" s="28">
        <v>1</v>
      </c>
      <c r="E306">
        <v>50</v>
      </c>
      <c r="F306" t="s">
        <v>315</v>
      </c>
      <c r="G306" t="s">
        <v>826</v>
      </c>
      <c r="H306" s="9" t="s">
        <v>1071</v>
      </c>
      <c r="I306">
        <f t="shared" si="16"/>
        <v>100</v>
      </c>
      <c r="J306">
        <f t="shared" si="17"/>
        <v>45.359237</v>
      </c>
      <c r="K306">
        <v>0.26900000000000002</v>
      </c>
      <c r="L306">
        <f t="shared" si="18"/>
        <v>12.201634753</v>
      </c>
    </row>
    <row r="307" spans="1:12" x14ac:dyDescent="0.2">
      <c r="A307" s="4">
        <v>43438</v>
      </c>
      <c r="B307" t="s">
        <v>48</v>
      </c>
      <c r="C307" s="28">
        <v>2</v>
      </c>
      <c r="D307" s="28">
        <v>1</v>
      </c>
      <c r="E307">
        <v>50</v>
      </c>
      <c r="F307" t="s">
        <v>315</v>
      </c>
      <c r="G307" t="s">
        <v>826</v>
      </c>
      <c r="H307" s="9" t="s">
        <v>1071</v>
      </c>
      <c r="I307">
        <f t="shared" si="16"/>
        <v>100</v>
      </c>
      <c r="J307">
        <f t="shared" si="17"/>
        <v>45.359237</v>
      </c>
      <c r="K307">
        <v>0.26900000000000002</v>
      </c>
      <c r="L307">
        <f t="shared" si="18"/>
        <v>12.201634753</v>
      </c>
    </row>
    <row r="308" spans="1:12" x14ac:dyDescent="0.2">
      <c r="A308" s="4">
        <v>43438</v>
      </c>
      <c r="B308" t="s">
        <v>48</v>
      </c>
      <c r="C308" s="28">
        <v>1</v>
      </c>
      <c r="D308" s="28">
        <v>1</v>
      </c>
      <c r="E308">
        <v>20</v>
      </c>
      <c r="F308" t="s">
        <v>326</v>
      </c>
      <c r="G308" t="s">
        <v>826</v>
      </c>
      <c r="H308" s="9" t="s">
        <v>1071</v>
      </c>
      <c r="I308">
        <f t="shared" si="16"/>
        <v>20</v>
      </c>
      <c r="J308">
        <f t="shared" si="17"/>
        <v>9.0718474000000011</v>
      </c>
      <c r="K308">
        <v>0.26900000000000002</v>
      </c>
      <c r="L308">
        <f t="shared" si="18"/>
        <v>2.4403269506000003</v>
      </c>
    </row>
    <row r="309" spans="1:12" x14ac:dyDescent="0.2">
      <c r="A309" s="4">
        <v>43434</v>
      </c>
      <c r="B309" t="s">
        <v>48</v>
      </c>
      <c r="C309">
        <v>20</v>
      </c>
      <c r="D309" s="28">
        <v>1</v>
      </c>
      <c r="E309">
        <f t="shared" ref="E309:E314" si="19">88*0.288806</f>
        <v>25.414928</v>
      </c>
      <c r="F309" s="9" t="s">
        <v>55</v>
      </c>
      <c r="G309" s="9" t="s">
        <v>55</v>
      </c>
      <c r="H309" s="9" t="s">
        <v>1071</v>
      </c>
      <c r="I309">
        <f t="shared" si="16"/>
        <v>508.29856000000001</v>
      </c>
      <c r="J309">
        <f t="shared" si="17"/>
        <v>230.56034849798721</v>
      </c>
      <c r="K309">
        <v>0.29399999999999998</v>
      </c>
      <c r="L309">
        <f t="shared" si="18"/>
        <v>67.784742458408232</v>
      </c>
    </row>
    <row r="310" spans="1:12" x14ac:dyDescent="0.2">
      <c r="A310" s="4">
        <v>43435</v>
      </c>
      <c r="B310" t="s">
        <v>48</v>
      </c>
      <c r="C310" s="28">
        <v>40</v>
      </c>
      <c r="D310" s="28">
        <v>1</v>
      </c>
      <c r="E310">
        <f t="shared" si="19"/>
        <v>25.414928</v>
      </c>
      <c r="F310" t="s">
        <v>55</v>
      </c>
      <c r="G310" t="s">
        <v>55</v>
      </c>
      <c r="H310" s="9" t="s">
        <v>1071</v>
      </c>
      <c r="I310">
        <f t="shared" si="16"/>
        <v>1016.59712</v>
      </c>
      <c r="J310">
        <f t="shared" si="17"/>
        <v>461.12069699597441</v>
      </c>
      <c r="K310">
        <v>0.29399999999999998</v>
      </c>
      <c r="L310">
        <f t="shared" si="18"/>
        <v>135.56948491681646</v>
      </c>
    </row>
    <row r="311" spans="1:12" x14ac:dyDescent="0.2">
      <c r="A311" s="4">
        <v>43437</v>
      </c>
      <c r="B311" t="s">
        <v>48</v>
      </c>
      <c r="C311" s="28">
        <v>25</v>
      </c>
      <c r="D311" s="28">
        <v>1</v>
      </c>
      <c r="E311">
        <f t="shared" si="19"/>
        <v>25.414928</v>
      </c>
      <c r="F311" t="s">
        <v>55</v>
      </c>
      <c r="G311" t="s">
        <v>55</v>
      </c>
      <c r="H311" s="9" t="s">
        <v>1071</v>
      </c>
      <c r="I311">
        <f t="shared" si="16"/>
        <v>635.3732</v>
      </c>
      <c r="J311">
        <f t="shared" si="17"/>
        <v>288.20043562248401</v>
      </c>
      <c r="K311">
        <v>0.29399999999999998</v>
      </c>
      <c r="L311">
        <f t="shared" si="18"/>
        <v>84.73092807301029</v>
      </c>
    </row>
    <row r="312" spans="1:12" x14ac:dyDescent="0.2">
      <c r="A312" s="4">
        <v>43438</v>
      </c>
      <c r="B312" t="s">
        <v>48</v>
      </c>
      <c r="C312" s="28">
        <v>15</v>
      </c>
      <c r="D312" s="28">
        <v>1</v>
      </c>
      <c r="E312">
        <f t="shared" si="19"/>
        <v>25.414928</v>
      </c>
      <c r="F312" t="s">
        <v>55</v>
      </c>
      <c r="G312" t="s">
        <v>55</v>
      </c>
      <c r="H312" s="9" t="s">
        <v>1071</v>
      </c>
      <c r="I312">
        <f t="shared" si="16"/>
        <v>381.22392000000002</v>
      </c>
      <c r="J312">
        <f t="shared" si="17"/>
        <v>172.9202613734904</v>
      </c>
      <c r="K312">
        <v>0.29399999999999998</v>
      </c>
      <c r="L312">
        <f t="shared" si="18"/>
        <v>50.838556843806174</v>
      </c>
    </row>
    <row r="313" spans="1:12" x14ac:dyDescent="0.2">
      <c r="A313" s="4">
        <v>43439</v>
      </c>
      <c r="B313" t="s">
        <v>48</v>
      </c>
      <c r="C313" s="28">
        <v>14</v>
      </c>
      <c r="D313" s="28">
        <v>1</v>
      </c>
      <c r="E313">
        <f t="shared" si="19"/>
        <v>25.414928</v>
      </c>
      <c r="F313" t="s">
        <v>55</v>
      </c>
      <c r="G313" t="s">
        <v>55</v>
      </c>
      <c r="H313" s="9" t="s">
        <v>1071</v>
      </c>
      <c r="I313">
        <f t="shared" si="16"/>
        <v>355.80899199999999</v>
      </c>
      <c r="J313">
        <f t="shared" si="17"/>
        <v>161.39224394859104</v>
      </c>
      <c r="K313">
        <v>0.29399999999999998</v>
      </c>
      <c r="L313">
        <f t="shared" si="18"/>
        <v>47.449319720885761</v>
      </c>
    </row>
    <row r="314" spans="1:12" x14ac:dyDescent="0.2">
      <c r="A314" s="4">
        <v>43440</v>
      </c>
      <c r="B314" t="s">
        <v>48</v>
      </c>
      <c r="C314" s="28">
        <v>18</v>
      </c>
      <c r="D314" s="28">
        <v>1</v>
      </c>
      <c r="E314">
        <f t="shared" si="19"/>
        <v>25.414928</v>
      </c>
      <c r="F314" t="s">
        <v>55</v>
      </c>
      <c r="G314" t="s">
        <v>55</v>
      </c>
      <c r="H314" s="9" t="s">
        <v>1071</v>
      </c>
      <c r="I314">
        <f t="shared" si="16"/>
        <v>457.468704</v>
      </c>
      <c r="J314">
        <f t="shared" si="17"/>
        <v>207.50431364818849</v>
      </c>
      <c r="K314">
        <v>0.29399999999999998</v>
      </c>
      <c r="L314">
        <f t="shared" si="18"/>
        <v>61.006268212567413</v>
      </c>
    </row>
    <row r="315" spans="1:12" x14ac:dyDescent="0.2">
      <c r="A315" s="4">
        <v>43434</v>
      </c>
      <c r="B315" t="s">
        <v>538</v>
      </c>
      <c r="C315">
        <v>1</v>
      </c>
      <c r="D315">
        <v>6</v>
      </c>
      <c r="E315">
        <v>5</v>
      </c>
      <c r="F315" t="s">
        <v>439</v>
      </c>
      <c r="G315" s="14" t="s">
        <v>904</v>
      </c>
      <c r="H315" s="9" t="s">
        <v>1071</v>
      </c>
      <c r="I315">
        <f t="shared" si="16"/>
        <v>30</v>
      </c>
      <c r="J315">
        <f t="shared" si="17"/>
        <v>13.607771100000001</v>
      </c>
      <c r="L315">
        <f t="shared" si="18"/>
        <v>0</v>
      </c>
    </row>
    <row r="316" spans="1:12" x14ac:dyDescent="0.2">
      <c r="A316" s="4">
        <v>43437</v>
      </c>
      <c r="B316" t="s">
        <v>538</v>
      </c>
      <c r="C316">
        <v>1</v>
      </c>
      <c r="D316">
        <v>6</v>
      </c>
      <c r="E316">
        <v>5</v>
      </c>
      <c r="F316" t="s">
        <v>439</v>
      </c>
      <c r="G316" s="14" t="s">
        <v>904</v>
      </c>
      <c r="H316" s="9" t="s">
        <v>1071</v>
      </c>
      <c r="I316">
        <f t="shared" si="16"/>
        <v>30</v>
      </c>
      <c r="J316">
        <f t="shared" si="17"/>
        <v>13.607771100000001</v>
      </c>
      <c r="L316">
        <f t="shared" si="18"/>
        <v>0</v>
      </c>
    </row>
    <row r="317" spans="1:12" x14ac:dyDescent="0.2">
      <c r="A317" s="4">
        <v>43434</v>
      </c>
      <c r="B317" t="s">
        <v>48</v>
      </c>
      <c r="C317" s="28">
        <v>1</v>
      </c>
      <c r="D317" s="28">
        <v>1</v>
      </c>
      <c r="E317">
        <f>30*(1/8)</f>
        <v>3.75</v>
      </c>
      <c r="F317" t="s">
        <v>483</v>
      </c>
      <c r="G317" t="s">
        <v>814</v>
      </c>
      <c r="H317" s="9" t="s">
        <v>1071</v>
      </c>
      <c r="I317">
        <f t="shared" ref="I317:I380" si="20">C317*D317*E317</f>
        <v>3.75</v>
      </c>
      <c r="J317">
        <f t="shared" si="17"/>
        <v>1.7009713875000001</v>
      </c>
      <c r="K317">
        <v>0.22</v>
      </c>
      <c r="L317">
        <f t="shared" si="18"/>
        <v>0.37421370525000003</v>
      </c>
    </row>
    <row r="318" spans="1:12" x14ac:dyDescent="0.2">
      <c r="A318" s="4">
        <v>43437</v>
      </c>
      <c r="B318" t="s">
        <v>48</v>
      </c>
      <c r="C318" s="28">
        <v>1</v>
      </c>
      <c r="D318" s="28">
        <v>1</v>
      </c>
      <c r="E318">
        <f>30*(1/8)</f>
        <v>3.75</v>
      </c>
      <c r="F318" t="s">
        <v>316</v>
      </c>
      <c r="G318" t="s">
        <v>814</v>
      </c>
      <c r="H318" s="9" t="s">
        <v>1071</v>
      </c>
      <c r="I318">
        <f t="shared" si="20"/>
        <v>3.75</v>
      </c>
      <c r="J318">
        <f t="shared" si="17"/>
        <v>1.7009713875000001</v>
      </c>
      <c r="K318">
        <v>0.22</v>
      </c>
      <c r="L318">
        <f t="shared" si="18"/>
        <v>0.37421370525000003</v>
      </c>
    </row>
    <row r="319" spans="1:12" x14ac:dyDescent="0.2">
      <c r="A319" s="4">
        <v>43438</v>
      </c>
      <c r="B319" t="s">
        <v>48</v>
      </c>
      <c r="C319" s="28">
        <v>1</v>
      </c>
      <c r="D319" s="28">
        <v>1</v>
      </c>
      <c r="E319">
        <f>30*(1/8)</f>
        <v>3.75</v>
      </c>
      <c r="F319" t="s">
        <v>316</v>
      </c>
      <c r="G319" t="s">
        <v>814</v>
      </c>
      <c r="H319" s="9" t="s">
        <v>1071</v>
      </c>
      <c r="I319">
        <f t="shared" si="20"/>
        <v>3.75</v>
      </c>
      <c r="J319">
        <f t="shared" si="17"/>
        <v>1.7009713875000001</v>
      </c>
      <c r="K319">
        <v>0.22</v>
      </c>
      <c r="L319">
        <f t="shared" si="18"/>
        <v>0.37421370525000003</v>
      </c>
    </row>
    <row r="320" spans="1:12" x14ac:dyDescent="0.2">
      <c r="A320" s="4">
        <v>43440</v>
      </c>
      <c r="B320" t="s">
        <v>48</v>
      </c>
      <c r="C320" s="28">
        <v>1</v>
      </c>
      <c r="D320" s="28">
        <v>1</v>
      </c>
      <c r="E320">
        <f>30*(1/8)</f>
        <v>3.75</v>
      </c>
      <c r="F320" t="s">
        <v>316</v>
      </c>
      <c r="G320" t="s">
        <v>814</v>
      </c>
      <c r="H320" s="9" t="s">
        <v>1071</v>
      </c>
      <c r="I320">
        <f t="shared" si="20"/>
        <v>3.75</v>
      </c>
      <c r="J320">
        <f t="shared" si="17"/>
        <v>1.7009713875000001</v>
      </c>
      <c r="K320">
        <v>0.22</v>
      </c>
      <c r="L320">
        <f t="shared" si="18"/>
        <v>0.37421370525000003</v>
      </c>
    </row>
    <row r="321" spans="1:12" x14ac:dyDescent="0.2">
      <c r="A321" s="4">
        <v>43434</v>
      </c>
      <c r="B321" t="s">
        <v>48</v>
      </c>
      <c r="C321" s="28">
        <v>1</v>
      </c>
      <c r="D321" s="28">
        <v>1</v>
      </c>
      <c r="E321">
        <v>20</v>
      </c>
      <c r="F321" t="s">
        <v>484</v>
      </c>
      <c r="G321" t="s">
        <v>484</v>
      </c>
      <c r="H321" s="9" t="s">
        <v>1071</v>
      </c>
      <c r="I321">
        <f t="shared" si="20"/>
        <v>20</v>
      </c>
      <c r="J321">
        <f t="shared" si="17"/>
        <v>9.0718474000000011</v>
      </c>
      <c r="K321">
        <v>0.24299999999999999</v>
      </c>
      <c r="L321">
        <f t="shared" si="18"/>
        <v>2.2044589182000003</v>
      </c>
    </row>
    <row r="322" spans="1:12" x14ac:dyDescent="0.2">
      <c r="A322" s="4">
        <v>43434</v>
      </c>
      <c r="B322" t="s">
        <v>538</v>
      </c>
      <c r="C322">
        <v>4</v>
      </c>
      <c r="D322">
        <v>2</v>
      </c>
      <c r="E322">
        <v>10</v>
      </c>
      <c r="F322" t="s">
        <v>458</v>
      </c>
      <c r="G322" s="6" t="s">
        <v>875</v>
      </c>
      <c r="H322" s="9" t="s">
        <v>1071</v>
      </c>
      <c r="I322">
        <f t="shared" si="20"/>
        <v>80</v>
      </c>
      <c r="J322">
        <f t="shared" si="17"/>
        <v>36.287389600000004</v>
      </c>
      <c r="K322">
        <v>5.99</v>
      </c>
      <c r="L322">
        <f t="shared" si="18"/>
        <v>217.36146370400004</v>
      </c>
    </row>
    <row r="323" spans="1:12" x14ac:dyDescent="0.2">
      <c r="A323" s="4">
        <v>43434</v>
      </c>
      <c r="B323" t="s">
        <v>538</v>
      </c>
      <c r="C323">
        <v>4</v>
      </c>
      <c r="D323">
        <v>2</v>
      </c>
      <c r="E323">
        <v>10</v>
      </c>
      <c r="F323" t="s">
        <v>461</v>
      </c>
      <c r="G323" s="6" t="s">
        <v>875</v>
      </c>
      <c r="H323" s="9" t="s">
        <v>1071</v>
      </c>
      <c r="I323">
        <f t="shared" si="20"/>
        <v>80</v>
      </c>
      <c r="J323">
        <f t="shared" ref="J323:J386" si="21">CONVERT(I323,"lbm","kg")</f>
        <v>36.287389600000004</v>
      </c>
      <c r="K323">
        <v>5.99</v>
      </c>
      <c r="L323">
        <f t="shared" ref="L323:L386" si="22">J323*K323</f>
        <v>217.36146370400004</v>
      </c>
    </row>
    <row r="324" spans="1:12" x14ac:dyDescent="0.2">
      <c r="A324" s="4">
        <v>43434</v>
      </c>
      <c r="B324" t="s">
        <v>538</v>
      </c>
      <c r="C324">
        <v>4</v>
      </c>
      <c r="D324">
        <v>2</v>
      </c>
      <c r="E324">
        <v>10</v>
      </c>
      <c r="F324" t="s">
        <v>462</v>
      </c>
      <c r="G324" s="6" t="s">
        <v>875</v>
      </c>
      <c r="H324" s="9" t="s">
        <v>1071</v>
      </c>
      <c r="I324">
        <f t="shared" si="20"/>
        <v>80</v>
      </c>
      <c r="J324">
        <f t="shared" si="21"/>
        <v>36.287389600000004</v>
      </c>
      <c r="K324">
        <v>5.99</v>
      </c>
      <c r="L324">
        <f t="shared" si="22"/>
        <v>217.36146370400004</v>
      </c>
    </row>
    <row r="325" spans="1:12" x14ac:dyDescent="0.2">
      <c r="A325" s="4">
        <v>43434</v>
      </c>
      <c r="B325" t="s">
        <v>538</v>
      </c>
      <c r="C325">
        <v>4</v>
      </c>
      <c r="D325">
        <v>2</v>
      </c>
      <c r="E325">
        <v>10</v>
      </c>
      <c r="F325" t="s">
        <v>566</v>
      </c>
      <c r="G325" s="6" t="s">
        <v>875</v>
      </c>
      <c r="H325" s="9" t="s">
        <v>1071</v>
      </c>
      <c r="I325">
        <f t="shared" si="20"/>
        <v>80</v>
      </c>
      <c r="J325">
        <f t="shared" si="21"/>
        <v>36.287389600000004</v>
      </c>
      <c r="K325">
        <v>5.99</v>
      </c>
      <c r="L325">
        <f t="shared" si="22"/>
        <v>217.36146370400004</v>
      </c>
    </row>
    <row r="326" spans="1:12" x14ac:dyDescent="0.2">
      <c r="A326" s="4">
        <v>43439</v>
      </c>
      <c r="B326" t="s">
        <v>538</v>
      </c>
      <c r="C326">
        <v>3</v>
      </c>
      <c r="D326">
        <v>2</v>
      </c>
      <c r="E326">
        <v>10</v>
      </c>
      <c r="F326" t="s">
        <v>458</v>
      </c>
      <c r="G326" s="6" t="s">
        <v>875</v>
      </c>
      <c r="H326" s="9" t="s">
        <v>1071</v>
      </c>
      <c r="I326">
        <f t="shared" si="20"/>
        <v>60</v>
      </c>
      <c r="J326">
        <f t="shared" si="21"/>
        <v>27.215542200000002</v>
      </c>
      <c r="K326">
        <v>5.99</v>
      </c>
      <c r="L326">
        <f t="shared" si="22"/>
        <v>163.02109777800001</v>
      </c>
    </row>
    <row r="327" spans="1:12" x14ac:dyDescent="0.2">
      <c r="A327" s="4">
        <v>43434</v>
      </c>
      <c r="B327" t="s">
        <v>538</v>
      </c>
      <c r="C327">
        <v>1</v>
      </c>
      <c r="D327">
        <v>12</v>
      </c>
      <c r="E327">
        <v>1</v>
      </c>
      <c r="F327" t="s">
        <v>560</v>
      </c>
      <c r="G327" s="6" t="s">
        <v>911</v>
      </c>
      <c r="H327" s="9" t="s">
        <v>1071</v>
      </c>
      <c r="I327">
        <f t="shared" si="20"/>
        <v>12</v>
      </c>
      <c r="J327">
        <f t="shared" si="21"/>
        <v>5.4431084400000005</v>
      </c>
      <c r="K327">
        <v>0.11799999999999999</v>
      </c>
      <c r="L327">
        <f t="shared" si="22"/>
        <v>0.64228679592000004</v>
      </c>
    </row>
    <row r="328" spans="1:12" x14ac:dyDescent="0.2">
      <c r="A328" s="4">
        <v>43439</v>
      </c>
      <c r="B328" t="s">
        <v>538</v>
      </c>
      <c r="C328">
        <v>1</v>
      </c>
      <c r="D328">
        <v>1</v>
      </c>
      <c r="E328">
        <v>20</v>
      </c>
      <c r="F328" t="s">
        <v>592</v>
      </c>
      <c r="G328" t="s">
        <v>921</v>
      </c>
      <c r="H328" s="9" t="s">
        <v>1071</v>
      </c>
      <c r="I328">
        <f t="shared" si="20"/>
        <v>20</v>
      </c>
      <c r="J328">
        <f t="shared" si="21"/>
        <v>9.0718474000000011</v>
      </c>
      <c r="K328">
        <v>0.61699999999999999</v>
      </c>
      <c r="L328">
        <f t="shared" si="22"/>
        <v>5.5973298458000009</v>
      </c>
    </row>
    <row r="329" spans="1:12" x14ac:dyDescent="0.2">
      <c r="A329" s="4">
        <v>43434</v>
      </c>
      <c r="B329" t="s">
        <v>48</v>
      </c>
      <c r="C329" s="28">
        <v>2</v>
      </c>
      <c r="D329" s="28">
        <v>1</v>
      </c>
      <c r="E329">
        <v>10</v>
      </c>
      <c r="F329" t="s">
        <v>319</v>
      </c>
      <c r="G329" t="s">
        <v>806</v>
      </c>
      <c r="H329" s="9" t="s">
        <v>1071</v>
      </c>
      <c r="I329">
        <f t="shared" si="20"/>
        <v>20</v>
      </c>
      <c r="J329">
        <f t="shared" si="21"/>
        <v>9.0718474000000011</v>
      </c>
      <c r="K329">
        <v>0.70099999999999996</v>
      </c>
      <c r="L329">
        <f t="shared" si="22"/>
        <v>6.3593650274</v>
      </c>
    </row>
    <row r="330" spans="1:12" x14ac:dyDescent="0.2">
      <c r="A330" s="4">
        <v>43434</v>
      </c>
      <c r="B330" t="s">
        <v>531</v>
      </c>
      <c r="C330">
        <v>2</v>
      </c>
      <c r="D330">
        <v>12</v>
      </c>
      <c r="E330">
        <v>2.5</v>
      </c>
      <c r="F330" t="s">
        <v>405</v>
      </c>
      <c r="G330" t="s">
        <v>891</v>
      </c>
      <c r="H330" s="9" t="s">
        <v>1071</v>
      </c>
      <c r="I330">
        <f t="shared" si="20"/>
        <v>60</v>
      </c>
      <c r="J330">
        <f t="shared" si="21"/>
        <v>27.215542200000002</v>
      </c>
      <c r="K330">
        <v>0.61699999999999999</v>
      </c>
      <c r="L330">
        <f t="shared" si="22"/>
        <v>16.791989537399999</v>
      </c>
    </row>
    <row r="331" spans="1:12" x14ac:dyDescent="0.2">
      <c r="A331" s="4">
        <v>43437</v>
      </c>
      <c r="B331" t="s">
        <v>531</v>
      </c>
      <c r="C331">
        <v>1</v>
      </c>
      <c r="D331">
        <v>12</v>
      </c>
      <c r="E331">
        <v>2.5</v>
      </c>
      <c r="F331" t="s">
        <v>405</v>
      </c>
      <c r="G331" t="s">
        <v>891</v>
      </c>
      <c r="H331" s="9" t="s">
        <v>1071</v>
      </c>
      <c r="I331">
        <f t="shared" si="20"/>
        <v>30</v>
      </c>
      <c r="J331">
        <f t="shared" si="21"/>
        <v>13.607771100000001</v>
      </c>
      <c r="K331">
        <v>0.61699999999999999</v>
      </c>
      <c r="L331">
        <f t="shared" si="22"/>
        <v>8.3959947686999996</v>
      </c>
    </row>
    <row r="332" spans="1:12" x14ac:dyDescent="0.2">
      <c r="A332" s="4">
        <v>43438</v>
      </c>
      <c r="B332" t="s">
        <v>48</v>
      </c>
      <c r="C332" s="28">
        <v>2</v>
      </c>
      <c r="D332" s="28">
        <v>1</v>
      </c>
      <c r="E332">
        <v>10</v>
      </c>
      <c r="F332" t="s">
        <v>498</v>
      </c>
      <c r="G332" t="s">
        <v>821</v>
      </c>
      <c r="H332" s="9" t="s">
        <v>1071</v>
      </c>
      <c r="I332">
        <f t="shared" si="20"/>
        <v>20</v>
      </c>
      <c r="J332">
        <f t="shared" si="21"/>
        <v>9.0718474000000011</v>
      </c>
      <c r="K332">
        <v>0.27400000000000002</v>
      </c>
      <c r="L332">
        <f t="shared" si="22"/>
        <v>2.4856861876000007</v>
      </c>
    </row>
    <row r="333" spans="1:12" x14ac:dyDescent="0.2">
      <c r="A333" s="4">
        <v>43434</v>
      </c>
      <c r="B333" t="s">
        <v>48</v>
      </c>
      <c r="C333" s="28">
        <v>2</v>
      </c>
      <c r="D333" s="28">
        <v>1</v>
      </c>
      <c r="E333">
        <f>120*0.39</f>
        <v>46.800000000000004</v>
      </c>
      <c r="F333" t="s">
        <v>317</v>
      </c>
      <c r="G333" t="s">
        <v>791</v>
      </c>
      <c r="H333" s="9" t="s">
        <v>1071</v>
      </c>
      <c r="I333">
        <f t="shared" si="20"/>
        <v>93.600000000000009</v>
      </c>
      <c r="J333">
        <f t="shared" si="21"/>
        <v>42.456245832000008</v>
      </c>
      <c r="K333">
        <v>0.249</v>
      </c>
      <c r="L333">
        <f t="shared" si="22"/>
        <v>10.571605212168002</v>
      </c>
    </row>
    <row r="334" spans="1:12" x14ac:dyDescent="0.2">
      <c r="A334" s="4">
        <v>43434</v>
      </c>
      <c r="B334" t="s">
        <v>538</v>
      </c>
      <c r="C334">
        <v>1</v>
      </c>
      <c r="D334">
        <v>12</v>
      </c>
      <c r="E334">
        <f>28/16</f>
        <v>1.75</v>
      </c>
      <c r="F334" t="s">
        <v>559</v>
      </c>
      <c r="G334" t="s">
        <v>848</v>
      </c>
      <c r="H334" s="9" t="s">
        <v>1071</v>
      </c>
      <c r="I334">
        <f t="shared" si="20"/>
        <v>21</v>
      </c>
      <c r="J334">
        <f t="shared" si="21"/>
        <v>9.5254397700000002</v>
      </c>
      <c r="K334">
        <v>0.52500000000000002</v>
      </c>
      <c r="L334">
        <f t="shared" si="22"/>
        <v>5.0008558792500004</v>
      </c>
    </row>
    <row r="335" spans="1:12" x14ac:dyDescent="0.2">
      <c r="A335" s="4">
        <v>43435</v>
      </c>
      <c r="B335" t="s">
        <v>48</v>
      </c>
      <c r="C335" s="28">
        <v>2</v>
      </c>
      <c r="D335" s="28">
        <v>1</v>
      </c>
      <c r="E335">
        <v>20</v>
      </c>
      <c r="F335" t="s">
        <v>485</v>
      </c>
      <c r="G335" t="s">
        <v>885</v>
      </c>
      <c r="H335" s="9" t="s">
        <v>1071</v>
      </c>
      <c r="I335">
        <f t="shared" si="20"/>
        <v>40</v>
      </c>
      <c r="J335">
        <f t="shared" si="21"/>
        <v>18.143694800000002</v>
      </c>
      <c r="K335">
        <v>0.52500000000000002</v>
      </c>
      <c r="L335">
        <f t="shared" si="22"/>
        <v>9.525439770000002</v>
      </c>
    </row>
    <row r="336" spans="1:12" x14ac:dyDescent="0.2">
      <c r="A336" s="4">
        <v>43434</v>
      </c>
      <c r="B336" t="s">
        <v>48</v>
      </c>
      <c r="C336" s="28">
        <v>2</v>
      </c>
      <c r="D336" s="28">
        <v>1</v>
      </c>
      <c r="E336">
        <f>10/9*30</f>
        <v>33.333333333333336</v>
      </c>
      <c r="F336" t="s">
        <v>321</v>
      </c>
      <c r="G336" t="s">
        <v>885</v>
      </c>
      <c r="H336" s="9" t="s">
        <v>1071</v>
      </c>
      <c r="I336">
        <f t="shared" si="20"/>
        <v>66.666666666666671</v>
      </c>
      <c r="J336">
        <f t="shared" si="21"/>
        <v>30.239491333333337</v>
      </c>
      <c r="K336">
        <v>0.52500000000000002</v>
      </c>
      <c r="L336">
        <f t="shared" si="22"/>
        <v>15.875732950000003</v>
      </c>
    </row>
    <row r="337" spans="1:12" x14ac:dyDescent="0.2">
      <c r="A337" s="4">
        <v>43434</v>
      </c>
      <c r="B337" t="s">
        <v>48</v>
      </c>
      <c r="C337" s="28">
        <v>1</v>
      </c>
      <c r="D337" s="28">
        <v>1</v>
      </c>
      <c r="E337">
        <v>20</v>
      </c>
      <c r="F337" t="s">
        <v>485</v>
      </c>
      <c r="G337" t="s">
        <v>885</v>
      </c>
      <c r="H337" s="9" t="s">
        <v>1071</v>
      </c>
      <c r="I337">
        <f t="shared" si="20"/>
        <v>20</v>
      </c>
      <c r="J337">
        <f t="shared" si="21"/>
        <v>9.0718474000000011</v>
      </c>
      <c r="K337">
        <v>0.52500000000000002</v>
      </c>
      <c r="L337">
        <f t="shared" si="22"/>
        <v>4.762719885000001</v>
      </c>
    </row>
    <row r="338" spans="1:12" x14ac:dyDescent="0.2">
      <c r="A338" s="4">
        <v>43435</v>
      </c>
      <c r="B338" t="s">
        <v>48</v>
      </c>
      <c r="C338" s="28">
        <v>3</v>
      </c>
      <c r="D338" s="28">
        <v>1</v>
      </c>
      <c r="E338">
        <f t="shared" ref="E338:E347" si="23">10/9*30</f>
        <v>33.333333333333336</v>
      </c>
      <c r="F338" t="s">
        <v>320</v>
      </c>
      <c r="G338" t="s">
        <v>885</v>
      </c>
      <c r="H338" s="9" t="s">
        <v>1071</v>
      </c>
      <c r="I338">
        <f t="shared" si="20"/>
        <v>100</v>
      </c>
      <c r="J338">
        <f t="shared" si="21"/>
        <v>45.359237</v>
      </c>
      <c r="K338">
        <v>0.52500000000000002</v>
      </c>
      <c r="L338">
        <f t="shared" si="22"/>
        <v>23.813599425</v>
      </c>
    </row>
    <row r="339" spans="1:12" x14ac:dyDescent="0.2">
      <c r="A339" s="4">
        <v>43435</v>
      </c>
      <c r="B339" t="s">
        <v>48</v>
      </c>
      <c r="C339" s="28">
        <v>1</v>
      </c>
      <c r="D339" s="28">
        <v>1</v>
      </c>
      <c r="E339">
        <f t="shared" si="23"/>
        <v>33.333333333333336</v>
      </c>
      <c r="F339" t="s">
        <v>321</v>
      </c>
      <c r="G339" t="s">
        <v>885</v>
      </c>
      <c r="H339" s="9" t="s">
        <v>1071</v>
      </c>
      <c r="I339">
        <f t="shared" si="20"/>
        <v>33.333333333333336</v>
      </c>
      <c r="J339">
        <f t="shared" si="21"/>
        <v>15.119745666666669</v>
      </c>
      <c r="K339">
        <v>0.52500000000000002</v>
      </c>
      <c r="L339">
        <f t="shared" si="22"/>
        <v>7.9378664750000016</v>
      </c>
    </row>
    <row r="340" spans="1:12" x14ac:dyDescent="0.2">
      <c r="A340" s="4">
        <v>43437</v>
      </c>
      <c r="B340" t="s">
        <v>48</v>
      </c>
      <c r="C340" s="28">
        <v>1</v>
      </c>
      <c r="D340" s="28">
        <v>1</v>
      </c>
      <c r="E340">
        <f t="shared" si="23"/>
        <v>33.333333333333336</v>
      </c>
      <c r="F340" t="s">
        <v>320</v>
      </c>
      <c r="G340" t="s">
        <v>885</v>
      </c>
      <c r="H340" s="9" t="s">
        <v>1071</v>
      </c>
      <c r="I340">
        <f t="shared" si="20"/>
        <v>33.333333333333336</v>
      </c>
      <c r="J340">
        <f t="shared" si="21"/>
        <v>15.119745666666669</v>
      </c>
      <c r="K340">
        <v>0.52500000000000002</v>
      </c>
      <c r="L340">
        <f t="shared" si="22"/>
        <v>7.9378664750000016</v>
      </c>
    </row>
    <row r="341" spans="1:12" x14ac:dyDescent="0.2">
      <c r="A341" s="4">
        <v>43437</v>
      </c>
      <c r="B341" t="s">
        <v>48</v>
      </c>
      <c r="C341" s="28">
        <v>2</v>
      </c>
      <c r="D341" s="28">
        <v>1</v>
      </c>
      <c r="E341">
        <f t="shared" si="23"/>
        <v>33.333333333333336</v>
      </c>
      <c r="F341" t="s">
        <v>321</v>
      </c>
      <c r="G341" t="s">
        <v>885</v>
      </c>
      <c r="H341" s="9" t="s">
        <v>1071</v>
      </c>
      <c r="I341">
        <f t="shared" si="20"/>
        <v>66.666666666666671</v>
      </c>
      <c r="J341">
        <f t="shared" si="21"/>
        <v>30.239491333333337</v>
      </c>
      <c r="K341">
        <v>0.52500000000000002</v>
      </c>
      <c r="L341">
        <f t="shared" si="22"/>
        <v>15.875732950000003</v>
      </c>
    </row>
    <row r="342" spans="1:12" x14ac:dyDescent="0.2">
      <c r="A342" s="4">
        <v>43438</v>
      </c>
      <c r="B342" t="s">
        <v>48</v>
      </c>
      <c r="C342" s="28">
        <v>2</v>
      </c>
      <c r="D342" s="28">
        <v>1</v>
      </c>
      <c r="E342">
        <f t="shared" si="23"/>
        <v>33.333333333333336</v>
      </c>
      <c r="F342" t="s">
        <v>320</v>
      </c>
      <c r="G342" t="s">
        <v>885</v>
      </c>
      <c r="H342" s="9" t="s">
        <v>1071</v>
      </c>
      <c r="I342">
        <f t="shared" si="20"/>
        <v>66.666666666666671</v>
      </c>
      <c r="J342">
        <f t="shared" si="21"/>
        <v>30.239491333333337</v>
      </c>
      <c r="K342">
        <v>0.52500000000000002</v>
      </c>
      <c r="L342">
        <f t="shared" si="22"/>
        <v>15.875732950000003</v>
      </c>
    </row>
    <row r="343" spans="1:12" x14ac:dyDescent="0.2">
      <c r="A343" s="4">
        <v>43438</v>
      </c>
      <c r="B343" t="s">
        <v>48</v>
      </c>
      <c r="C343" s="28">
        <v>1</v>
      </c>
      <c r="D343" s="28">
        <v>1</v>
      </c>
      <c r="E343">
        <f t="shared" si="23"/>
        <v>33.333333333333336</v>
      </c>
      <c r="F343" t="s">
        <v>321</v>
      </c>
      <c r="G343" t="s">
        <v>885</v>
      </c>
      <c r="H343" s="9" t="s">
        <v>1071</v>
      </c>
      <c r="I343">
        <f t="shared" si="20"/>
        <v>33.333333333333336</v>
      </c>
      <c r="J343">
        <f t="shared" si="21"/>
        <v>15.119745666666669</v>
      </c>
      <c r="K343">
        <v>0.52500000000000002</v>
      </c>
      <c r="L343">
        <f t="shared" si="22"/>
        <v>7.9378664750000016</v>
      </c>
    </row>
    <row r="344" spans="1:12" x14ac:dyDescent="0.2">
      <c r="A344" s="4">
        <v>43439</v>
      </c>
      <c r="B344" t="s">
        <v>48</v>
      </c>
      <c r="C344" s="28">
        <v>1</v>
      </c>
      <c r="D344" s="28">
        <v>1</v>
      </c>
      <c r="E344">
        <f t="shared" si="23"/>
        <v>33.333333333333336</v>
      </c>
      <c r="F344" t="s">
        <v>320</v>
      </c>
      <c r="G344" t="s">
        <v>885</v>
      </c>
      <c r="H344" s="9" t="s">
        <v>1071</v>
      </c>
      <c r="I344">
        <f t="shared" si="20"/>
        <v>33.333333333333336</v>
      </c>
      <c r="J344">
        <f t="shared" si="21"/>
        <v>15.119745666666669</v>
      </c>
      <c r="K344">
        <v>0.52500000000000002</v>
      </c>
      <c r="L344">
        <f t="shared" si="22"/>
        <v>7.9378664750000016</v>
      </c>
    </row>
    <row r="345" spans="1:12" x14ac:dyDescent="0.2">
      <c r="A345" s="4">
        <v>43439</v>
      </c>
      <c r="B345" t="s">
        <v>48</v>
      </c>
      <c r="C345" s="28">
        <v>2</v>
      </c>
      <c r="D345" s="28">
        <v>1</v>
      </c>
      <c r="E345">
        <f t="shared" si="23"/>
        <v>33.333333333333336</v>
      </c>
      <c r="F345" t="s">
        <v>321</v>
      </c>
      <c r="G345" t="s">
        <v>885</v>
      </c>
      <c r="H345" s="9" t="s">
        <v>1071</v>
      </c>
      <c r="I345">
        <f t="shared" si="20"/>
        <v>66.666666666666671</v>
      </c>
      <c r="J345">
        <f t="shared" si="21"/>
        <v>30.239491333333337</v>
      </c>
      <c r="K345">
        <v>0.52500000000000002</v>
      </c>
      <c r="L345">
        <f t="shared" si="22"/>
        <v>15.875732950000003</v>
      </c>
    </row>
    <row r="346" spans="1:12" x14ac:dyDescent="0.2">
      <c r="A346" s="4">
        <v>43440</v>
      </c>
      <c r="B346" t="s">
        <v>48</v>
      </c>
      <c r="C346" s="28">
        <v>1</v>
      </c>
      <c r="D346" s="28">
        <v>1</v>
      </c>
      <c r="E346">
        <f t="shared" si="23"/>
        <v>33.333333333333336</v>
      </c>
      <c r="F346" t="s">
        <v>320</v>
      </c>
      <c r="G346" t="s">
        <v>885</v>
      </c>
      <c r="H346" s="9" t="s">
        <v>1071</v>
      </c>
      <c r="I346">
        <f t="shared" si="20"/>
        <v>33.333333333333336</v>
      </c>
      <c r="J346">
        <f t="shared" si="21"/>
        <v>15.119745666666669</v>
      </c>
      <c r="K346">
        <v>0.52500000000000002</v>
      </c>
      <c r="L346">
        <f t="shared" si="22"/>
        <v>7.9378664750000016</v>
      </c>
    </row>
    <row r="347" spans="1:12" x14ac:dyDescent="0.2">
      <c r="A347" s="4">
        <v>43440</v>
      </c>
      <c r="B347" t="s">
        <v>48</v>
      </c>
      <c r="C347" s="28">
        <v>2</v>
      </c>
      <c r="D347" s="28">
        <v>1</v>
      </c>
      <c r="E347">
        <f t="shared" si="23"/>
        <v>33.333333333333336</v>
      </c>
      <c r="F347" t="s">
        <v>321</v>
      </c>
      <c r="G347" t="s">
        <v>885</v>
      </c>
      <c r="H347" s="9" t="s">
        <v>1071</v>
      </c>
      <c r="I347">
        <f t="shared" si="20"/>
        <v>66.666666666666671</v>
      </c>
      <c r="J347">
        <f t="shared" si="21"/>
        <v>30.239491333333337</v>
      </c>
      <c r="K347">
        <v>0.52500000000000002</v>
      </c>
      <c r="L347">
        <f t="shared" si="22"/>
        <v>15.875732950000003</v>
      </c>
    </row>
    <row r="348" spans="1:12" x14ac:dyDescent="0.2">
      <c r="A348" s="4">
        <v>43440</v>
      </c>
      <c r="B348" t="s">
        <v>48</v>
      </c>
      <c r="C348" s="28">
        <v>1</v>
      </c>
      <c r="D348" s="28">
        <v>1</v>
      </c>
      <c r="E348">
        <v>20</v>
      </c>
      <c r="F348" t="s">
        <v>514</v>
      </c>
      <c r="G348" t="s">
        <v>887</v>
      </c>
      <c r="H348" s="9" t="s">
        <v>1071</v>
      </c>
      <c r="I348">
        <f t="shared" si="20"/>
        <v>20</v>
      </c>
      <c r="J348">
        <f t="shared" si="21"/>
        <v>9.0718474000000011</v>
      </c>
      <c r="K348">
        <v>0.52500000000000002</v>
      </c>
      <c r="L348">
        <f t="shared" si="22"/>
        <v>4.762719885000001</v>
      </c>
    </row>
    <row r="349" spans="1:12" x14ac:dyDescent="0.2">
      <c r="A349" s="4">
        <v>43434</v>
      </c>
      <c r="B349" t="s">
        <v>538</v>
      </c>
      <c r="C349">
        <v>1</v>
      </c>
      <c r="D349">
        <v>3</v>
      </c>
      <c r="E349">
        <v>5</v>
      </c>
      <c r="F349" t="s">
        <v>556</v>
      </c>
      <c r="G349" t="s">
        <v>909</v>
      </c>
      <c r="H349" s="9" t="s">
        <v>1071</v>
      </c>
      <c r="I349">
        <f t="shared" si="20"/>
        <v>15</v>
      </c>
      <c r="J349">
        <f t="shared" si="21"/>
        <v>6.8038855500000004</v>
      </c>
      <c r="K349">
        <v>0.87</v>
      </c>
      <c r="L349">
        <f t="shared" si="22"/>
        <v>5.9193804285000002</v>
      </c>
    </row>
    <row r="350" spans="1:12" x14ac:dyDescent="0.2">
      <c r="A350" s="4">
        <v>43439</v>
      </c>
      <c r="B350" t="s">
        <v>538</v>
      </c>
      <c r="C350">
        <v>1</v>
      </c>
      <c r="D350">
        <v>3</v>
      </c>
      <c r="E350">
        <v>5</v>
      </c>
      <c r="F350" t="s">
        <v>556</v>
      </c>
      <c r="G350" t="s">
        <v>909</v>
      </c>
      <c r="H350" s="9" t="s">
        <v>1071</v>
      </c>
      <c r="I350">
        <f t="shared" si="20"/>
        <v>15</v>
      </c>
      <c r="J350">
        <f t="shared" si="21"/>
        <v>6.8038855500000004</v>
      </c>
      <c r="K350">
        <v>0.87</v>
      </c>
      <c r="L350">
        <f t="shared" si="22"/>
        <v>5.9193804285000002</v>
      </c>
    </row>
    <row r="351" spans="1:12" x14ac:dyDescent="0.2">
      <c r="A351" s="4">
        <v>43434</v>
      </c>
      <c r="B351" t="s">
        <v>48</v>
      </c>
      <c r="C351" s="28">
        <v>1</v>
      </c>
      <c r="D351" s="28">
        <v>1</v>
      </c>
      <c r="E351">
        <f>10/9*30</f>
        <v>33.333333333333336</v>
      </c>
      <c r="F351" t="s">
        <v>320</v>
      </c>
      <c r="G351" t="s">
        <v>827</v>
      </c>
      <c r="H351" s="9" t="s">
        <v>1071</v>
      </c>
      <c r="I351">
        <f t="shared" si="20"/>
        <v>33.333333333333336</v>
      </c>
      <c r="J351">
        <f t="shared" si="21"/>
        <v>15.119745666666669</v>
      </c>
      <c r="K351">
        <v>0.52500000000000002</v>
      </c>
      <c r="L351">
        <f t="shared" si="22"/>
        <v>7.9378664750000016</v>
      </c>
    </row>
    <row r="352" spans="1:12" x14ac:dyDescent="0.2">
      <c r="A352" s="4">
        <v>43434</v>
      </c>
      <c r="B352" t="s">
        <v>538</v>
      </c>
      <c r="C352">
        <v>2</v>
      </c>
      <c r="D352">
        <v>12</v>
      </c>
      <c r="E352">
        <f>27/16</f>
        <v>1.6875</v>
      </c>
      <c r="F352" t="s">
        <v>555</v>
      </c>
      <c r="G352" t="s">
        <v>908</v>
      </c>
      <c r="H352" s="9" t="s">
        <v>1071</v>
      </c>
      <c r="I352">
        <f t="shared" si="20"/>
        <v>40.5</v>
      </c>
      <c r="J352">
        <f t="shared" si="21"/>
        <v>18.370490985</v>
      </c>
      <c r="K352">
        <v>0.79900000000000004</v>
      </c>
      <c r="L352">
        <f t="shared" si="22"/>
        <v>14.678022297015001</v>
      </c>
    </row>
    <row r="353" spans="1:13" x14ac:dyDescent="0.2">
      <c r="A353" s="4">
        <v>43434</v>
      </c>
      <c r="B353" t="s">
        <v>538</v>
      </c>
      <c r="C353">
        <v>2</v>
      </c>
      <c r="D353">
        <v>12</v>
      </c>
      <c r="E353">
        <f>7/16</f>
        <v>0.4375</v>
      </c>
      <c r="F353" t="s">
        <v>448</v>
      </c>
      <c r="G353" t="s">
        <v>908</v>
      </c>
      <c r="H353" s="9" t="s">
        <v>1071</v>
      </c>
      <c r="I353">
        <f t="shared" si="20"/>
        <v>10.5</v>
      </c>
      <c r="J353">
        <f t="shared" si="21"/>
        <v>4.7627198850000001</v>
      </c>
      <c r="K353">
        <v>0.79900000000000004</v>
      </c>
      <c r="L353">
        <f t="shared" si="22"/>
        <v>3.8054131881150002</v>
      </c>
    </row>
    <row r="354" spans="1:13" x14ac:dyDescent="0.2">
      <c r="A354" s="4">
        <v>43439</v>
      </c>
      <c r="B354" t="s">
        <v>538</v>
      </c>
      <c r="C354">
        <v>1</v>
      </c>
      <c r="D354">
        <v>4</v>
      </c>
      <c r="E354">
        <v>8.35</v>
      </c>
      <c r="F354" t="s">
        <v>541</v>
      </c>
      <c r="G354" t="s">
        <v>908</v>
      </c>
      <c r="H354" s="9" t="s">
        <v>1071</v>
      </c>
      <c r="I354">
        <f t="shared" si="20"/>
        <v>33.4</v>
      </c>
      <c r="J354">
        <f t="shared" si="21"/>
        <v>15.149985158</v>
      </c>
      <c r="K354">
        <v>0.79900000000000004</v>
      </c>
      <c r="L354">
        <f t="shared" si="22"/>
        <v>12.104838141242</v>
      </c>
    </row>
    <row r="355" spans="1:13" x14ac:dyDescent="0.2">
      <c r="A355" s="4">
        <v>43434</v>
      </c>
      <c r="B355" t="s">
        <v>538</v>
      </c>
      <c r="C355">
        <v>1</v>
      </c>
      <c r="D355">
        <v>4</v>
      </c>
      <c r="E355">
        <v>8.35</v>
      </c>
      <c r="F355" t="s">
        <v>541</v>
      </c>
      <c r="G355" t="s">
        <v>937</v>
      </c>
      <c r="H355" s="9" t="s">
        <v>1071</v>
      </c>
      <c r="I355">
        <f t="shared" si="20"/>
        <v>33.4</v>
      </c>
      <c r="J355">
        <f t="shared" si="21"/>
        <v>15.149985158</v>
      </c>
      <c r="K355">
        <v>0.79900000000000004</v>
      </c>
      <c r="L355">
        <f t="shared" si="22"/>
        <v>12.104838141242</v>
      </c>
    </row>
    <row r="356" spans="1:13" x14ac:dyDescent="0.2">
      <c r="A356" s="4">
        <v>43434</v>
      </c>
      <c r="B356" t="s">
        <v>48</v>
      </c>
      <c r="C356" s="28">
        <v>6</v>
      </c>
      <c r="D356" s="28">
        <v>1</v>
      </c>
      <c r="E356">
        <f>10*2</f>
        <v>20</v>
      </c>
      <c r="F356" t="s">
        <v>341</v>
      </c>
      <c r="G356" t="s">
        <v>793</v>
      </c>
      <c r="H356" s="9" t="s">
        <v>1071</v>
      </c>
      <c r="I356">
        <f t="shared" si="20"/>
        <v>120</v>
      </c>
      <c r="J356">
        <f t="shared" si="21"/>
        <v>54.431084400000003</v>
      </c>
      <c r="K356">
        <v>0.91400000000000003</v>
      </c>
      <c r="L356">
        <f t="shared" si="22"/>
        <v>49.750011141600005</v>
      </c>
    </row>
    <row r="357" spans="1:13" x14ac:dyDescent="0.2">
      <c r="A357" s="4">
        <v>43435</v>
      </c>
      <c r="B357" t="s">
        <v>48</v>
      </c>
      <c r="C357" s="28">
        <v>6</v>
      </c>
      <c r="D357" s="28">
        <v>1</v>
      </c>
      <c r="E357">
        <f>10*2</f>
        <v>20</v>
      </c>
      <c r="F357" t="s">
        <v>341</v>
      </c>
      <c r="G357" t="s">
        <v>793</v>
      </c>
      <c r="H357" s="9" t="s">
        <v>1071</v>
      </c>
      <c r="I357">
        <f t="shared" si="20"/>
        <v>120</v>
      </c>
      <c r="J357">
        <f t="shared" si="21"/>
        <v>54.431084400000003</v>
      </c>
      <c r="K357">
        <v>0.91400000000000003</v>
      </c>
      <c r="L357">
        <f t="shared" si="22"/>
        <v>49.750011141600005</v>
      </c>
    </row>
    <row r="358" spans="1:13" x14ac:dyDescent="0.2">
      <c r="A358" s="4">
        <v>43437</v>
      </c>
      <c r="B358" t="s">
        <v>48</v>
      </c>
      <c r="C358" s="28">
        <v>6</v>
      </c>
      <c r="D358" s="28">
        <v>1</v>
      </c>
      <c r="E358">
        <f>10*2</f>
        <v>20</v>
      </c>
      <c r="F358" t="s">
        <v>341</v>
      </c>
      <c r="G358" t="s">
        <v>793</v>
      </c>
      <c r="H358" s="9" t="s">
        <v>1071</v>
      </c>
      <c r="I358">
        <f t="shared" si="20"/>
        <v>120</v>
      </c>
      <c r="J358">
        <f t="shared" si="21"/>
        <v>54.431084400000003</v>
      </c>
      <c r="K358">
        <v>0.91400000000000003</v>
      </c>
      <c r="L358">
        <f t="shared" si="22"/>
        <v>49.750011141600005</v>
      </c>
    </row>
    <row r="359" spans="1:13" x14ac:dyDescent="0.2">
      <c r="A359" s="4">
        <v>43440</v>
      </c>
      <c r="B359" t="s">
        <v>48</v>
      </c>
      <c r="C359" s="28">
        <v>4</v>
      </c>
      <c r="D359" s="28">
        <v>1</v>
      </c>
      <c r="E359">
        <f>10*2</f>
        <v>20</v>
      </c>
      <c r="F359" t="s">
        <v>510</v>
      </c>
      <c r="G359" t="s">
        <v>758</v>
      </c>
      <c r="H359" s="9" t="s">
        <v>1071</v>
      </c>
      <c r="I359">
        <f t="shared" si="20"/>
        <v>80</v>
      </c>
      <c r="J359">
        <f t="shared" si="21"/>
        <v>36.287389600000004</v>
      </c>
      <c r="K359">
        <v>0.91400000000000003</v>
      </c>
      <c r="L359">
        <f t="shared" si="22"/>
        <v>33.166674094400008</v>
      </c>
    </row>
    <row r="360" spans="1:13" x14ac:dyDescent="0.2">
      <c r="A360" s="4">
        <v>43399</v>
      </c>
      <c r="B360" t="s">
        <v>13</v>
      </c>
      <c r="C360" s="37">
        <v>1</v>
      </c>
      <c r="D360" s="37">
        <v>1</v>
      </c>
      <c r="E360">
        <v>100</v>
      </c>
      <c r="F360" t="s">
        <v>19</v>
      </c>
      <c r="G360" t="s">
        <v>15</v>
      </c>
      <c r="H360" s="9" t="s">
        <v>1072</v>
      </c>
      <c r="I360">
        <f t="shared" si="20"/>
        <v>100</v>
      </c>
      <c r="J360">
        <f t="shared" si="21"/>
        <v>45.359237</v>
      </c>
      <c r="K360">
        <v>5.56</v>
      </c>
      <c r="L360">
        <f t="shared" si="22"/>
        <v>252.19735771999999</v>
      </c>
      <c r="M360" s="6"/>
    </row>
    <row r="361" spans="1:13" x14ac:dyDescent="0.2">
      <c r="A361" s="4">
        <v>43399</v>
      </c>
      <c r="B361" t="s">
        <v>13</v>
      </c>
      <c r="C361" s="37">
        <v>1</v>
      </c>
      <c r="D361" s="37">
        <v>1</v>
      </c>
      <c r="E361">
        <v>40</v>
      </c>
      <c r="F361" t="s">
        <v>14</v>
      </c>
      <c r="G361" t="s">
        <v>15</v>
      </c>
      <c r="H361" s="9" t="s">
        <v>1072</v>
      </c>
      <c r="I361">
        <f t="shared" si="20"/>
        <v>40</v>
      </c>
      <c r="J361">
        <f t="shared" si="21"/>
        <v>18.143694800000002</v>
      </c>
      <c r="K361">
        <v>5.56</v>
      </c>
      <c r="L361">
        <f t="shared" si="22"/>
        <v>100.878943088</v>
      </c>
      <c r="M361" s="6"/>
    </row>
    <row r="362" spans="1:13" x14ac:dyDescent="0.2">
      <c r="A362" s="4">
        <v>43399</v>
      </c>
      <c r="B362" t="s">
        <v>13</v>
      </c>
      <c r="C362" s="37">
        <v>1</v>
      </c>
      <c r="D362" s="37">
        <v>1</v>
      </c>
      <c r="E362">
        <v>100</v>
      </c>
      <c r="F362" t="s">
        <v>20</v>
      </c>
      <c r="G362" t="s">
        <v>15</v>
      </c>
      <c r="H362" s="9" t="s">
        <v>1072</v>
      </c>
      <c r="I362">
        <f t="shared" si="20"/>
        <v>100</v>
      </c>
      <c r="J362">
        <f t="shared" si="21"/>
        <v>45.359237</v>
      </c>
      <c r="K362">
        <v>5.56</v>
      </c>
      <c r="L362">
        <f t="shared" si="22"/>
        <v>252.19735771999999</v>
      </c>
      <c r="M362" s="6"/>
    </row>
    <row r="363" spans="1:13" x14ac:dyDescent="0.2">
      <c r="A363" s="4">
        <v>43399</v>
      </c>
      <c r="B363" t="s">
        <v>13</v>
      </c>
      <c r="C363" s="37">
        <v>1</v>
      </c>
      <c r="D363" s="37">
        <v>1</v>
      </c>
      <c r="E363">
        <v>40</v>
      </c>
      <c r="F363" t="s">
        <v>285</v>
      </c>
      <c r="G363" t="s">
        <v>15</v>
      </c>
      <c r="H363" s="9" t="s">
        <v>1072</v>
      </c>
      <c r="I363">
        <f t="shared" si="20"/>
        <v>40</v>
      </c>
      <c r="J363">
        <f t="shared" si="21"/>
        <v>18.143694800000002</v>
      </c>
      <c r="K363">
        <v>5.56</v>
      </c>
      <c r="L363">
        <f t="shared" si="22"/>
        <v>100.878943088</v>
      </c>
      <c r="M363" s="6"/>
    </row>
    <row r="364" spans="1:13" x14ac:dyDescent="0.2">
      <c r="A364" s="4">
        <v>43399</v>
      </c>
      <c r="B364" t="s">
        <v>13</v>
      </c>
      <c r="C364" s="37">
        <v>1</v>
      </c>
      <c r="D364" s="37">
        <v>1</v>
      </c>
      <c r="E364">
        <v>303.95</v>
      </c>
      <c r="F364" t="s">
        <v>286</v>
      </c>
      <c r="G364" t="s">
        <v>15</v>
      </c>
      <c r="H364" s="9" t="s">
        <v>1072</v>
      </c>
      <c r="I364">
        <f t="shared" si="20"/>
        <v>303.95</v>
      </c>
      <c r="J364">
        <f t="shared" si="21"/>
        <v>137.8694008615</v>
      </c>
      <c r="K364">
        <v>5.56</v>
      </c>
      <c r="L364">
        <f t="shared" si="22"/>
        <v>766.55386878993988</v>
      </c>
      <c r="M364" s="6"/>
    </row>
    <row r="365" spans="1:13" x14ac:dyDescent="0.2">
      <c r="A365" s="4">
        <v>43399</v>
      </c>
      <c r="B365" t="s">
        <v>13</v>
      </c>
      <c r="C365" s="37">
        <v>1</v>
      </c>
      <c r="D365" s="37">
        <v>1</v>
      </c>
      <c r="E365">
        <v>307.60000000000002</v>
      </c>
      <c r="F365" t="s">
        <v>287</v>
      </c>
      <c r="G365" t="s">
        <v>15</v>
      </c>
      <c r="H365" s="9" t="s">
        <v>1072</v>
      </c>
      <c r="I365">
        <f t="shared" si="20"/>
        <v>307.60000000000002</v>
      </c>
      <c r="J365">
        <f t="shared" si="21"/>
        <v>139.52501301200002</v>
      </c>
      <c r="K365">
        <v>5.56</v>
      </c>
      <c r="L365">
        <f t="shared" si="22"/>
        <v>775.75907234672002</v>
      </c>
      <c r="M365" s="6"/>
    </row>
    <row r="366" spans="1:13" x14ac:dyDescent="0.2">
      <c r="A366" s="4">
        <v>43399</v>
      </c>
      <c r="B366" t="s">
        <v>13</v>
      </c>
      <c r="C366" s="37">
        <v>1</v>
      </c>
      <c r="D366" s="37">
        <v>1</v>
      </c>
      <c r="E366">
        <v>60</v>
      </c>
      <c r="F366" t="s">
        <v>288</v>
      </c>
      <c r="G366" t="s">
        <v>15</v>
      </c>
      <c r="H366" s="9" t="s">
        <v>1072</v>
      </c>
      <c r="I366">
        <f t="shared" si="20"/>
        <v>60</v>
      </c>
      <c r="J366">
        <f t="shared" si="21"/>
        <v>27.215542200000002</v>
      </c>
      <c r="K366">
        <v>5.56</v>
      </c>
      <c r="L366">
        <f t="shared" si="22"/>
        <v>151.31841463199999</v>
      </c>
      <c r="M366" s="6"/>
    </row>
    <row r="367" spans="1:13" x14ac:dyDescent="0.2">
      <c r="A367" s="4">
        <v>43399</v>
      </c>
      <c r="B367" t="s">
        <v>13</v>
      </c>
      <c r="C367" s="37">
        <v>1</v>
      </c>
      <c r="D367" s="37">
        <v>1</v>
      </c>
      <c r="E367">
        <v>20</v>
      </c>
      <c r="F367" t="s">
        <v>18</v>
      </c>
      <c r="G367" t="s">
        <v>15</v>
      </c>
      <c r="H367" s="9" t="s">
        <v>1072</v>
      </c>
      <c r="I367">
        <f t="shared" si="20"/>
        <v>20</v>
      </c>
      <c r="J367">
        <f t="shared" si="21"/>
        <v>9.0718474000000011</v>
      </c>
      <c r="K367">
        <v>5.56</v>
      </c>
      <c r="L367">
        <f t="shared" si="22"/>
        <v>50.439471544</v>
      </c>
      <c r="M367" s="6"/>
    </row>
    <row r="368" spans="1:13" x14ac:dyDescent="0.2">
      <c r="A368" s="4">
        <v>43434</v>
      </c>
      <c r="B368" t="s">
        <v>525</v>
      </c>
      <c r="C368">
        <v>1</v>
      </c>
      <c r="D368">
        <v>1</v>
      </c>
      <c r="E368">
        <v>89.1</v>
      </c>
      <c r="F368" t="s">
        <v>396</v>
      </c>
      <c r="G368" t="s">
        <v>15</v>
      </c>
      <c r="H368" s="9" t="s">
        <v>1072</v>
      </c>
      <c r="I368">
        <f t="shared" si="20"/>
        <v>89.1</v>
      </c>
      <c r="J368">
        <f t="shared" si="21"/>
        <v>40.415080166999999</v>
      </c>
      <c r="K368">
        <v>5.56</v>
      </c>
      <c r="L368">
        <f t="shared" si="22"/>
        <v>224.70784572851997</v>
      </c>
    </row>
    <row r="369" spans="1:12" x14ac:dyDescent="0.2">
      <c r="A369" s="4">
        <v>43439</v>
      </c>
      <c r="B369" t="s">
        <v>525</v>
      </c>
      <c r="C369">
        <v>1</v>
      </c>
      <c r="D369">
        <v>1</v>
      </c>
      <c r="E369">
        <v>29.8</v>
      </c>
      <c r="F369" t="s">
        <v>396</v>
      </c>
      <c r="G369" t="s">
        <v>15</v>
      </c>
      <c r="H369" s="9" t="s">
        <v>1072</v>
      </c>
      <c r="I369">
        <f t="shared" si="20"/>
        <v>29.8</v>
      </c>
      <c r="J369">
        <f t="shared" si="21"/>
        <v>13.517052626000002</v>
      </c>
      <c r="K369">
        <v>5.56</v>
      </c>
      <c r="L369">
        <f t="shared" si="22"/>
        <v>75.154812600560007</v>
      </c>
    </row>
    <row r="370" spans="1:12" x14ac:dyDescent="0.2">
      <c r="A370" s="4">
        <v>43434</v>
      </c>
      <c r="B370" t="s">
        <v>48</v>
      </c>
      <c r="C370" s="28">
        <v>2</v>
      </c>
      <c r="D370">
        <v>1</v>
      </c>
      <c r="E370">
        <v>50</v>
      </c>
      <c r="F370" t="s">
        <v>343</v>
      </c>
      <c r="G370" t="s">
        <v>343</v>
      </c>
      <c r="H370" s="9" t="s">
        <v>1071</v>
      </c>
      <c r="I370">
        <f t="shared" si="20"/>
        <v>100</v>
      </c>
      <c r="J370">
        <f t="shared" si="21"/>
        <v>45.359237</v>
      </c>
      <c r="K370">
        <v>0.217</v>
      </c>
      <c r="L370">
        <f t="shared" si="22"/>
        <v>9.8429544290000006</v>
      </c>
    </row>
    <row r="371" spans="1:12" x14ac:dyDescent="0.2">
      <c r="A371" s="4">
        <v>43434</v>
      </c>
      <c r="B371" t="s">
        <v>48</v>
      </c>
      <c r="C371" s="28">
        <v>6</v>
      </c>
      <c r="D371">
        <v>1</v>
      </c>
      <c r="E371">
        <v>40</v>
      </c>
      <c r="F371" t="s">
        <v>343</v>
      </c>
      <c r="G371" t="s">
        <v>343</v>
      </c>
      <c r="H371" s="9" t="s">
        <v>1071</v>
      </c>
      <c r="I371">
        <f t="shared" si="20"/>
        <v>240</v>
      </c>
      <c r="J371">
        <f t="shared" si="21"/>
        <v>108.86216880000001</v>
      </c>
      <c r="K371">
        <v>0.217</v>
      </c>
      <c r="L371">
        <f t="shared" si="22"/>
        <v>23.6230906296</v>
      </c>
    </row>
    <row r="372" spans="1:12" x14ac:dyDescent="0.2">
      <c r="A372" s="4">
        <v>43434</v>
      </c>
      <c r="B372" t="s">
        <v>48</v>
      </c>
      <c r="C372" s="28">
        <v>4</v>
      </c>
      <c r="D372">
        <v>1</v>
      </c>
      <c r="E372">
        <v>50</v>
      </c>
      <c r="F372" t="s">
        <v>343</v>
      </c>
      <c r="G372" t="s">
        <v>343</v>
      </c>
      <c r="H372" s="9" t="s">
        <v>1071</v>
      </c>
      <c r="I372">
        <f t="shared" si="20"/>
        <v>200</v>
      </c>
      <c r="J372">
        <f t="shared" si="21"/>
        <v>90.718474000000001</v>
      </c>
      <c r="K372">
        <v>0.217</v>
      </c>
      <c r="L372">
        <f t="shared" si="22"/>
        <v>19.685908858000001</v>
      </c>
    </row>
    <row r="373" spans="1:12" x14ac:dyDescent="0.2">
      <c r="A373" s="4">
        <v>43435</v>
      </c>
      <c r="B373" t="s">
        <v>48</v>
      </c>
      <c r="C373" s="28">
        <v>2</v>
      </c>
      <c r="D373">
        <v>1</v>
      </c>
      <c r="E373">
        <v>50</v>
      </c>
      <c r="F373" t="s">
        <v>342</v>
      </c>
      <c r="G373" t="s">
        <v>343</v>
      </c>
      <c r="H373" s="9" t="s">
        <v>1071</v>
      </c>
      <c r="I373">
        <f t="shared" si="20"/>
        <v>100</v>
      </c>
      <c r="J373">
        <f t="shared" si="21"/>
        <v>45.359237</v>
      </c>
      <c r="K373">
        <v>0.217</v>
      </c>
      <c r="L373">
        <f t="shared" si="22"/>
        <v>9.8429544290000006</v>
      </c>
    </row>
    <row r="374" spans="1:12" x14ac:dyDescent="0.2">
      <c r="A374" s="4">
        <v>43435</v>
      </c>
      <c r="B374" t="s">
        <v>48</v>
      </c>
      <c r="C374" s="28">
        <v>2</v>
      </c>
      <c r="D374">
        <v>1</v>
      </c>
      <c r="E374">
        <v>50</v>
      </c>
      <c r="F374" t="s">
        <v>343</v>
      </c>
      <c r="G374" t="s">
        <v>343</v>
      </c>
      <c r="H374" s="9" t="s">
        <v>1071</v>
      </c>
      <c r="I374">
        <f t="shared" si="20"/>
        <v>100</v>
      </c>
      <c r="J374">
        <f t="shared" si="21"/>
        <v>45.359237</v>
      </c>
      <c r="K374">
        <v>0.217</v>
      </c>
      <c r="L374">
        <f t="shared" si="22"/>
        <v>9.8429544290000006</v>
      </c>
    </row>
    <row r="375" spans="1:12" x14ac:dyDescent="0.2">
      <c r="A375" s="4">
        <v>43439</v>
      </c>
      <c r="B375" t="s">
        <v>48</v>
      </c>
      <c r="C375" s="28">
        <v>4</v>
      </c>
      <c r="D375">
        <v>1</v>
      </c>
      <c r="E375">
        <v>50</v>
      </c>
      <c r="F375" t="s">
        <v>342</v>
      </c>
      <c r="G375" t="s">
        <v>343</v>
      </c>
      <c r="H375" s="9" t="s">
        <v>1071</v>
      </c>
      <c r="I375">
        <f t="shared" si="20"/>
        <v>200</v>
      </c>
      <c r="J375">
        <f t="shared" si="21"/>
        <v>90.718474000000001</v>
      </c>
      <c r="K375">
        <v>0.217</v>
      </c>
      <c r="L375">
        <f t="shared" si="22"/>
        <v>19.685908858000001</v>
      </c>
    </row>
    <row r="376" spans="1:12" x14ac:dyDescent="0.2">
      <c r="A376" s="4">
        <v>43440</v>
      </c>
      <c r="B376" t="s">
        <v>48</v>
      </c>
      <c r="C376" s="28">
        <v>4</v>
      </c>
      <c r="D376">
        <v>1</v>
      </c>
      <c r="E376">
        <v>50</v>
      </c>
      <c r="F376" t="s">
        <v>511</v>
      </c>
      <c r="G376" t="s">
        <v>759</v>
      </c>
      <c r="H376" s="9" t="s">
        <v>1071</v>
      </c>
      <c r="I376">
        <f t="shared" si="20"/>
        <v>200</v>
      </c>
      <c r="J376">
        <f t="shared" si="21"/>
        <v>90.718474000000001</v>
      </c>
      <c r="K376">
        <v>0.217</v>
      </c>
      <c r="L376">
        <f t="shared" si="22"/>
        <v>19.685908858000001</v>
      </c>
    </row>
    <row r="377" spans="1:12" x14ac:dyDescent="0.2">
      <c r="A377" s="4">
        <v>43440</v>
      </c>
      <c r="B377" t="s">
        <v>48</v>
      </c>
      <c r="C377" s="28">
        <v>4</v>
      </c>
      <c r="D377">
        <v>1</v>
      </c>
      <c r="E377">
        <v>50</v>
      </c>
      <c r="F377" t="s">
        <v>212</v>
      </c>
      <c r="G377" t="s">
        <v>759</v>
      </c>
      <c r="H377" s="9" t="s">
        <v>1071</v>
      </c>
      <c r="I377">
        <f t="shared" si="20"/>
        <v>200</v>
      </c>
      <c r="J377">
        <f t="shared" si="21"/>
        <v>90.718474000000001</v>
      </c>
      <c r="K377">
        <v>0.217</v>
      </c>
      <c r="L377">
        <f t="shared" si="22"/>
        <v>19.685908858000001</v>
      </c>
    </row>
    <row r="378" spans="1:12" x14ac:dyDescent="0.2">
      <c r="A378" s="4">
        <v>43434</v>
      </c>
      <c r="B378" t="s">
        <v>531</v>
      </c>
      <c r="C378">
        <v>4</v>
      </c>
      <c r="D378">
        <v>6</v>
      </c>
      <c r="E378">
        <v>6</v>
      </c>
      <c r="F378" t="s">
        <v>533</v>
      </c>
      <c r="G378" t="s">
        <v>854</v>
      </c>
      <c r="H378" s="9" t="s">
        <v>1071</v>
      </c>
      <c r="I378">
        <f t="shared" si="20"/>
        <v>144</v>
      </c>
      <c r="J378">
        <f t="shared" si="21"/>
        <v>65.317301279999995</v>
      </c>
      <c r="K378">
        <v>0.217</v>
      </c>
      <c r="L378">
        <f t="shared" si="22"/>
        <v>14.17385437776</v>
      </c>
    </row>
    <row r="379" spans="1:12" x14ac:dyDescent="0.2">
      <c r="A379" s="4">
        <v>43434</v>
      </c>
      <c r="B379" t="s">
        <v>531</v>
      </c>
      <c r="C379">
        <v>4</v>
      </c>
      <c r="D379">
        <v>6</v>
      </c>
      <c r="E379">
        <v>3</v>
      </c>
      <c r="F379" t="s">
        <v>404</v>
      </c>
      <c r="G379" t="s">
        <v>854</v>
      </c>
      <c r="H379" s="9" t="s">
        <v>1071</v>
      </c>
      <c r="I379">
        <f t="shared" si="20"/>
        <v>72</v>
      </c>
      <c r="J379">
        <f t="shared" si="21"/>
        <v>32.658650639999998</v>
      </c>
      <c r="K379">
        <v>0.217</v>
      </c>
      <c r="L379">
        <f t="shared" si="22"/>
        <v>7.0869271888799998</v>
      </c>
    </row>
    <row r="380" spans="1:12" x14ac:dyDescent="0.2">
      <c r="A380" s="4">
        <v>43434</v>
      </c>
      <c r="B380" t="s">
        <v>531</v>
      </c>
      <c r="C380">
        <v>6</v>
      </c>
      <c r="D380">
        <v>6</v>
      </c>
      <c r="E380">
        <v>5</v>
      </c>
      <c r="F380" t="s">
        <v>419</v>
      </c>
      <c r="G380" t="s">
        <v>854</v>
      </c>
      <c r="H380" s="9" t="s">
        <v>1071</v>
      </c>
      <c r="I380">
        <f t="shared" si="20"/>
        <v>180</v>
      </c>
      <c r="J380">
        <f t="shared" si="21"/>
        <v>81.646626600000005</v>
      </c>
      <c r="K380">
        <v>0.217</v>
      </c>
      <c r="L380">
        <f t="shared" si="22"/>
        <v>17.7173179722</v>
      </c>
    </row>
    <row r="381" spans="1:12" x14ac:dyDescent="0.2">
      <c r="A381" s="4">
        <v>43437</v>
      </c>
      <c r="B381" t="s">
        <v>531</v>
      </c>
      <c r="C381">
        <v>4</v>
      </c>
      <c r="D381">
        <v>6</v>
      </c>
      <c r="E381">
        <v>6</v>
      </c>
      <c r="F381" t="s">
        <v>533</v>
      </c>
      <c r="G381" t="s">
        <v>854</v>
      </c>
      <c r="H381" s="9" t="s">
        <v>1071</v>
      </c>
      <c r="I381">
        <f t="shared" ref="I381:I444" si="24">C381*D381*E381</f>
        <v>144</v>
      </c>
      <c r="J381">
        <f t="shared" si="21"/>
        <v>65.317301279999995</v>
      </c>
      <c r="K381">
        <v>0.217</v>
      </c>
      <c r="L381">
        <f t="shared" si="22"/>
        <v>14.17385437776</v>
      </c>
    </row>
    <row r="382" spans="1:12" x14ac:dyDescent="0.2">
      <c r="A382" s="4">
        <v>43437</v>
      </c>
      <c r="B382" t="s">
        <v>531</v>
      </c>
      <c r="C382">
        <v>4</v>
      </c>
      <c r="D382">
        <v>6</v>
      </c>
      <c r="E382">
        <v>3</v>
      </c>
      <c r="F382" t="s">
        <v>404</v>
      </c>
      <c r="G382" t="s">
        <v>854</v>
      </c>
      <c r="H382" s="9" t="s">
        <v>1071</v>
      </c>
      <c r="I382">
        <f t="shared" si="24"/>
        <v>72</v>
      </c>
      <c r="J382">
        <f t="shared" si="21"/>
        <v>32.658650639999998</v>
      </c>
      <c r="K382">
        <v>0.217</v>
      </c>
      <c r="L382">
        <f t="shared" si="22"/>
        <v>7.0869271888799998</v>
      </c>
    </row>
    <row r="383" spans="1:12" x14ac:dyDescent="0.2">
      <c r="A383" s="4">
        <v>43437</v>
      </c>
      <c r="B383" t="s">
        <v>531</v>
      </c>
      <c r="C383">
        <v>4</v>
      </c>
      <c r="D383">
        <v>6</v>
      </c>
      <c r="E383">
        <v>5</v>
      </c>
      <c r="F383" t="s">
        <v>406</v>
      </c>
      <c r="G383" t="s">
        <v>854</v>
      </c>
      <c r="H383" s="9" t="s">
        <v>1071</v>
      </c>
      <c r="I383">
        <f t="shared" si="24"/>
        <v>120</v>
      </c>
      <c r="J383">
        <f t="shared" si="21"/>
        <v>54.431084400000003</v>
      </c>
      <c r="K383">
        <v>0.217</v>
      </c>
      <c r="L383">
        <f t="shared" si="22"/>
        <v>11.8115453148</v>
      </c>
    </row>
    <row r="384" spans="1:12" x14ac:dyDescent="0.2">
      <c r="A384" s="4">
        <v>43439</v>
      </c>
      <c r="B384" t="s">
        <v>531</v>
      </c>
      <c r="C384">
        <v>4</v>
      </c>
      <c r="D384">
        <v>6</v>
      </c>
      <c r="E384">
        <v>5</v>
      </c>
      <c r="F384" t="s">
        <v>403</v>
      </c>
      <c r="G384" t="s">
        <v>854</v>
      </c>
      <c r="H384" s="9" t="s">
        <v>1071</v>
      </c>
      <c r="I384">
        <f t="shared" si="24"/>
        <v>120</v>
      </c>
      <c r="J384">
        <f t="shared" si="21"/>
        <v>54.431084400000003</v>
      </c>
      <c r="K384">
        <v>0.217</v>
      </c>
      <c r="L384">
        <f t="shared" si="22"/>
        <v>11.8115453148</v>
      </c>
    </row>
    <row r="385" spans="1:12" x14ac:dyDescent="0.2">
      <c r="A385" s="4">
        <v>43439</v>
      </c>
      <c r="B385" t="s">
        <v>531</v>
      </c>
      <c r="C385">
        <v>4</v>
      </c>
      <c r="D385">
        <v>6</v>
      </c>
      <c r="E385">
        <v>5</v>
      </c>
      <c r="F385" t="s">
        <v>406</v>
      </c>
      <c r="G385" t="s">
        <v>854</v>
      </c>
      <c r="H385" s="9" t="s">
        <v>1071</v>
      </c>
      <c r="I385">
        <f t="shared" si="24"/>
        <v>120</v>
      </c>
      <c r="J385">
        <f t="shared" si="21"/>
        <v>54.431084400000003</v>
      </c>
      <c r="K385">
        <v>0.217</v>
      </c>
      <c r="L385">
        <f t="shared" si="22"/>
        <v>11.8115453148</v>
      </c>
    </row>
    <row r="386" spans="1:12" x14ac:dyDescent="0.2">
      <c r="A386" s="4">
        <v>43439</v>
      </c>
      <c r="B386" t="s">
        <v>531</v>
      </c>
      <c r="C386">
        <v>8</v>
      </c>
      <c r="D386">
        <v>6</v>
      </c>
      <c r="E386">
        <v>5</v>
      </c>
      <c r="F386" t="s">
        <v>419</v>
      </c>
      <c r="G386" t="s">
        <v>854</v>
      </c>
      <c r="H386" s="9" t="s">
        <v>1071</v>
      </c>
      <c r="I386">
        <f t="shared" si="24"/>
        <v>240</v>
      </c>
      <c r="J386">
        <f t="shared" si="21"/>
        <v>108.86216880000001</v>
      </c>
      <c r="K386">
        <v>0.217</v>
      </c>
      <c r="L386">
        <f t="shared" si="22"/>
        <v>23.6230906296</v>
      </c>
    </row>
    <row r="387" spans="1:12" x14ac:dyDescent="0.2">
      <c r="A387" s="4">
        <v>43437</v>
      </c>
      <c r="B387" t="s">
        <v>531</v>
      </c>
      <c r="C387">
        <v>4</v>
      </c>
      <c r="D387">
        <v>6</v>
      </c>
      <c r="E387">
        <v>5</v>
      </c>
      <c r="F387" t="s">
        <v>412</v>
      </c>
      <c r="G387" t="s">
        <v>914</v>
      </c>
      <c r="H387" s="9" t="s">
        <v>1071</v>
      </c>
      <c r="I387">
        <f t="shared" si="24"/>
        <v>120</v>
      </c>
      <c r="J387">
        <f t="shared" ref="J387:J450" si="25">CONVERT(I387,"lbm","kg")</f>
        <v>54.431084400000003</v>
      </c>
      <c r="K387">
        <v>1.5449999999999999</v>
      </c>
      <c r="L387">
        <f t="shared" ref="L387:L450" si="26">J387*K387</f>
        <v>84.096025397999995</v>
      </c>
    </row>
    <row r="388" spans="1:12" x14ac:dyDescent="0.2">
      <c r="A388" s="4">
        <v>43439</v>
      </c>
      <c r="B388" t="s">
        <v>538</v>
      </c>
      <c r="C388">
        <v>1</v>
      </c>
      <c r="D388">
        <v>24</v>
      </c>
      <c r="E388">
        <f>15/16</f>
        <v>0.9375</v>
      </c>
      <c r="F388" t="s">
        <v>590</v>
      </c>
      <c r="G388" t="s">
        <v>882</v>
      </c>
      <c r="H388" s="9" t="s">
        <v>1071</v>
      </c>
      <c r="I388">
        <f t="shared" si="24"/>
        <v>22.5</v>
      </c>
      <c r="J388">
        <f t="shared" si="25"/>
        <v>10.205828325000001</v>
      </c>
      <c r="K388">
        <v>0.68400000000000005</v>
      </c>
      <c r="L388">
        <f t="shared" si="26"/>
        <v>6.9807865743000006</v>
      </c>
    </row>
    <row r="389" spans="1:12" x14ac:dyDescent="0.2">
      <c r="A389" s="4">
        <v>43439</v>
      </c>
      <c r="B389" t="s">
        <v>538</v>
      </c>
      <c r="C389">
        <v>1</v>
      </c>
      <c r="D389">
        <v>1</v>
      </c>
      <c r="E389">
        <v>30</v>
      </c>
      <c r="F389" t="s">
        <v>593</v>
      </c>
      <c r="G389" t="s">
        <v>882</v>
      </c>
      <c r="H389" s="9" t="s">
        <v>1071</v>
      </c>
      <c r="I389">
        <f t="shared" si="24"/>
        <v>30</v>
      </c>
      <c r="J389">
        <f t="shared" si="25"/>
        <v>13.607771100000001</v>
      </c>
      <c r="K389">
        <v>0.68400000000000005</v>
      </c>
      <c r="L389">
        <f t="shared" si="26"/>
        <v>9.307715432400002</v>
      </c>
    </row>
    <row r="390" spans="1:12" x14ac:dyDescent="0.2">
      <c r="A390" s="4">
        <v>43434</v>
      </c>
      <c r="B390" t="s">
        <v>538</v>
      </c>
      <c r="C390">
        <v>8</v>
      </c>
      <c r="D390">
        <v>1</v>
      </c>
      <c r="E390">
        <v>25</v>
      </c>
      <c r="F390" t="s">
        <v>424</v>
      </c>
      <c r="G390" t="s">
        <v>859</v>
      </c>
      <c r="H390" s="9" t="s">
        <v>1071</v>
      </c>
      <c r="I390">
        <f t="shared" si="24"/>
        <v>200</v>
      </c>
      <c r="J390">
        <f t="shared" si="25"/>
        <v>90.718474000000001</v>
      </c>
      <c r="K390">
        <v>1.5409999999999999</v>
      </c>
      <c r="L390">
        <f t="shared" si="26"/>
        <v>139.79716843399999</v>
      </c>
    </row>
    <row r="391" spans="1:12" x14ac:dyDescent="0.2">
      <c r="A391" s="4">
        <v>43434</v>
      </c>
      <c r="B391" t="s">
        <v>538</v>
      </c>
      <c r="C391">
        <v>4</v>
      </c>
      <c r="D391">
        <v>2</v>
      </c>
      <c r="E391">
        <v>5</v>
      </c>
      <c r="F391" t="s">
        <v>429</v>
      </c>
      <c r="G391" t="s">
        <v>859</v>
      </c>
      <c r="H391" s="9" t="s">
        <v>1071</v>
      </c>
      <c r="I391">
        <f t="shared" si="24"/>
        <v>40</v>
      </c>
      <c r="J391">
        <f t="shared" si="25"/>
        <v>18.143694800000002</v>
      </c>
      <c r="K391">
        <v>1.5409999999999999</v>
      </c>
      <c r="L391">
        <f t="shared" si="26"/>
        <v>27.959433686800001</v>
      </c>
    </row>
    <row r="392" spans="1:12" x14ac:dyDescent="0.2">
      <c r="A392" s="4">
        <v>43434</v>
      </c>
      <c r="B392" t="s">
        <v>538</v>
      </c>
      <c r="C392">
        <v>4</v>
      </c>
      <c r="D392">
        <v>1</v>
      </c>
      <c r="E392">
        <v>25</v>
      </c>
      <c r="F392" t="s">
        <v>452</v>
      </c>
      <c r="G392" t="s">
        <v>859</v>
      </c>
      <c r="H392" s="9" t="s">
        <v>1071</v>
      </c>
      <c r="I392">
        <f t="shared" si="24"/>
        <v>100</v>
      </c>
      <c r="J392">
        <f t="shared" si="25"/>
        <v>45.359237</v>
      </c>
      <c r="K392">
        <v>1.5409999999999999</v>
      </c>
      <c r="L392">
        <f t="shared" si="26"/>
        <v>69.898584216999993</v>
      </c>
    </row>
    <row r="393" spans="1:12" x14ac:dyDescent="0.2">
      <c r="A393" s="4">
        <v>43434</v>
      </c>
      <c r="B393" t="s">
        <v>538</v>
      </c>
      <c r="C393">
        <v>4</v>
      </c>
      <c r="D393">
        <v>2</v>
      </c>
      <c r="E393">
        <v>5</v>
      </c>
      <c r="F393" t="s">
        <v>564</v>
      </c>
      <c r="G393" t="s">
        <v>859</v>
      </c>
      <c r="H393" s="9" t="s">
        <v>1071</v>
      </c>
      <c r="I393">
        <f t="shared" si="24"/>
        <v>40</v>
      </c>
      <c r="J393">
        <f t="shared" si="25"/>
        <v>18.143694800000002</v>
      </c>
      <c r="K393">
        <v>1.5409999999999999</v>
      </c>
      <c r="L393">
        <f t="shared" si="26"/>
        <v>27.959433686800001</v>
      </c>
    </row>
    <row r="394" spans="1:12" x14ac:dyDescent="0.2">
      <c r="A394" s="4">
        <v>43437</v>
      </c>
      <c r="B394" t="s">
        <v>538</v>
      </c>
      <c r="C394">
        <v>3</v>
      </c>
      <c r="D394">
        <v>1</v>
      </c>
      <c r="E394">
        <v>25</v>
      </c>
      <c r="F394" t="s">
        <v>424</v>
      </c>
      <c r="G394" t="s">
        <v>859</v>
      </c>
      <c r="H394" s="9" t="s">
        <v>1071</v>
      </c>
      <c r="I394">
        <f t="shared" si="24"/>
        <v>75</v>
      </c>
      <c r="J394">
        <f t="shared" si="25"/>
        <v>34.019427750000006</v>
      </c>
      <c r="K394">
        <v>1.5409999999999999</v>
      </c>
      <c r="L394">
        <f t="shared" si="26"/>
        <v>52.423938162750005</v>
      </c>
    </row>
    <row r="395" spans="1:12" x14ac:dyDescent="0.2">
      <c r="A395" s="4">
        <v>43437</v>
      </c>
      <c r="B395" t="s">
        <v>538</v>
      </c>
      <c r="C395">
        <v>3</v>
      </c>
      <c r="D395">
        <v>2</v>
      </c>
      <c r="E395">
        <v>5</v>
      </c>
      <c r="F395" t="s">
        <v>429</v>
      </c>
      <c r="G395" t="s">
        <v>859</v>
      </c>
      <c r="H395" s="9" t="s">
        <v>1071</v>
      </c>
      <c r="I395">
        <f t="shared" si="24"/>
        <v>30</v>
      </c>
      <c r="J395">
        <f t="shared" si="25"/>
        <v>13.607771100000001</v>
      </c>
      <c r="K395">
        <v>1.5409999999999999</v>
      </c>
      <c r="L395">
        <f t="shared" si="26"/>
        <v>20.969575265100001</v>
      </c>
    </row>
    <row r="396" spans="1:12" x14ac:dyDescent="0.2">
      <c r="A396" s="4">
        <v>43437</v>
      </c>
      <c r="B396" t="s">
        <v>538</v>
      </c>
      <c r="C396">
        <v>2</v>
      </c>
      <c r="D396">
        <v>1</v>
      </c>
      <c r="E396">
        <v>25</v>
      </c>
      <c r="F396" t="s">
        <v>452</v>
      </c>
      <c r="G396" t="s">
        <v>859</v>
      </c>
      <c r="H396" s="9" t="s">
        <v>1071</v>
      </c>
      <c r="I396">
        <f t="shared" si="24"/>
        <v>50</v>
      </c>
      <c r="J396">
        <f t="shared" si="25"/>
        <v>22.6796185</v>
      </c>
      <c r="K396">
        <v>1.5409999999999999</v>
      </c>
      <c r="L396">
        <f t="shared" si="26"/>
        <v>34.949292108499996</v>
      </c>
    </row>
    <row r="397" spans="1:12" x14ac:dyDescent="0.2">
      <c r="A397" s="4">
        <v>43437</v>
      </c>
      <c r="B397" t="s">
        <v>538</v>
      </c>
      <c r="C397">
        <v>1</v>
      </c>
      <c r="D397">
        <v>1</v>
      </c>
      <c r="E397">
        <v>50</v>
      </c>
      <c r="F397" t="s">
        <v>459</v>
      </c>
      <c r="G397" t="s">
        <v>859</v>
      </c>
      <c r="H397" s="9" t="s">
        <v>1071</v>
      </c>
      <c r="I397">
        <f t="shared" si="24"/>
        <v>50</v>
      </c>
      <c r="J397">
        <f t="shared" si="25"/>
        <v>22.6796185</v>
      </c>
      <c r="K397">
        <v>1.5409999999999999</v>
      </c>
      <c r="L397">
        <f t="shared" si="26"/>
        <v>34.949292108499996</v>
      </c>
    </row>
    <row r="398" spans="1:12" x14ac:dyDescent="0.2">
      <c r="A398" s="4">
        <v>43439</v>
      </c>
      <c r="B398" t="s">
        <v>538</v>
      </c>
      <c r="C398">
        <v>4</v>
      </c>
      <c r="D398">
        <v>1</v>
      </c>
      <c r="E398">
        <v>25</v>
      </c>
      <c r="F398" t="s">
        <v>424</v>
      </c>
      <c r="G398" t="s">
        <v>859</v>
      </c>
      <c r="H398" s="9" t="s">
        <v>1071</v>
      </c>
      <c r="I398">
        <f t="shared" si="24"/>
        <v>100</v>
      </c>
      <c r="J398">
        <f t="shared" si="25"/>
        <v>45.359237</v>
      </c>
      <c r="K398">
        <v>1.5409999999999999</v>
      </c>
      <c r="L398">
        <f t="shared" si="26"/>
        <v>69.898584216999993</v>
      </c>
    </row>
    <row r="399" spans="1:12" x14ac:dyDescent="0.2">
      <c r="A399" s="4">
        <v>43439</v>
      </c>
      <c r="B399" t="s">
        <v>538</v>
      </c>
      <c r="C399">
        <v>3</v>
      </c>
      <c r="D399">
        <v>1</v>
      </c>
      <c r="E399">
        <v>25</v>
      </c>
      <c r="F399" t="s">
        <v>452</v>
      </c>
      <c r="G399" t="s">
        <v>859</v>
      </c>
      <c r="H399" s="9" t="s">
        <v>1071</v>
      </c>
      <c r="I399">
        <f t="shared" si="24"/>
        <v>75</v>
      </c>
      <c r="J399">
        <f t="shared" si="25"/>
        <v>34.019427750000006</v>
      </c>
      <c r="K399">
        <v>1.5409999999999999</v>
      </c>
      <c r="L399">
        <f t="shared" si="26"/>
        <v>52.423938162750005</v>
      </c>
    </row>
    <row r="400" spans="1:12" x14ac:dyDescent="0.2">
      <c r="A400" s="4">
        <v>43439</v>
      </c>
      <c r="B400" t="s">
        <v>538</v>
      </c>
      <c r="C400">
        <v>1</v>
      </c>
      <c r="D400">
        <v>1</v>
      </c>
      <c r="E400">
        <v>50</v>
      </c>
      <c r="F400" t="s">
        <v>459</v>
      </c>
      <c r="G400" t="s">
        <v>859</v>
      </c>
      <c r="H400" s="9" t="s">
        <v>1071</v>
      </c>
      <c r="I400">
        <f t="shared" si="24"/>
        <v>50</v>
      </c>
      <c r="J400">
        <f t="shared" si="25"/>
        <v>22.6796185</v>
      </c>
      <c r="K400">
        <v>1.5409999999999999</v>
      </c>
      <c r="L400">
        <f t="shared" si="26"/>
        <v>34.949292108499996</v>
      </c>
    </row>
    <row r="401" spans="1:12" x14ac:dyDescent="0.2">
      <c r="A401" s="4">
        <v>43434</v>
      </c>
      <c r="B401" t="s">
        <v>48</v>
      </c>
      <c r="C401" s="28">
        <v>1</v>
      </c>
      <c r="D401" s="28">
        <v>1</v>
      </c>
      <c r="E401">
        <f>48*1</f>
        <v>48</v>
      </c>
      <c r="F401" t="s">
        <v>345</v>
      </c>
      <c r="G401" t="s">
        <v>795</v>
      </c>
      <c r="H401" s="9" t="s">
        <v>1071</v>
      </c>
      <c r="I401">
        <f t="shared" si="24"/>
        <v>48</v>
      </c>
      <c r="J401">
        <f t="shared" si="25"/>
        <v>21.772433760000002</v>
      </c>
      <c r="K401">
        <v>0.158</v>
      </c>
      <c r="L401">
        <f t="shared" si="26"/>
        <v>3.4400445340800005</v>
      </c>
    </row>
    <row r="402" spans="1:12" x14ac:dyDescent="0.2">
      <c r="A402" s="4">
        <v>43434</v>
      </c>
      <c r="B402" t="s">
        <v>538</v>
      </c>
      <c r="C402">
        <v>1</v>
      </c>
      <c r="D402">
        <v>4</v>
      </c>
      <c r="E402">
        <v>7.9</v>
      </c>
      <c r="F402" t="s">
        <v>550</v>
      </c>
      <c r="G402" t="s">
        <v>906</v>
      </c>
      <c r="H402" s="9" t="s">
        <v>1071</v>
      </c>
      <c r="I402">
        <f t="shared" si="24"/>
        <v>31.6</v>
      </c>
      <c r="J402">
        <f t="shared" si="25"/>
        <v>14.333518892000003</v>
      </c>
      <c r="K402">
        <v>2.3340000000000001</v>
      </c>
      <c r="L402">
        <f t="shared" si="26"/>
        <v>33.45443309392801</v>
      </c>
    </row>
    <row r="403" spans="1:12" x14ac:dyDescent="0.2">
      <c r="A403" s="4">
        <v>43437</v>
      </c>
      <c r="B403" t="s">
        <v>48</v>
      </c>
      <c r="C403" s="28">
        <v>1</v>
      </c>
      <c r="D403" s="28">
        <v>1</v>
      </c>
      <c r="E403">
        <f>4*4.54</f>
        <v>18.16</v>
      </c>
      <c r="F403" t="s">
        <v>492</v>
      </c>
      <c r="G403" t="s">
        <v>838</v>
      </c>
      <c r="H403" s="9" t="s">
        <v>1071</v>
      </c>
      <c r="I403">
        <f t="shared" si="24"/>
        <v>18.16</v>
      </c>
      <c r="J403">
        <f t="shared" si="25"/>
        <v>8.2372374392000012</v>
      </c>
      <c r="K403">
        <v>0.27500000000000002</v>
      </c>
      <c r="L403">
        <f t="shared" si="26"/>
        <v>2.2652402957800004</v>
      </c>
    </row>
    <row r="404" spans="1:12" x14ac:dyDescent="0.2">
      <c r="A404" s="4">
        <v>43438</v>
      </c>
      <c r="B404" t="s">
        <v>48</v>
      </c>
      <c r="C404" s="28">
        <v>1</v>
      </c>
      <c r="D404" s="28">
        <v>1</v>
      </c>
      <c r="E404">
        <v>20</v>
      </c>
      <c r="F404" t="s">
        <v>501</v>
      </c>
      <c r="G404" t="s">
        <v>840</v>
      </c>
      <c r="H404" s="9" t="s">
        <v>1071</v>
      </c>
      <c r="I404">
        <f t="shared" si="24"/>
        <v>20</v>
      </c>
      <c r="J404">
        <f t="shared" si="25"/>
        <v>9.0718474000000011</v>
      </c>
      <c r="K404">
        <f>(0.092*0.219)/2</f>
        <v>1.0074E-2</v>
      </c>
      <c r="L404">
        <f t="shared" si="26"/>
        <v>9.1389790707600005E-2</v>
      </c>
    </row>
    <row r="405" spans="1:12" x14ac:dyDescent="0.2">
      <c r="A405" s="10">
        <v>43404</v>
      </c>
      <c r="B405" s="9" t="s">
        <v>946</v>
      </c>
      <c r="C405" s="37">
        <v>1</v>
      </c>
      <c r="D405" s="37">
        <v>1</v>
      </c>
      <c r="E405" s="9">
        <v>100</v>
      </c>
      <c r="F405" s="36" t="s">
        <v>1006</v>
      </c>
      <c r="G405" s="9" t="s">
        <v>951</v>
      </c>
      <c r="H405" s="9" t="s">
        <v>1071</v>
      </c>
      <c r="I405">
        <f t="shared" si="24"/>
        <v>100</v>
      </c>
      <c r="J405">
        <f t="shared" si="25"/>
        <v>45.359237</v>
      </c>
      <c r="K405" s="9">
        <v>0.63900000000000001</v>
      </c>
      <c r="L405">
        <f t="shared" si="26"/>
        <v>28.984552443000002</v>
      </c>
    </row>
    <row r="406" spans="1:12" x14ac:dyDescent="0.2">
      <c r="A406" s="4">
        <v>43434</v>
      </c>
      <c r="B406" t="s">
        <v>517</v>
      </c>
      <c r="C406">
        <v>3</v>
      </c>
      <c r="D406">
        <v>1</v>
      </c>
      <c r="E406">
        <f>2.5*8.6</f>
        <v>21.5</v>
      </c>
      <c r="F406" t="s">
        <v>463</v>
      </c>
      <c r="G406" t="s">
        <v>933</v>
      </c>
      <c r="H406" s="9" t="s">
        <v>1071</v>
      </c>
      <c r="I406">
        <f t="shared" si="24"/>
        <v>64.5</v>
      </c>
      <c r="J406">
        <f t="shared" si="25"/>
        <v>29.256707864999999</v>
      </c>
      <c r="K406">
        <v>0.25800000000000001</v>
      </c>
      <c r="L406">
        <f t="shared" si="26"/>
        <v>7.5482306291699999</v>
      </c>
    </row>
    <row r="407" spans="1:12" x14ac:dyDescent="0.2">
      <c r="A407" s="4">
        <v>43434</v>
      </c>
      <c r="B407" t="s">
        <v>517</v>
      </c>
      <c r="C407">
        <v>3</v>
      </c>
      <c r="D407">
        <v>1</v>
      </c>
      <c r="E407">
        <f>2.5*8.6</f>
        <v>21.5</v>
      </c>
      <c r="F407" t="s">
        <v>464</v>
      </c>
      <c r="G407" t="s">
        <v>933</v>
      </c>
      <c r="H407" s="9" t="s">
        <v>1071</v>
      </c>
      <c r="I407">
        <f t="shared" si="24"/>
        <v>64.5</v>
      </c>
      <c r="J407">
        <f t="shared" si="25"/>
        <v>29.256707864999999</v>
      </c>
      <c r="K407">
        <v>0.25800000000000001</v>
      </c>
      <c r="L407">
        <f t="shared" si="26"/>
        <v>7.5482306291699999</v>
      </c>
    </row>
    <row r="408" spans="1:12" x14ac:dyDescent="0.2">
      <c r="A408" s="4">
        <v>43434</v>
      </c>
      <c r="B408" t="s">
        <v>517</v>
      </c>
      <c r="C408">
        <v>1</v>
      </c>
      <c r="D408">
        <v>12</v>
      </c>
      <c r="E408">
        <f>2</f>
        <v>2</v>
      </c>
      <c r="F408" t="s">
        <v>520</v>
      </c>
      <c r="G408" t="s">
        <v>933</v>
      </c>
      <c r="H408" s="9" t="s">
        <v>1071</v>
      </c>
      <c r="I408">
        <f t="shared" si="24"/>
        <v>24</v>
      </c>
      <c r="J408">
        <f t="shared" si="25"/>
        <v>10.886216880000001</v>
      </c>
      <c r="K408">
        <v>0.25800000000000001</v>
      </c>
      <c r="L408">
        <f t="shared" si="26"/>
        <v>2.8086439550400004</v>
      </c>
    </row>
    <row r="409" spans="1:12" x14ac:dyDescent="0.2">
      <c r="A409" s="4">
        <v>43437</v>
      </c>
      <c r="B409" t="s">
        <v>517</v>
      </c>
      <c r="C409">
        <v>2</v>
      </c>
      <c r="D409">
        <v>1</v>
      </c>
      <c r="E409">
        <f>2.5*8.6</f>
        <v>21.5</v>
      </c>
      <c r="F409" t="s">
        <v>463</v>
      </c>
      <c r="G409" t="s">
        <v>933</v>
      </c>
      <c r="H409" s="9" t="s">
        <v>1071</v>
      </c>
      <c r="I409">
        <f t="shared" si="24"/>
        <v>43</v>
      </c>
      <c r="J409">
        <f t="shared" si="25"/>
        <v>19.504471909999999</v>
      </c>
      <c r="K409">
        <v>0.25800000000000001</v>
      </c>
      <c r="L409">
        <f t="shared" si="26"/>
        <v>5.0321537527800002</v>
      </c>
    </row>
    <row r="410" spans="1:12" x14ac:dyDescent="0.2">
      <c r="A410" s="4">
        <v>43437</v>
      </c>
      <c r="B410" t="s">
        <v>517</v>
      </c>
      <c r="C410">
        <v>1</v>
      </c>
      <c r="D410">
        <v>1</v>
      </c>
      <c r="E410">
        <f>2.5*8.6</f>
        <v>21.5</v>
      </c>
      <c r="F410" t="s">
        <v>464</v>
      </c>
      <c r="G410" t="s">
        <v>933</v>
      </c>
      <c r="H410" s="9" t="s">
        <v>1071</v>
      </c>
      <c r="I410">
        <f t="shared" si="24"/>
        <v>21.5</v>
      </c>
      <c r="J410">
        <f t="shared" si="25"/>
        <v>9.7522359549999997</v>
      </c>
      <c r="K410">
        <v>0.25800000000000001</v>
      </c>
      <c r="L410">
        <f t="shared" si="26"/>
        <v>2.5160768763900001</v>
      </c>
    </row>
    <row r="411" spans="1:12" x14ac:dyDescent="0.2">
      <c r="A411" s="4">
        <v>43439</v>
      </c>
      <c r="B411" t="s">
        <v>517</v>
      </c>
      <c r="C411">
        <v>2</v>
      </c>
      <c r="D411">
        <v>1</v>
      </c>
      <c r="E411">
        <f>2.5*8.6</f>
        <v>21.5</v>
      </c>
      <c r="F411" t="s">
        <v>463</v>
      </c>
      <c r="G411" t="s">
        <v>933</v>
      </c>
      <c r="H411" s="9" t="s">
        <v>1071</v>
      </c>
      <c r="I411">
        <f t="shared" si="24"/>
        <v>43</v>
      </c>
      <c r="J411">
        <f t="shared" si="25"/>
        <v>19.504471909999999</v>
      </c>
      <c r="K411">
        <v>0.25800000000000001</v>
      </c>
      <c r="L411">
        <f t="shared" si="26"/>
        <v>5.0321537527800002</v>
      </c>
    </row>
    <row r="412" spans="1:12" x14ac:dyDescent="0.2">
      <c r="A412" s="4">
        <v>43439</v>
      </c>
      <c r="B412" t="s">
        <v>517</v>
      </c>
      <c r="C412">
        <v>2</v>
      </c>
      <c r="D412">
        <v>1</v>
      </c>
      <c r="E412">
        <f>2.5*8.6</f>
        <v>21.5</v>
      </c>
      <c r="F412" t="s">
        <v>464</v>
      </c>
      <c r="G412" t="s">
        <v>933</v>
      </c>
      <c r="H412" s="9" t="s">
        <v>1071</v>
      </c>
      <c r="I412">
        <f t="shared" si="24"/>
        <v>43</v>
      </c>
      <c r="J412">
        <f t="shared" si="25"/>
        <v>19.504471909999999</v>
      </c>
      <c r="K412">
        <v>0.25800000000000001</v>
      </c>
      <c r="L412">
        <f t="shared" si="26"/>
        <v>5.0321537527800002</v>
      </c>
    </row>
    <row r="413" spans="1:12" x14ac:dyDescent="0.2">
      <c r="A413" s="4">
        <v>43437</v>
      </c>
      <c r="B413" t="s">
        <v>538</v>
      </c>
      <c r="C413">
        <v>3</v>
      </c>
      <c r="D413">
        <v>6</v>
      </c>
      <c r="E413">
        <f>14/16</f>
        <v>0.875</v>
      </c>
      <c r="F413" t="s">
        <v>581</v>
      </c>
      <c r="G413" t="s">
        <v>869</v>
      </c>
      <c r="H413" s="9" t="s">
        <v>1071</v>
      </c>
      <c r="I413">
        <f t="shared" si="24"/>
        <v>15.75</v>
      </c>
      <c r="J413">
        <f t="shared" si="25"/>
        <v>7.1440798275000006</v>
      </c>
      <c r="K413">
        <v>0.87</v>
      </c>
      <c r="L413">
        <f t="shared" si="26"/>
        <v>6.2153494499250002</v>
      </c>
    </row>
    <row r="414" spans="1:12" x14ac:dyDescent="0.2">
      <c r="A414" s="4">
        <v>43437</v>
      </c>
      <c r="B414" t="s">
        <v>538</v>
      </c>
      <c r="C414">
        <v>3</v>
      </c>
      <c r="D414">
        <v>6</v>
      </c>
      <c r="E414">
        <v>1</v>
      </c>
      <c r="F414" t="s">
        <v>582</v>
      </c>
      <c r="G414" t="s">
        <v>869</v>
      </c>
      <c r="H414" s="9" t="s">
        <v>1071</v>
      </c>
      <c r="I414">
        <f t="shared" si="24"/>
        <v>18</v>
      </c>
      <c r="J414">
        <f t="shared" si="25"/>
        <v>8.1646626599999994</v>
      </c>
      <c r="K414">
        <v>0.87</v>
      </c>
      <c r="L414">
        <f t="shared" si="26"/>
        <v>7.103256514199999</v>
      </c>
    </row>
    <row r="415" spans="1:12" x14ac:dyDescent="0.2">
      <c r="A415" s="4">
        <v>43439</v>
      </c>
      <c r="B415" t="s">
        <v>538</v>
      </c>
      <c r="C415">
        <v>3</v>
      </c>
      <c r="D415">
        <v>6</v>
      </c>
      <c r="E415">
        <f>18/16</f>
        <v>1.125</v>
      </c>
      <c r="F415" t="s">
        <v>597</v>
      </c>
      <c r="G415" t="s">
        <v>869</v>
      </c>
      <c r="H415" s="9" t="s">
        <v>1071</v>
      </c>
      <c r="I415">
        <f t="shared" si="24"/>
        <v>20.25</v>
      </c>
      <c r="J415">
        <f t="shared" si="25"/>
        <v>9.1852454925</v>
      </c>
      <c r="K415">
        <v>0.87</v>
      </c>
      <c r="L415">
        <f t="shared" si="26"/>
        <v>7.9911635784749997</v>
      </c>
    </row>
    <row r="416" spans="1:12" x14ac:dyDescent="0.2">
      <c r="A416" s="4">
        <v>43439</v>
      </c>
      <c r="B416" t="s">
        <v>538</v>
      </c>
      <c r="C416">
        <v>3</v>
      </c>
      <c r="D416">
        <v>6</v>
      </c>
      <c r="E416">
        <f>14/16</f>
        <v>0.875</v>
      </c>
      <c r="F416" t="s">
        <v>581</v>
      </c>
      <c r="G416" t="s">
        <v>869</v>
      </c>
      <c r="H416" s="9" t="s">
        <v>1071</v>
      </c>
      <c r="I416">
        <f t="shared" si="24"/>
        <v>15.75</v>
      </c>
      <c r="J416">
        <f t="shared" si="25"/>
        <v>7.1440798275000006</v>
      </c>
      <c r="K416">
        <v>0.87</v>
      </c>
      <c r="L416">
        <f t="shared" si="26"/>
        <v>6.2153494499250002</v>
      </c>
    </row>
    <row r="417" spans="1:12" x14ac:dyDescent="0.2">
      <c r="A417" s="4">
        <v>43439</v>
      </c>
      <c r="B417" t="s">
        <v>538</v>
      </c>
      <c r="C417">
        <v>1</v>
      </c>
      <c r="D417">
        <v>3</v>
      </c>
      <c r="E417">
        <v>7.25</v>
      </c>
      <c r="F417" t="s">
        <v>554</v>
      </c>
      <c r="G417" t="s">
        <v>869</v>
      </c>
      <c r="H417" s="9" t="s">
        <v>1071</v>
      </c>
      <c r="I417">
        <f t="shared" si="24"/>
        <v>21.75</v>
      </c>
      <c r="J417">
        <f t="shared" si="25"/>
        <v>9.8656340475000004</v>
      </c>
      <c r="K417">
        <v>0.87</v>
      </c>
      <c r="L417">
        <f t="shared" si="26"/>
        <v>8.5831016213249995</v>
      </c>
    </row>
    <row r="418" spans="1:12" x14ac:dyDescent="0.2">
      <c r="A418" s="4">
        <v>43439</v>
      </c>
      <c r="B418" t="s">
        <v>538</v>
      </c>
      <c r="C418">
        <v>3</v>
      </c>
      <c r="D418">
        <v>6</v>
      </c>
      <c r="E418">
        <f>20/16</f>
        <v>1.25</v>
      </c>
      <c r="F418" t="s">
        <v>598</v>
      </c>
      <c r="G418" t="s">
        <v>869</v>
      </c>
      <c r="H418" s="9" t="s">
        <v>1071</v>
      </c>
      <c r="I418">
        <f t="shared" si="24"/>
        <v>22.5</v>
      </c>
      <c r="J418">
        <f t="shared" si="25"/>
        <v>10.205828325000001</v>
      </c>
      <c r="K418">
        <v>0.87</v>
      </c>
      <c r="L418">
        <f t="shared" si="26"/>
        <v>8.8790706427500012</v>
      </c>
    </row>
    <row r="419" spans="1:12" x14ac:dyDescent="0.2">
      <c r="A419" s="4">
        <v>43434</v>
      </c>
      <c r="B419" t="s">
        <v>538</v>
      </c>
      <c r="C419">
        <v>2</v>
      </c>
      <c r="D419">
        <v>6</v>
      </c>
      <c r="E419">
        <f>18/16</f>
        <v>1.125</v>
      </c>
      <c r="F419" t="s">
        <v>552</v>
      </c>
      <c r="G419" t="s">
        <v>907</v>
      </c>
      <c r="H419" s="9" t="s">
        <v>1071</v>
      </c>
      <c r="I419">
        <f t="shared" si="24"/>
        <v>13.5</v>
      </c>
      <c r="J419">
        <f t="shared" si="25"/>
        <v>6.1234969950000009</v>
      </c>
      <c r="K419">
        <v>0.87</v>
      </c>
      <c r="L419">
        <f t="shared" si="26"/>
        <v>5.3274423856500004</v>
      </c>
    </row>
    <row r="420" spans="1:12" x14ac:dyDescent="0.2">
      <c r="A420" s="4">
        <v>43434</v>
      </c>
      <c r="B420" t="s">
        <v>538</v>
      </c>
      <c r="C420">
        <v>1</v>
      </c>
      <c r="D420">
        <v>6</v>
      </c>
      <c r="E420">
        <v>1</v>
      </c>
      <c r="F420" t="s">
        <v>553</v>
      </c>
      <c r="G420" t="s">
        <v>907</v>
      </c>
      <c r="H420" s="9" t="s">
        <v>1071</v>
      </c>
      <c r="I420">
        <f t="shared" si="24"/>
        <v>6</v>
      </c>
      <c r="J420">
        <f t="shared" si="25"/>
        <v>2.7215542200000002</v>
      </c>
      <c r="K420">
        <v>0.87</v>
      </c>
      <c r="L420">
        <f t="shared" si="26"/>
        <v>2.3677521714000003</v>
      </c>
    </row>
    <row r="421" spans="1:12" x14ac:dyDescent="0.2">
      <c r="A421" s="4">
        <v>43434</v>
      </c>
      <c r="B421" t="s">
        <v>538</v>
      </c>
      <c r="C421">
        <v>1</v>
      </c>
      <c r="D421">
        <v>3</v>
      </c>
      <c r="E421">
        <v>7.25</v>
      </c>
      <c r="F421" t="s">
        <v>554</v>
      </c>
      <c r="G421" t="s">
        <v>907</v>
      </c>
      <c r="H421" s="9" t="s">
        <v>1071</v>
      </c>
      <c r="I421">
        <f t="shared" si="24"/>
        <v>21.75</v>
      </c>
      <c r="J421">
        <f t="shared" si="25"/>
        <v>9.8656340475000004</v>
      </c>
      <c r="K421">
        <v>0.87</v>
      </c>
      <c r="L421">
        <f t="shared" si="26"/>
        <v>8.5831016213249995</v>
      </c>
    </row>
    <row r="422" spans="1:12" x14ac:dyDescent="0.2">
      <c r="A422" s="4">
        <v>43434</v>
      </c>
      <c r="B422" t="s">
        <v>538</v>
      </c>
      <c r="C422">
        <v>1</v>
      </c>
      <c r="D422">
        <v>12</v>
      </c>
      <c r="E422">
        <v>3</v>
      </c>
      <c r="F422" t="s">
        <v>451</v>
      </c>
      <c r="G422" t="s">
        <v>907</v>
      </c>
      <c r="H422" s="9" t="s">
        <v>1071</v>
      </c>
      <c r="I422">
        <f t="shared" si="24"/>
        <v>36</v>
      </c>
      <c r="J422">
        <f t="shared" si="25"/>
        <v>16.329325319999999</v>
      </c>
      <c r="K422">
        <v>0.87</v>
      </c>
      <c r="L422">
        <f t="shared" si="26"/>
        <v>14.206513028399998</v>
      </c>
    </row>
    <row r="423" spans="1:12" x14ac:dyDescent="0.2">
      <c r="A423" s="4">
        <v>43434</v>
      </c>
      <c r="B423" t="s">
        <v>538</v>
      </c>
      <c r="C423">
        <v>2</v>
      </c>
      <c r="D423">
        <v>6</v>
      </c>
      <c r="E423">
        <f>24/16</f>
        <v>1.5</v>
      </c>
      <c r="F423" t="s">
        <v>562</v>
      </c>
      <c r="G423" t="s">
        <v>907</v>
      </c>
      <c r="H423" s="9" t="s">
        <v>1071</v>
      </c>
      <c r="I423">
        <f t="shared" si="24"/>
        <v>18</v>
      </c>
      <c r="J423">
        <f t="shared" si="25"/>
        <v>8.1646626599999994</v>
      </c>
      <c r="K423">
        <v>0.87</v>
      </c>
      <c r="L423">
        <f t="shared" si="26"/>
        <v>7.103256514199999</v>
      </c>
    </row>
    <row r="424" spans="1:12" x14ac:dyDescent="0.2">
      <c r="A424" s="4">
        <v>43434</v>
      </c>
      <c r="B424" t="s">
        <v>538</v>
      </c>
      <c r="C424">
        <v>1</v>
      </c>
      <c r="D424">
        <v>6</v>
      </c>
      <c r="E424">
        <f>6.25/16</f>
        <v>0.390625</v>
      </c>
      <c r="F424" t="s">
        <v>567</v>
      </c>
      <c r="G424" t="s">
        <v>907</v>
      </c>
      <c r="H424" s="9" t="s">
        <v>1071</v>
      </c>
      <c r="I424">
        <f t="shared" si="24"/>
        <v>2.34375</v>
      </c>
      <c r="J424">
        <f t="shared" si="25"/>
        <v>1.0631071171875002</v>
      </c>
      <c r="K424">
        <v>0.87</v>
      </c>
      <c r="L424">
        <f t="shared" si="26"/>
        <v>0.92490319195312509</v>
      </c>
    </row>
    <row r="425" spans="1:12" x14ac:dyDescent="0.2">
      <c r="A425" s="4">
        <v>43437</v>
      </c>
      <c r="B425" t="s">
        <v>538</v>
      </c>
      <c r="C425">
        <v>2</v>
      </c>
      <c r="D425">
        <v>6</v>
      </c>
      <c r="E425">
        <f>18/16</f>
        <v>1.125</v>
      </c>
      <c r="F425" t="s">
        <v>583</v>
      </c>
      <c r="G425" t="s">
        <v>907</v>
      </c>
      <c r="H425" s="9" t="s">
        <v>1071</v>
      </c>
      <c r="I425">
        <f t="shared" si="24"/>
        <v>13.5</v>
      </c>
      <c r="J425">
        <f t="shared" si="25"/>
        <v>6.1234969950000009</v>
      </c>
      <c r="K425">
        <v>0.87</v>
      </c>
      <c r="L425">
        <f t="shared" si="26"/>
        <v>5.3274423856500004</v>
      </c>
    </row>
    <row r="426" spans="1:12" x14ac:dyDescent="0.2">
      <c r="A426" s="4">
        <v>43437</v>
      </c>
      <c r="B426" t="s">
        <v>538</v>
      </c>
      <c r="C426">
        <v>1</v>
      </c>
      <c r="D426">
        <v>12</v>
      </c>
      <c r="E426">
        <v>3</v>
      </c>
      <c r="F426" t="s">
        <v>451</v>
      </c>
      <c r="G426" t="s">
        <v>907</v>
      </c>
      <c r="H426" s="9" t="s">
        <v>1071</v>
      </c>
      <c r="I426">
        <f t="shared" si="24"/>
        <v>36</v>
      </c>
      <c r="J426">
        <f t="shared" si="25"/>
        <v>16.329325319999999</v>
      </c>
      <c r="K426">
        <v>0.87</v>
      </c>
      <c r="L426">
        <f t="shared" si="26"/>
        <v>14.206513028399998</v>
      </c>
    </row>
    <row r="427" spans="1:12" x14ac:dyDescent="0.2">
      <c r="A427" s="4">
        <v>43439</v>
      </c>
      <c r="B427" t="s">
        <v>538</v>
      </c>
      <c r="C427">
        <v>2</v>
      </c>
      <c r="D427">
        <v>12</v>
      </c>
      <c r="E427">
        <v>3</v>
      </c>
      <c r="F427" t="s">
        <v>451</v>
      </c>
      <c r="G427" t="s">
        <v>907</v>
      </c>
      <c r="H427" s="9" t="s">
        <v>1071</v>
      </c>
      <c r="I427">
        <f t="shared" si="24"/>
        <v>72</v>
      </c>
      <c r="J427">
        <f t="shared" si="25"/>
        <v>32.658650639999998</v>
      </c>
      <c r="K427">
        <v>0.87</v>
      </c>
      <c r="L427">
        <f t="shared" si="26"/>
        <v>28.413026056799996</v>
      </c>
    </row>
    <row r="428" spans="1:12" x14ac:dyDescent="0.2">
      <c r="A428" s="4">
        <v>43435</v>
      </c>
      <c r="B428" t="s">
        <v>48</v>
      </c>
      <c r="C428" s="28">
        <v>7</v>
      </c>
      <c r="D428" s="28">
        <v>1</v>
      </c>
      <c r="E428">
        <f>4*2.5</f>
        <v>10</v>
      </c>
      <c r="F428" t="s">
        <v>330</v>
      </c>
      <c r="G428" t="s">
        <v>815</v>
      </c>
      <c r="H428" s="9" t="s">
        <v>1071</v>
      </c>
      <c r="I428">
        <f t="shared" si="24"/>
        <v>70</v>
      </c>
      <c r="J428">
        <f t="shared" si="25"/>
        <v>31.751465900000003</v>
      </c>
      <c r="K428">
        <v>0.307</v>
      </c>
      <c r="L428">
        <f t="shared" si="26"/>
        <v>9.7477000313000008</v>
      </c>
    </row>
    <row r="429" spans="1:12" x14ac:dyDescent="0.2">
      <c r="A429" s="4">
        <v>43437</v>
      </c>
      <c r="B429" t="s">
        <v>48</v>
      </c>
      <c r="C429" s="28">
        <v>6</v>
      </c>
      <c r="D429" s="28">
        <v>1</v>
      </c>
      <c r="E429">
        <f>4*2.5</f>
        <v>10</v>
      </c>
      <c r="F429" t="s">
        <v>330</v>
      </c>
      <c r="G429" t="s">
        <v>815</v>
      </c>
      <c r="H429" s="9" t="s">
        <v>1071</v>
      </c>
      <c r="I429">
        <f t="shared" si="24"/>
        <v>60</v>
      </c>
      <c r="J429">
        <f t="shared" si="25"/>
        <v>27.215542200000002</v>
      </c>
      <c r="K429">
        <v>0.307</v>
      </c>
      <c r="L429">
        <f t="shared" si="26"/>
        <v>8.3551714554000007</v>
      </c>
    </row>
    <row r="430" spans="1:12" x14ac:dyDescent="0.2">
      <c r="A430" s="4">
        <v>43438</v>
      </c>
      <c r="B430" t="s">
        <v>48</v>
      </c>
      <c r="C430" s="28">
        <v>7</v>
      </c>
      <c r="D430" s="28">
        <v>1</v>
      </c>
      <c r="E430">
        <f>4*2.5</f>
        <v>10</v>
      </c>
      <c r="F430" t="s">
        <v>330</v>
      </c>
      <c r="G430" t="s">
        <v>815</v>
      </c>
      <c r="H430" s="9" t="s">
        <v>1071</v>
      </c>
      <c r="I430">
        <f t="shared" si="24"/>
        <v>70</v>
      </c>
      <c r="J430">
        <f t="shared" si="25"/>
        <v>31.751465900000003</v>
      </c>
      <c r="K430">
        <v>0.307</v>
      </c>
      <c r="L430">
        <f t="shared" si="26"/>
        <v>9.7477000313000008</v>
      </c>
    </row>
    <row r="431" spans="1:12" x14ac:dyDescent="0.2">
      <c r="A431" s="4">
        <v>43439</v>
      </c>
      <c r="B431" t="s">
        <v>48</v>
      </c>
      <c r="C431" s="28">
        <v>3</v>
      </c>
      <c r="D431" s="28">
        <v>1</v>
      </c>
      <c r="E431">
        <f>4*2.5</f>
        <v>10</v>
      </c>
      <c r="F431" t="s">
        <v>330</v>
      </c>
      <c r="G431" t="s">
        <v>815</v>
      </c>
      <c r="H431" s="9" t="s">
        <v>1071</v>
      </c>
      <c r="I431">
        <f t="shared" si="24"/>
        <v>30</v>
      </c>
      <c r="J431">
        <f t="shared" si="25"/>
        <v>13.607771100000001</v>
      </c>
      <c r="K431">
        <v>0.307</v>
      </c>
      <c r="L431">
        <f t="shared" si="26"/>
        <v>4.1775857277000004</v>
      </c>
    </row>
    <row r="432" spans="1:12" x14ac:dyDescent="0.2">
      <c r="A432" s="4">
        <v>43440</v>
      </c>
      <c r="B432" t="s">
        <v>48</v>
      </c>
      <c r="C432" s="28">
        <v>3</v>
      </c>
      <c r="D432" s="28">
        <v>1</v>
      </c>
      <c r="E432">
        <v>10</v>
      </c>
      <c r="F432" t="s">
        <v>515</v>
      </c>
      <c r="G432" t="s">
        <v>763</v>
      </c>
      <c r="H432" s="9" t="s">
        <v>1071</v>
      </c>
      <c r="I432">
        <f t="shared" si="24"/>
        <v>30</v>
      </c>
      <c r="J432">
        <f t="shared" si="25"/>
        <v>13.607771100000001</v>
      </c>
      <c r="K432">
        <v>0.307</v>
      </c>
      <c r="L432">
        <f t="shared" si="26"/>
        <v>4.1775857277000004</v>
      </c>
    </row>
    <row r="433" spans="1:12" x14ac:dyDescent="0.2">
      <c r="A433" s="4">
        <v>43434</v>
      </c>
      <c r="B433" t="s">
        <v>48</v>
      </c>
      <c r="C433" s="28">
        <v>3</v>
      </c>
      <c r="D433" s="28">
        <v>1</v>
      </c>
      <c r="E433">
        <v>20</v>
      </c>
      <c r="F433" t="s">
        <v>486</v>
      </c>
      <c r="G433" t="s">
        <v>796</v>
      </c>
      <c r="H433" s="9" t="s">
        <v>1071</v>
      </c>
      <c r="I433">
        <f t="shared" si="24"/>
        <v>60</v>
      </c>
      <c r="J433">
        <f t="shared" si="25"/>
        <v>27.215542200000002</v>
      </c>
      <c r="K433">
        <v>1.2290000000000001</v>
      </c>
      <c r="L433">
        <f t="shared" si="26"/>
        <v>33.447901363800007</v>
      </c>
    </row>
    <row r="434" spans="1:12" x14ac:dyDescent="0.2">
      <c r="A434" s="4">
        <v>43434</v>
      </c>
      <c r="B434" t="s">
        <v>48</v>
      </c>
      <c r="C434" s="28">
        <v>3</v>
      </c>
      <c r="D434" s="28">
        <v>1</v>
      </c>
      <c r="E434">
        <f>3/4*44</f>
        <v>33</v>
      </c>
      <c r="F434" t="s">
        <v>331</v>
      </c>
      <c r="G434" t="s">
        <v>796</v>
      </c>
      <c r="H434" s="9" t="s">
        <v>1071</v>
      </c>
      <c r="I434">
        <f t="shared" si="24"/>
        <v>99</v>
      </c>
      <c r="J434">
        <f t="shared" si="25"/>
        <v>44.905644630000005</v>
      </c>
      <c r="K434">
        <v>1.2290000000000001</v>
      </c>
      <c r="L434">
        <f t="shared" si="26"/>
        <v>55.189037250270012</v>
      </c>
    </row>
    <row r="435" spans="1:12" x14ac:dyDescent="0.2">
      <c r="A435" s="4">
        <v>43434</v>
      </c>
      <c r="B435" t="s">
        <v>48</v>
      </c>
      <c r="C435" s="28">
        <v>2</v>
      </c>
      <c r="D435" s="28">
        <v>1</v>
      </c>
      <c r="E435">
        <f>1/2*44</f>
        <v>22</v>
      </c>
      <c r="F435" t="s">
        <v>332</v>
      </c>
      <c r="G435" t="s">
        <v>796</v>
      </c>
      <c r="H435" s="9" t="s">
        <v>1071</v>
      </c>
      <c r="I435">
        <f t="shared" si="24"/>
        <v>44</v>
      </c>
      <c r="J435">
        <f t="shared" si="25"/>
        <v>19.958064280000002</v>
      </c>
      <c r="K435">
        <v>1.2290000000000001</v>
      </c>
      <c r="L435">
        <f t="shared" si="26"/>
        <v>24.528461000120004</v>
      </c>
    </row>
    <row r="436" spans="1:12" x14ac:dyDescent="0.2">
      <c r="A436" s="4">
        <v>43435</v>
      </c>
      <c r="B436" t="s">
        <v>48</v>
      </c>
      <c r="C436" s="28">
        <v>4</v>
      </c>
      <c r="D436" s="28">
        <v>1</v>
      </c>
      <c r="E436">
        <f>3/4*44</f>
        <v>33</v>
      </c>
      <c r="F436" t="s">
        <v>331</v>
      </c>
      <c r="G436" t="s">
        <v>796</v>
      </c>
      <c r="H436" s="9" t="s">
        <v>1071</v>
      </c>
      <c r="I436">
        <f t="shared" si="24"/>
        <v>132</v>
      </c>
      <c r="J436">
        <f t="shared" si="25"/>
        <v>59.874192840000006</v>
      </c>
      <c r="K436">
        <v>1.2290000000000001</v>
      </c>
      <c r="L436">
        <f t="shared" si="26"/>
        <v>73.585383000360011</v>
      </c>
    </row>
    <row r="437" spans="1:12" x14ac:dyDescent="0.2">
      <c r="A437" s="4">
        <v>43435</v>
      </c>
      <c r="B437" t="s">
        <v>48</v>
      </c>
      <c r="C437" s="28">
        <v>5</v>
      </c>
      <c r="D437" s="28">
        <v>1</v>
      </c>
      <c r="E437">
        <f>1/2*44</f>
        <v>22</v>
      </c>
      <c r="F437" t="s">
        <v>332</v>
      </c>
      <c r="G437" t="s">
        <v>796</v>
      </c>
      <c r="H437" s="9" t="s">
        <v>1071</v>
      </c>
      <c r="I437">
        <f t="shared" si="24"/>
        <v>110</v>
      </c>
      <c r="J437">
        <f t="shared" si="25"/>
        <v>49.895160699999998</v>
      </c>
      <c r="K437">
        <v>1.2290000000000001</v>
      </c>
      <c r="L437">
        <f t="shared" si="26"/>
        <v>61.321152500300002</v>
      </c>
    </row>
    <row r="438" spans="1:12" x14ac:dyDescent="0.2">
      <c r="A438" s="4">
        <v>43437</v>
      </c>
      <c r="B438" t="s">
        <v>48</v>
      </c>
      <c r="C438" s="28">
        <v>3</v>
      </c>
      <c r="D438" s="28">
        <v>1</v>
      </c>
      <c r="E438">
        <v>20</v>
      </c>
      <c r="F438" t="s">
        <v>349</v>
      </c>
      <c r="G438" t="s">
        <v>796</v>
      </c>
      <c r="H438" s="9" t="s">
        <v>1071</v>
      </c>
      <c r="I438">
        <f t="shared" si="24"/>
        <v>60</v>
      </c>
      <c r="J438">
        <f t="shared" si="25"/>
        <v>27.215542200000002</v>
      </c>
      <c r="K438">
        <v>1.2290000000000001</v>
      </c>
      <c r="L438">
        <f t="shared" si="26"/>
        <v>33.447901363800007</v>
      </c>
    </row>
    <row r="439" spans="1:12" x14ac:dyDescent="0.2">
      <c r="A439" s="4">
        <v>43437</v>
      </c>
      <c r="B439" t="s">
        <v>48</v>
      </c>
      <c r="C439" s="28">
        <v>3</v>
      </c>
      <c r="D439" s="28">
        <v>1</v>
      </c>
      <c r="E439">
        <v>20</v>
      </c>
      <c r="F439" t="s">
        <v>491</v>
      </c>
      <c r="G439" t="s">
        <v>796</v>
      </c>
      <c r="H439" s="9" t="s">
        <v>1071</v>
      </c>
      <c r="I439">
        <f t="shared" si="24"/>
        <v>60</v>
      </c>
      <c r="J439">
        <f t="shared" si="25"/>
        <v>27.215542200000002</v>
      </c>
      <c r="K439">
        <v>1.2290000000000001</v>
      </c>
      <c r="L439">
        <f t="shared" si="26"/>
        <v>33.447901363800007</v>
      </c>
    </row>
    <row r="440" spans="1:12" x14ac:dyDescent="0.2">
      <c r="A440" s="4">
        <v>43438</v>
      </c>
      <c r="B440" t="s">
        <v>48</v>
      </c>
      <c r="C440" s="28">
        <v>2</v>
      </c>
      <c r="D440" s="28">
        <v>1</v>
      </c>
      <c r="E440">
        <v>20</v>
      </c>
      <c r="F440" t="s">
        <v>502</v>
      </c>
      <c r="G440" t="s">
        <v>796</v>
      </c>
      <c r="H440" s="9" t="s">
        <v>1071</v>
      </c>
      <c r="I440">
        <f t="shared" si="24"/>
        <v>40</v>
      </c>
      <c r="J440">
        <f t="shared" si="25"/>
        <v>18.143694800000002</v>
      </c>
      <c r="K440">
        <v>1.2290000000000001</v>
      </c>
      <c r="L440">
        <f t="shared" si="26"/>
        <v>22.298600909200005</v>
      </c>
    </row>
    <row r="441" spans="1:12" x14ac:dyDescent="0.2">
      <c r="A441" s="4">
        <v>43438</v>
      </c>
      <c r="B441" t="s">
        <v>48</v>
      </c>
      <c r="C441" s="28">
        <v>2</v>
      </c>
      <c r="D441" s="28">
        <v>1</v>
      </c>
      <c r="E441">
        <f>3/4*44</f>
        <v>33</v>
      </c>
      <c r="F441" t="s">
        <v>331</v>
      </c>
      <c r="G441" t="s">
        <v>796</v>
      </c>
      <c r="H441" s="9" t="s">
        <v>1071</v>
      </c>
      <c r="I441">
        <f t="shared" si="24"/>
        <v>66</v>
      </c>
      <c r="J441">
        <f t="shared" si="25"/>
        <v>29.937096420000003</v>
      </c>
      <c r="K441">
        <v>1.2290000000000001</v>
      </c>
      <c r="L441">
        <f t="shared" si="26"/>
        <v>36.792691500180005</v>
      </c>
    </row>
    <row r="442" spans="1:12" x14ac:dyDescent="0.2">
      <c r="A442" s="4">
        <v>43438</v>
      </c>
      <c r="B442" t="s">
        <v>48</v>
      </c>
      <c r="C442" s="28">
        <v>4</v>
      </c>
      <c r="D442" s="28">
        <v>1</v>
      </c>
      <c r="E442">
        <f>1/2*44</f>
        <v>22</v>
      </c>
      <c r="F442" t="s">
        <v>332</v>
      </c>
      <c r="G442" t="s">
        <v>796</v>
      </c>
      <c r="H442" s="9" t="s">
        <v>1071</v>
      </c>
      <c r="I442">
        <f t="shared" si="24"/>
        <v>88</v>
      </c>
      <c r="J442">
        <f t="shared" si="25"/>
        <v>39.916128560000004</v>
      </c>
      <c r="K442">
        <v>1.2290000000000001</v>
      </c>
      <c r="L442">
        <f t="shared" si="26"/>
        <v>49.056922000240007</v>
      </c>
    </row>
    <row r="443" spans="1:12" x14ac:dyDescent="0.2">
      <c r="A443" s="4">
        <v>43439</v>
      </c>
      <c r="B443" t="s">
        <v>48</v>
      </c>
      <c r="C443" s="28">
        <v>2</v>
      </c>
      <c r="D443" s="28">
        <v>1</v>
      </c>
      <c r="E443">
        <f>1/2*44</f>
        <v>22</v>
      </c>
      <c r="F443" t="s">
        <v>332</v>
      </c>
      <c r="G443" t="s">
        <v>796</v>
      </c>
      <c r="H443" s="9" t="s">
        <v>1071</v>
      </c>
      <c r="I443">
        <f t="shared" si="24"/>
        <v>44</v>
      </c>
      <c r="J443">
        <f t="shared" si="25"/>
        <v>19.958064280000002</v>
      </c>
      <c r="K443">
        <v>1.2290000000000001</v>
      </c>
      <c r="L443">
        <f t="shared" si="26"/>
        <v>24.528461000120004</v>
      </c>
    </row>
    <row r="444" spans="1:12" x14ac:dyDescent="0.2">
      <c r="A444" s="4">
        <v>43440</v>
      </c>
      <c r="B444" t="s">
        <v>48</v>
      </c>
      <c r="C444" s="28">
        <v>3</v>
      </c>
      <c r="D444" s="28">
        <v>1</v>
      </c>
      <c r="E444">
        <v>33</v>
      </c>
      <c r="F444" t="s">
        <v>331</v>
      </c>
      <c r="G444" t="s">
        <v>796</v>
      </c>
      <c r="H444" s="9" t="s">
        <v>1071</v>
      </c>
      <c r="I444">
        <f t="shared" si="24"/>
        <v>99</v>
      </c>
      <c r="J444">
        <f t="shared" si="25"/>
        <v>44.905644630000005</v>
      </c>
      <c r="K444">
        <v>1.2290000000000001</v>
      </c>
      <c r="L444">
        <f t="shared" si="26"/>
        <v>55.189037250270012</v>
      </c>
    </row>
    <row r="445" spans="1:12" x14ac:dyDescent="0.2">
      <c r="A445" s="13">
        <v>43440</v>
      </c>
      <c r="B445" s="6" t="s">
        <v>48</v>
      </c>
      <c r="C445" s="37">
        <v>4</v>
      </c>
      <c r="D445" s="37">
        <v>1</v>
      </c>
      <c r="E445" s="9">
        <v>22</v>
      </c>
      <c r="F445" s="9" t="s">
        <v>100</v>
      </c>
      <c r="G445" s="9" t="s">
        <v>765</v>
      </c>
      <c r="H445" s="9" t="s">
        <v>1071</v>
      </c>
      <c r="I445">
        <f t="shared" ref="I445:I508" si="27">C445*D445*E445</f>
        <v>88</v>
      </c>
      <c r="J445">
        <f t="shared" si="25"/>
        <v>39.916128560000004</v>
      </c>
      <c r="K445" s="9">
        <v>1.2290000000000001</v>
      </c>
      <c r="L445">
        <f t="shared" si="26"/>
        <v>49.056922000240007</v>
      </c>
    </row>
    <row r="446" spans="1:12" x14ac:dyDescent="0.2">
      <c r="A446" s="4">
        <v>43434</v>
      </c>
      <c r="B446" t="s">
        <v>48</v>
      </c>
      <c r="C446" s="28">
        <v>8</v>
      </c>
      <c r="D446" s="28">
        <v>1</v>
      </c>
      <c r="E446">
        <v>8</v>
      </c>
      <c r="F446" t="s">
        <v>333</v>
      </c>
      <c r="G446" t="s">
        <v>797</v>
      </c>
      <c r="H446" s="9" t="s">
        <v>1071</v>
      </c>
      <c r="I446">
        <f t="shared" si="27"/>
        <v>64</v>
      </c>
      <c r="J446">
        <f t="shared" si="25"/>
        <v>29.029911680000001</v>
      </c>
      <c r="K446">
        <v>0.61399999999999999</v>
      </c>
      <c r="L446">
        <f t="shared" si="26"/>
        <v>17.82436577152</v>
      </c>
    </row>
    <row r="447" spans="1:12" x14ac:dyDescent="0.2">
      <c r="A447" s="4">
        <v>43435</v>
      </c>
      <c r="B447" t="s">
        <v>48</v>
      </c>
      <c r="C447" s="28">
        <v>7</v>
      </c>
      <c r="D447" s="28">
        <v>1</v>
      </c>
      <c r="E447">
        <v>8</v>
      </c>
      <c r="F447" t="s">
        <v>333</v>
      </c>
      <c r="G447" t="s">
        <v>797</v>
      </c>
      <c r="H447" s="9" t="s">
        <v>1071</v>
      </c>
      <c r="I447">
        <f t="shared" si="27"/>
        <v>56</v>
      </c>
      <c r="J447">
        <f t="shared" si="25"/>
        <v>25.401172720000002</v>
      </c>
      <c r="K447">
        <v>0.61399999999999999</v>
      </c>
      <c r="L447">
        <f t="shared" si="26"/>
        <v>15.596320050080001</v>
      </c>
    </row>
    <row r="448" spans="1:12" x14ac:dyDescent="0.2">
      <c r="A448" s="4">
        <v>43437</v>
      </c>
      <c r="B448" t="s">
        <v>48</v>
      </c>
      <c r="C448" s="28">
        <v>8</v>
      </c>
      <c r="D448" s="28">
        <v>1</v>
      </c>
      <c r="E448">
        <v>8</v>
      </c>
      <c r="F448" t="s">
        <v>333</v>
      </c>
      <c r="G448" t="s">
        <v>797</v>
      </c>
      <c r="H448" s="9" t="s">
        <v>1071</v>
      </c>
      <c r="I448">
        <f t="shared" si="27"/>
        <v>64</v>
      </c>
      <c r="J448">
        <f t="shared" si="25"/>
        <v>29.029911680000001</v>
      </c>
      <c r="K448">
        <v>0.61399999999999999</v>
      </c>
      <c r="L448">
        <f t="shared" si="26"/>
        <v>17.82436577152</v>
      </c>
    </row>
    <row r="449" spans="1:12" x14ac:dyDescent="0.2">
      <c r="A449" s="4">
        <v>43439</v>
      </c>
      <c r="B449" t="s">
        <v>48</v>
      </c>
      <c r="C449" s="28">
        <v>8</v>
      </c>
      <c r="D449" s="28">
        <v>1</v>
      </c>
      <c r="E449">
        <v>8</v>
      </c>
      <c r="F449" t="s">
        <v>333</v>
      </c>
      <c r="G449" t="s">
        <v>797</v>
      </c>
      <c r="H449" s="9" t="s">
        <v>1071</v>
      </c>
      <c r="I449">
        <f t="shared" si="27"/>
        <v>64</v>
      </c>
      <c r="J449">
        <f t="shared" si="25"/>
        <v>29.029911680000001</v>
      </c>
      <c r="K449">
        <v>0.61399999999999999</v>
      </c>
      <c r="L449">
        <f t="shared" si="26"/>
        <v>17.82436577152</v>
      </c>
    </row>
    <row r="450" spans="1:12" x14ac:dyDescent="0.2">
      <c r="A450" s="4">
        <v>43434</v>
      </c>
      <c r="B450" t="s">
        <v>538</v>
      </c>
      <c r="C450">
        <v>1</v>
      </c>
      <c r="D450">
        <v>1</v>
      </c>
      <c r="E450">
        <v>50</v>
      </c>
      <c r="F450" t="s">
        <v>425</v>
      </c>
      <c r="G450" t="s">
        <v>860</v>
      </c>
      <c r="H450" s="9" t="s">
        <v>1071</v>
      </c>
      <c r="I450">
        <f t="shared" si="27"/>
        <v>50</v>
      </c>
      <c r="J450">
        <f t="shared" si="25"/>
        <v>22.6796185</v>
      </c>
      <c r="K450">
        <v>0.7</v>
      </c>
      <c r="L450">
        <f t="shared" si="26"/>
        <v>15.87573295</v>
      </c>
    </row>
    <row r="451" spans="1:12" x14ac:dyDescent="0.2">
      <c r="A451" s="4">
        <v>43434</v>
      </c>
      <c r="B451" t="s">
        <v>538</v>
      </c>
      <c r="C451">
        <v>2</v>
      </c>
      <c r="D451">
        <v>1</v>
      </c>
      <c r="E451">
        <v>25</v>
      </c>
      <c r="F451" t="s">
        <v>443</v>
      </c>
      <c r="G451" t="s">
        <v>860</v>
      </c>
      <c r="H451" s="9" t="s">
        <v>1071</v>
      </c>
      <c r="I451">
        <f t="shared" si="27"/>
        <v>50</v>
      </c>
      <c r="J451">
        <f t="shared" ref="J451:J514" si="28">CONVERT(I451,"lbm","kg")</f>
        <v>22.6796185</v>
      </c>
      <c r="K451">
        <v>0.7</v>
      </c>
      <c r="L451">
        <f t="shared" ref="L451:L514" si="29">J451*K451</f>
        <v>15.87573295</v>
      </c>
    </row>
    <row r="452" spans="1:12" x14ac:dyDescent="0.2">
      <c r="A452" s="4">
        <v>43437</v>
      </c>
      <c r="B452" t="s">
        <v>538</v>
      </c>
      <c r="C452">
        <v>1</v>
      </c>
      <c r="D452">
        <v>1</v>
      </c>
      <c r="E452">
        <v>50</v>
      </c>
      <c r="F452" t="s">
        <v>434</v>
      </c>
      <c r="G452" t="s">
        <v>860</v>
      </c>
      <c r="H452" s="9" t="s">
        <v>1071</v>
      </c>
      <c r="I452">
        <f t="shared" si="27"/>
        <v>50</v>
      </c>
      <c r="J452">
        <f t="shared" si="28"/>
        <v>22.6796185</v>
      </c>
      <c r="K452">
        <v>0.7</v>
      </c>
      <c r="L452">
        <f t="shared" si="29"/>
        <v>15.87573295</v>
      </c>
    </row>
    <row r="453" spans="1:12" x14ac:dyDescent="0.2">
      <c r="A453" s="4">
        <v>43439</v>
      </c>
      <c r="B453" t="s">
        <v>538</v>
      </c>
      <c r="C453">
        <v>1</v>
      </c>
      <c r="D453">
        <v>1</v>
      </c>
      <c r="E453">
        <v>50</v>
      </c>
      <c r="F453" t="s">
        <v>434</v>
      </c>
      <c r="G453" t="s">
        <v>860</v>
      </c>
      <c r="H453" s="9" t="s">
        <v>1071</v>
      </c>
      <c r="I453">
        <f t="shared" si="27"/>
        <v>50</v>
      </c>
      <c r="J453">
        <f t="shared" si="28"/>
        <v>22.6796185</v>
      </c>
      <c r="K453">
        <v>0.7</v>
      </c>
      <c r="L453">
        <f t="shared" si="29"/>
        <v>15.87573295</v>
      </c>
    </row>
    <row r="454" spans="1:12" x14ac:dyDescent="0.2">
      <c r="A454" s="4">
        <v>43399</v>
      </c>
      <c r="B454" t="s">
        <v>22</v>
      </c>
      <c r="C454" s="37">
        <v>1</v>
      </c>
      <c r="D454" s="37">
        <v>1</v>
      </c>
      <c r="E454">
        <v>120</v>
      </c>
      <c r="F454" t="s">
        <v>24</v>
      </c>
      <c r="G454" t="s">
        <v>512</v>
      </c>
      <c r="H454" s="9" t="s">
        <v>1071</v>
      </c>
      <c r="I454">
        <f t="shared" si="27"/>
        <v>120</v>
      </c>
      <c r="J454">
        <f t="shared" si="28"/>
        <v>54.431084400000003</v>
      </c>
      <c r="K454">
        <v>0.30199999999999999</v>
      </c>
      <c r="L454">
        <f t="shared" si="29"/>
        <v>16.438187488800001</v>
      </c>
    </row>
    <row r="455" spans="1:12" x14ac:dyDescent="0.2">
      <c r="A455" s="4">
        <v>43403</v>
      </c>
      <c r="B455" t="s">
        <v>22</v>
      </c>
      <c r="C455" s="37">
        <v>1</v>
      </c>
      <c r="D455" s="37">
        <v>1</v>
      </c>
      <c r="E455">
        <v>120</v>
      </c>
      <c r="F455" t="s">
        <v>24</v>
      </c>
      <c r="G455" t="s">
        <v>512</v>
      </c>
      <c r="H455" s="9" t="s">
        <v>1071</v>
      </c>
      <c r="I455">
        <f t="shared" si="27"/>
        <v>120</v>
      </c>
      <c r="J455">
        <f t="shared" si="28"/>
        <v>54.431084400000003</v>
      </c>
      <c r="K455">
        <v>0.30199999999999999</v>
      </c>
      <c r="L455">
        <f t="shared" si="29"/>
        <v>16.438187488800001</v>
      </c>
    </row>
    <row r="456" spans="1:12" x14ac:dyDescent="0.2">
      <c r="A456" s="4">
        <v>43440</v>
      </c>
      <c r="B456" t="s">
        <v>48</v>
      </c>
      <c r="C456" s="28">
        <v>4</v>
      </c>
      <c r="D456" s="28">
        <v>1</v>
      </c>
      <c r="E456">
        <v>40</v>
      </c>
      <c r="F456" t="s">
        <v>512</v>
      </c>
      <c r="G456" t="s">
        <v>512</v>
      </c>
      <c r="H456" s="9" t="s">
        <v>1071</v>
      </c>
      <c r="I456">
        <f t="shared" si="27"/>
        <v>160</v>
      </c>
      <c r="J456">
        <f t="shared" si="28"/>
        <v>72.574779200000009</v>
      </c>
      <c r="K456">
        <v>0.30199999999999999</v>
      </c>
      <c r="L456">
        <f t="shared" si="29"/>
        <v>21.917583318400002</v>
      </c>
    </row>
    <row r="457" spans="1:12" x14ac:dyDescent="0.2">
      <c r="A457" s="4">
        <v>43437</v>
      </c>
      <c r="B457" t="s">
        <v>531</v>
      </c>
      <c r="C457">
        <v>4</v>
      </c>
      <c r="D457">
        <v>5</v>
      </c>
      <c r="E457">
        <v>3</v>
      </c>
      <c r="F457" t="s">
        <v>416</v>
      </c>
      <c r="G457" t="s">
        <v>915</v>
      </c>
      <c r="H457" s="9" t="s">
        <v>1071</v>
      </c>
      <c r="I457">
        <f t="shared" si="27"/>
        <v>60</v>
      </c>
      <c r="J457">
        <f t="shared" si="28"/>
        <v>27.215542200000002</v>
      </c>
      <c r="K457">
        <v>0.30199999999999999</v>
      </c>
      <c r="L457">
        <f t="shared" si="29"/>
        <v>8.2190937444000003</v>
      </c>
    </row>
    <row r="458" spans="1:12" x14ac:dyDescent="0.2">
      <c r="A458" s="4">
        <v>43434</v>
      </c>
      <c r="B458" t="s">
        <v>48</v>
      </c>
      <c r="C458" s="28">
        <v>2</v>
      </c>
      <c r="D458" s="28">
        <v>1</v>
      </c>
      <c r="E458">
        <v>12</v>
      </c>
      <c r="F458" t="s">
        <v>480</v>
      </c>
      <c r="G458" t="s">
        <v>777</v>
      </c>
      <c r="H458" s="9" t="s">
        <v>1071</v>
      </c>
      <c r="I458">
        <f t="shared" si="27"/>
        <v>24</v>
      </c>
      <c r="J458">
        <f t="shared" si="28"/>
        <v>10.886216880000001</v>
      </c>
      <c r="K458">
        <v>0.19600000000000001</v>
      </c>
      <c r="L458">
        <f t="shared" si="29"/>
        <v>2.1336985084800002</v>
      </c>
    </row>
    <row r="459" spans="1:12" x14ac:dyDescent="0.2">
      <c r="A459" s="4">
        <v>43438</v>
      </c>
      <c r="B459" t="s">
        <v>48</v>
      </c>
      <c r="C459" s="28">
        <v>1</v>
      </c>
      <c r="D459" s="28">
        <v>1</v>
      </c>
      <c r="E459">
        <v>12</v>
      </c>
      <c r="F459" t="s">
        <v>496</v>
      </c>
      <c r="G459" t="s">
        <v>777</v>
      </c>
      <c r="H459" s="9" t="s">
        <v>1071</v>
      </c>
      <c r="I459">
        <f t="shared" si="27"/>
        <v>12</v>
      </c>
      <c r="J459">
        <f t="shared" si="28"/>
        <v>5.4431084400000005</v>
      </c>
      <c r="K459">
        <v>0.19600000000000001</v>
      </c>
      <c r="L459">
        <f t="shared" si="29"/>
        <v>1.0668492542400001</v>
      </c>
    </row>
    <row r="460" spans="1:12" x14ac:dyDescent="0.2">
      <c r="A460" s="4">
        <v>43439</v>
      </c>
      <c r="B460" t="s">
        <v>48</v>
      </c>
      <c r="C460" s="28">
        <v>2</v>
      </c>
      <c r="D460" s="28">
        <v>1</v>
      </c>
      <c r="E460">
        <v>12</v>
      </c>
      <c r="F460" t="s">
        <v>504</v>
      </c>
      <c r="G460" t="s">
        <v>777</v>
      </c>
      <c r="H460" s="9" t="s">
        <v>1071</v>
      </c>
      <c r="I460">
        <f t="shared" si="27"/>
        <v>24</v>
      </c>
      <c r="J460">
        <f t="shared" si="28"/>
        <v>10.886216880000001</v>
      </c>
      <c r="K460">
        <v>0.19600000000000001</v>
      </c>
      <c r="L460">
        <f t="shared" si="29"/>
        <v>2.1336985084800002</v>
      </c>
    </row>
    <row r="461" spans="1:12" x14ac:dyDescent="0.2">
      <c r="A461" s="4">
        <v>43437</v>
      </c>
      <c r="B461" t="s">
        <v>538</v>
      </c>
      <c r="C461">
        <v>2</v>
      </c>
      <c r="D461">
        <v>4</v>
      </c>
      <c r="E461">
        <v>11.01</v>
      </c>
      <c r="F461" t="s">
        <v>435</v>
      </c>
      <c r="G461" s="6" t="s">
        <v>864</v>
      </c>
      <c r="H461" s="9" t="s">
        <v>1071</v>
      </c>
      <c r="I461">
        <f t="shared" si="27"/>
        <v>88.08</v>
      </c>
      <c r="J461">
        <f t="shared" si="28"/>
        <v>39.952415949600002</v>
      </c>
      <c r="K461">
        <v>6.7539999999999996</v>
      </c>
      <c r="L461">
        <f t="shared" si="29"/>
        <v>269.83861732359838</v>
      </c>
    </row>
    <row r="462" spans="1:12" x14ac:dyDescent="0.2">
      <c r="A462" s="4">
        <v>43434</v>
      </c>
      <c r="B462" t="s">
        <v>538</v>
      </c>
      <c r="C462">
        <v>1</v>
      </c>
      <c r="D462">
        <v>4</v>
      </c>
      <c r="E462">
        <v>11.01</v>
      </c>
      <c r="F462" t="s">
        <v>435</v>
      </c>
      <c r="G462" t="s">
        <v>902</v>
      </c>
      <c r="H462" s="9" t="s">
        <v>1071</v>
      </c>
      <c r="I462">
        <f t="shared" si="27"/>
        <v>44.04</v>
      </c>
      <c r="J462">
        <f t="shared" si="28"/>
        <v>19.976207974800001</v>
      </c>
      <c r="K462">
        <v>6.7539999999999996</v>
      </c>
      <c r="L462">
        <f t="shared" si="29"/>
        <v>134.91930866179919</v>
      </c>
    </row>
    <row r="463" spans="1:12" x14ac:dyDescent="0.2">
      <c r="A463" s="4">
        <v>43434</v>
      </c>
      <c r="B463" t="s">
        <v>48</v>
      </c>
      <c r="C463" s="28">
        <v>8</v>
      </c>
      <c r="D463" s="28">
        <v>1</v>
      </c>
      <c r="E463">
        <v>4.1719999999999997</v>
      </c>
      <c r="F463" t="s">
        <v>278</v>
      </c>
      <c r="G463" t="s">
        <v>798</v>
      </c>
      <c r="H463" s="9" t="s">
        <v>1071</v>
      </c>
      <c r="I463">
        <f t="shared" si="27"/>
        <v>33.375999999999998</v>
      </c>
      <c r="J463">
        <f t="shared" si="28"/>
        <v>15.139098941119999</v>
      </c>
      <c r="K463">
        <v>1.6639999999999999</v>
      </c>
      <c r="L463">
        <f t="shared" si="29"/>
        <v>25.191460638023678</v>
      </c>
    </row>
    <row r="464" spans="1:12" x14ac:dyDescent="0.2">
      <c r="A464" s="4">
        <v>43435</v>
      </c>
      <c r="B464" t="s">
        <v>48</v>
      </c>
      <c r="C464" s="28">
        <v>3</v>
      </c>
      <c r="D464" s="28">
        <v>1</v>
      </c>
      <c r="E464">
        <v>4.1719999999999997</v>
      </c>
      <c r="F464" t="s">
        <v>278</v>
      </c>
      <c r="G464" t="s">
        <v>798</v>
      </c>
      <c r="H464" s="9" t="s">
        <v>1071</v>
      </c>
      <c r="I464">
        <f t="shared" si="27"/>
        <v>12.515999999999998</v>
      </c>
      <c r="J464">
        <f t="shared" si="28"/>
        <v>5.6771621029199997</v>
      </c>
      <c r="K464">
        <v>1.6639999999999999</v>
      </c>
      <c r="L464">
        <f t="shared" si="29"/>
        <v>9.4467977392588782</v>
      </c>
    </row>
    <row r="465" spans="1:13" x14ac:dyDescent="0.2">
      <c r="A465" s="4">
        <v>43438</v>
      </c>
      <c r="B465" t="s">
        <v>48</v>
      </c>
      <c r="C465" s="28">
        <v>4</v>
      </c>
      <c r="D465" s="28">
        <v>1</v>
      </c>
      <c r="E465">
        <v>4.1719999999999997</v>
      </c>
      <c r="F465" t="s">
        <v>278</v>
      </c>
      <c r="G465" t="s">
        <v>798</v>
      </c>
      <c r="H465" s="9" t="s">
        <v>1071</v>
      </c>
      <c r="I465">
        <f t="shared" si="27"/>
        <v>16.687999999999999</v>
      </c>
      <c r="J465">
        <f t="shared" si="28"/>
        <v>7.5695494705599993</v>
      </c>
      <c r="K465">
        <v>1.6639999999999999</v>
      </c>
      <c r="L465">
        <f t="shared" si="29"/>
        <v>12.595730319011839</v>
      </c>
    </row>
    <row r="466" spans="1:13" x14ac:dyDescent="0.2">
      <c r="A466" s="4">
        <v>43439</v>
      </c>
      <c r="B466" t="s">
        <v>48</v>
      </c>
      <c r="C466" s="28">
        <v>4</v>
      </c>
      <c r="D466" s="28">
        <v>1</v>
      </c>
      <c r="E466">
        <v>4.1719999999999997</v>
      </c>
      <c r="F466" t="s">
        <v>278</v>
      </c>
      <c r="G466" t="s">
        <v>798</v>
      </c>
      <c r="H466" s="9" t="s">
        <v>1071</v>
      </c>
      <c r="I466">
        <f t="shared" si="27"/>
        <v>16.687999999999999</v>
      </c>
      <c r="J466">
        <f t="shared" si="28"/>
        <v>7.5695494705599993</v>
      </c>
      <c r="K466">
        <v>1.6639999999999999</v>
      </c>
      <c r="L466">
        <f t="shared" si="29"/>
        <v>12.595730319011839</v>
      </c>
    </row>
    <row r="467" spans="1:13" x14ac:dyDescent="0.2">
      <c r="A467" s="4">
        <v>43440</v>
      </c>
      <c r="B467" t="s">
        <v>48</v>
      </c>
      <c r="C467" s="28">
        <v>4</v>
      </c>
      <c r="D467" s="28">
        <v>1</v>
      </c>
      <c r="E467">
        <v>4.1719999999999997</v>
      </c>
      <c r="F467" t="s">
        <v>378</v>
      </c>
      <c r="G467" t="s">
        <v>193</v>
      </c>
      <c r="H467" s="9" t="s">
        <v>1071</v>
      </c>
      <c r="I467">
        <f t="shared" si="27"/>
        <v>16.687999999999999</v>
      </c>
      <c r="J467">
        <f t="shared" si="28"/>
        <v>7.5695494705599993</v>
      </c>
      <c r="K467">
        <v>1.6639999999999999</v>
      </c>
      <c r="L467">
        <f t="shared" si="29"/>
        <v>12.595730319011839</v>
      </c>
    </row>
    <row r="468" spans="1:13" x14ac:dyDescent="0.2">
      <c r="A468" s="4">
        <v>43434</v>
      </c>
      <c r="B468" t="s">
        <v>48</v>
      </c>
      <c r="C468" s="28">
        <v>3</v>
      </c>
      <c r="D468" s="28">
        <v>1</v>
      </c>
      <c r="E468">
        <v>10</v>
      </c>
      <c r="F468" t="s">
        <v>328</v>
      </c>
      <c r="G468" t="s">
        <v>334</v>
      </c>
      <c r="H468" s="9" t="s">
        <v>1071</v>
      </c>
      <c r="I468">
        <f t="shared" si="27"/>
        <v>30</v>
      </c>
      <c r="J468">
        <f t="shared" si="28"/>
        <v>13.607771100000001</v>
      </c>
      <c r="K468">
        <v>0.47</v>
      </c>
      <c r="L468">
        <f t="shared" si="29"/>
        <v>6.395652417</v>
      </c>
    </row>
    <row r="469" spans="1:13" x14ac:dyDescent="0.2">
      <c r="A469" s="4">
        <v>43434</v>
      </c>
      <c r="B469" t="s">
        <v>48</v>
      </c>
      <c r="C469" s="28">
        <v>2</v>
      </c>
      <c r="D469" s="28">
        <v>1</v>
      </c>
      <c r="E469">
        <v>25</v>
      </c>
      <c r="F469" t="s">
        <v>334</v>
      </c>
      <c r="G469" t="s">
        <v>334</v>
      </c>
      <c r="H469" s="9" t="s">
        <v>1071</v>
      </c>
      <c r="I469">
        <f t="shared" si="27"/>
        <v>50</v>
      </c>
      <c r="J469">
        <f t="shared" si="28"/>
        <v>22.6796185</v>
      </c>
      <c r="K469">
        <v>0.47</v>
      </c>
      <c r="L469">
        <f t="shared" si="29"/>
        <v>10.659420695</v>
      </c>
    </row>
    <row r="470" spans="1:13" x14ac:dyDescent="0.2">
      <c r="A470" s="4">
        <v>43434</v>
      </c>
      <c r="B470" t="s">
        <v>48</v>
      </c>
      <c r="C470" s="28">
        <v>10</v>
      </c>
      <c r="D470" s="28">
        <v>1</v>
      </c>
      <c r="E470">
        <v>10</v>
      </c>
      <c r="F470" t="s">
        <v>335</v>
      </c>
      <c r="G470" t="s">
        <v>334</v>
      </c>
      <c r="H470" s="9" t="s">
        <v>1071</v>
      </c>
      <c r="I470">
        <f t="shared" si="27"/>
        <v>100</v>
      </c>
      <c r="J470">
        <f t="shared" si="28"/>
        <v>45.359237</v>
      </c>
      <c r="K470">
        <v>0.47</v>
      </c>
      <c r="L470">
        <f t="shared" si="29"/>
        <v>21.318841389999999</v>
      </c>
    </row>
    <row r="471" spans="1:13" x14ac:dyDescent="0.2">
      <c r="A471" s="4">
        <v>43435</v>
      </c>
      <c r="B471" t="s">
        <v>48</v>
      </c>
      <c r="C471" s="28">
        <v>2</v>
      </c>
      <c r="D471" s="28">
        <v>1</v>
      </c>
      <c r="E471">
        <v>10</v>
      </c>
      <c r="F471" t="s">
        <v>328</v>
      </c>
      <c r="G471" t="s">
        <v>334</v>
      </c>
      <c r="H471" s="9" t="s">
        <v>1071</v>
      </c>
      <c r="I471">
        <f t="shared" si="27"/>
        <v>20</v>
      </c>
      <c r="J471">
        <f t="shared" si="28"/>
        <v>9.0718474000000011</v>
      </c>
      <c r="K471">
        <v>0.47</v>
      </c>
      <c r="L471">
        <f t="shared" si="29"/>
        <v>4.2637682780000006</v>
      </c>
    </row>
    <row r="472" spans="1:13" x14ac:dyDescent="0.2">
      <c r="A472" s="4">
        <v>43435</v>
      </c>
      <c r="B472" t="s">
        <v>48</v>
      </c>
      <c r="C472" s="28">
        <v>2</v>
      </c>
      <c r="D472" s="28">
        <v>1</v>
      </c>
      <c r="E472">
        <v>25</v>
      </c>
      <c r="F472" t="s">
        <v>334</v>
      </c>
      <c r="G472" t="s">
        <v>334</v>
      </c>
      <c r="H472" s="9" t="s">
        <v>1071</v>
      </c>
      <c r="I472">
        <f t="shared" si="27"/>
        <v>50</v>
      </c>
      <c r="J472">
        <f t="shared" si="28"/>
        <v>22.6796185</v>
      </c>
      <c r="K472">
        <v>0.47</v>
      </c>
      <c r="L472">
        <f t="shared" si="29"/>
        <v>10.659420695</v>
      </c>
    </row>
    <row r="473" spans="1:13" x14ac:dyDescent="0.2">
      <c r="A473" s="4">
        <v>43435</v>
      </c>
      <c r="B473" t="s">
        <v>48</v>
      </c>
      <c r="C473" s="28">
        <v>6</v>
      </c>
      <c r="D473" s="28">
        <v>1</v>
      </c>
      <c r="E473">
        <v>12</v>
      </c>
      <c r="F473" t="s">
        <v>77</v>
      </c>
      <c r="G473" t="s">
        <v>194</v>
      </c>
      <c r="H473" s="9" t="s">
        <v>1071</v>
      </c>
      <c r="I473">
        <f t="shared" si="27"/>
        <v>72</v>
      </c>
      <c r="J473">
        <f t="shared" si="28"/>
        <v>32.658650639999998</v>
      </c>
      <c r="K473">
        <v>0.47</v>
      </c>
      <c r="L473">
        <f t="shared" si="29"/>
        <v>15.349565800799999</v>
      </c>
      <c r="M473" s="6"/>
    </row>
    <row r="474" spans="1:13" x14ac:dyDescent="0.2">
      <c r="A474" s="4">
        <v>43435</v>
      </c>
      <c r="B474" t="s">
        <v>48</v>
      </c>
      <c r="C474" s="28">
        <v>2</v>
      </c>
      <c r="D474" s="28">
        <v>1</v>
      </c>
      <c r="E474">
        <v>10</v>
      </c>
      <c r="F474" t="s">
        <v>489</v>
      </c>
      <c r="G474" t="s">
        <v>194</v>
      </c>
      <c r="H474" s="9" t="s">
        <v>1071</v>
      </c>
      <c r="I474">
        <f t="shared" si="27"/>
        <v>20</v>
      </c>
      <c r="J474">
        <f t="shared" si="28"/>
        <v>9.0718474000000011</v>
      </c>
      <c r="K474">
        <v>0.47</v>
      </c>
      <c r="L474">
        <f t="shared" si="29"/>
        <v>4.2637682780000006</v>
      </c>
      <c r="M474" s="6"/>
    </row>
    <row r="475" spans="1:13" x14ac:dyDescent="0.2">
      <c r="A475" s="4">
        <v>43437</v>
      </c>
      <c r="B475" t="s">
        <v>48</v>
      </c>
      <c r="C475" s="28">
        <v>3</v>
      </c>
      <c r="D475" s="28">
        <v>1</v>
      </c>
      <c r="E475">
        <v>10</v>
      </c>
      <c r="F475" t="s">
        <v>328</v>
      </c>
      <c r="G475" t="s">
        <v>334</v>
      </c>
      <c r="H475" s="9" t="s">
        <v>1071</v>
      </c>
      <c r="I475">
        <f t="shared" si="27"/>
        <v>30</v>
      </c>
      <c r="J475">
        <f t="shared" si="28"/>
        <v>13.607771100000001</v>
      </c>
      <c r="K475">
        <v>0.47</v>
      </c>
      <c r="L475">
        <f t="shared" si="29"/>
        <v>6.395652417</v>
      </c>
      <c r="M475" s="6"/>
    </row>
    <row r="476" spans="1:13" x14ac:dyDescent="0.2">
      <c r="A476" s="4">
        <v>43437</v>
      </c>
      <c r="B476" t="s">
        <v>48</v>
      </c>
      <c r="C476" s="28">
        <v>1</v>
      </c>
      <c r="D476" s="28">
        <v>1</v>
      </c>
      <c r="E476">
        <v>25</v>
      </c>
      <c r="F476" t="s">
        <v>334</v>
      </c>
      <c r="G476" t="s">
        <v>334</v>
      </c>
      <c r="H476" s="9" t="s">
        <v>1071</v>
      </c>
      <c r="I476">
        <f t="shared" si="27"/>
        <v>25</v>
      </c>
      <c r="J476">
        <f t="shared" si="28"/>
        <v>11.33980925</v>
      </c>
      <c r="K476">
        <v>0.47</v>
      </c>
      <c r="L476">
        <f t="shared" si="29"/>
        <v>5.3297103474999998</v>
      </c>
      <c r="M476" s="6"/>
    </row>
    <row r="477" spans="1:13" x14ac:dyDescent="0.2">
      <c r="A477" s="4">
        <v>43437</v>
      </c>
      <c r="B477" t="s">
        <v>48</v>
      </c>
      <c r="C477" s="28">
        <v>8</v>
      </c>
      <c r="D477" s="28">
        <v>1</v>
      </c>
      <c r="E477">
        <v>10</v>
      </c>
      <c r="F477" t="s">
        <v>335</v>
      </c>
      <c r="G477" t="s">
        <v>334</v>
      </c>
      <c r="H477" s="9" t="s">
        <v>1071</v>
      </c>
      <c r="I477">
        <f t="shared" si="27"/>
        <v>80</v>
      </c>
      <c r="J477">
        <f t="shared" si="28"/>
        <v>36.287389600000004</v>
      </c>
      <c r="K477">
        <v>0.47</v>
      </c>
      <c r="L477">
        <f t="shared" si="29"/>
        <v>17.055073112000002</v>
      </c>
      <c r="M477" s="6"/>
    </row>
    <row r="478" spans="1:13" x14ac:dyDescent="0.2">
      <c r="A478" s="4">
        <v>43438</v>
      </c>
      <c r="B478" t="s">
        <v>48</v>
      </c>
      <c r="C478" s="28">
        <v>2</v>
      </c>
      <c r="D478" s="28">
        <v>1</v>
      </c>
      <c r="E478">
        <v>10</v>
      </c>
      <c r="F478" t="s">
        <v>328</v>
      </c>
      <c r="G478" t="s">
        <v>334</v>
      </c>
      <c r="H478" s="9" t="s">
        <v>1071</v>
      </c>
      <c r="I478">
        <f t="shared" si="27"/>
        <v>20</v>
      </c>
      <c r="J478">
        <f t="shared" si="28"/>
        <v>9.0718474000000011</v>
      </c>
      <c r="K478">
        <v>0.47</v>
      </c>
      <c r="L478">
        <f t="shared" si="29"/>
        <v>4.2637682780000006</v>
      </c>
      <c r="M478" s="6"/>
    </row>
    <row r="479" spans="1:13" x14ac:dyDescent="0.2">
      <c r="A479" s="4">
        <v>43438</v>
      </c>
      <c r="B479" t="s">
        <v>48</v>
      </c>
      <c r="C479" s="28">
        <v>7</v>
      </c>
      <c r="D479" s="28">
        <v>1</v>
      </c>
      <c r="E479">
        <v>10</v>
      </c>
      <c r="F479" t="s">
        <v>335</v>
      </c>
      <c r="G479" t="s">
        <v>334</v>
      </c>
      <c r="H479" s="9" t="s">
        <v>1071</v>
      </c>
      <c r="I479">
        <f t="shared" si="27"/>
        <v>70</v>
      </c>
      <c r="J479">
        <f t="shared" si="28"/>
        <v>31.751465900000003</v>
      </c>
      <c r="K479">
        <v>0.47</v>
      </c>
      <c r="L479">
        <f t="shared" si="29"/>
        <v>14.923188973</v>
      </c>
      <c r="M479" s="6"/>
    </row>
    <row r="480" spans="1:13" x14ac:dyDescent="0.2">
      <c r="A480" s="4">
        <v>43439</v>
      </c>
      <c r="B480" t="s">
        <v>48</v>
      </c>
      <c r="C480" s="28">
        <v>3</v>
      </c>
      <c r="D480" s="28">
        <v>1</v>
      </c>
      <c r="E480">
        <v>25</v>
      </c>
      <c r="F480" t="s">
        <v>334</v>
      </c>
      <c r="G480" t="s">
        <v>334</v>
      </c>
      <c r="H480" s="9" t="s">
        <v>1071</v>
      </c>
      <c r="I480">
        <f t="shared" si="27"/>
        <v>75</v>
      </c>
      <c r="J480">
        <f t="shared" si="28"/>
        <v>34.019427750000006</v>
      </c>
      <c r="K480">
        <v>0.47</v>
      </c>
      <c r="L480">
        <f t="shared" si="29"/>
        <v>15.989131042500002</v>
      </c>
      <c r="M480" s="6"/>
    </row>
    <row r="481" spans="1:13" x14ac:dyDescent="0.2">
      <c r="A481" s="4">
        <v>43439</v>
      </c>
      <c r="B481" t="s">
        <v>48</v>
      </c>
      <c r="C481" s="28">
        <v>8</v>
      </c>
      <c r="D481" s="28">
        <v>1</v>
      </c>
      <c r="E481">
        <v>10</v>
      </c>
      <c r="F481" t="s">
        <v>335</v>
      </c>
      <c r="G481" t="s">
        <v>334</v>
      </c>
      <c r="H481" s="9" t="s">
        <v>1071</v>
      </c>
      <c r="I481">
        <f t="shared" si="27"/>
        <v>80</v>
      </c>
      <c r="J481">
        <f t="shared" si="28"/>
        <v>36.287389600000004</v>
      </c>
      <c r="K481">
        <v>0.47</v>
      </c>
      <c r="L481">
        <f t="shared" si="29"/>
        <v>17.055073112000002</v>
      </c>
      <c r="M481" s="6"/>
    </row>
    <row r="482" spans="1:13" x14ac:dyDescent="0.2">
      <c r="A482" s="4">
        <v>43440</v>
      </c>
      <c r="B482" t="s">
        <v>48</v>
      </c>
      <c r="C482" s="28">
        <v>3</v>
      </c>
      <c r="D482" s="28">
        <v>1</v>
      </c>
      <c r="E482">
        <v>10</v>
      </c>
      <c r="F482" t="s">
        <v>70</v>
      </c>
      <c r="G482" t="s">
        <v>194</v>
      </c>
      <c r="H482" s="9" t="s">
        <v>1071</v>
      </c>
      <c r="I482">
        <f t="shared" si="27"/>
        <v>30</v>
      </c>
      <c r="J482">
        <f t="shared" si="28"/>
        <v>13.607771100000001</v>
      </c>
      <c r="K482">
        <v>0.47</v>
      </c>
      <c r="L482">
        <f t="shared" si="29"/>
        <v>6.395652417</v>
      </c>
      <c r="M482" s="6"/>
    </row>
    <row r="483" spans="1:13" x14ac:dyDescent="0.2">
      <c r="A483" s="4">
        <v>43440</v>
      </c>
      <c r="B483" t="s">
        <v>48</v>
      </c>
      <c r="C483" s="28">
        <v>5</v>
      </c>
      <c r="D483" s="28">
        <v>1</v>
      </c>
      <c r="E483">
        <v>10</v>
      </c>
      <c r="F483" t="s">
        <v>77</v>
      </c>
      <c r="G483" t="s">
        <v>194</v>
      </c>
      <c r="H483" s="9" t="s">
        <v>1071</v>
      </c>
      <c r="I483">
        <f t="shared" si="27"/>
        <v>50</v>
      </c>
      <c r="J483">
        <f t="shared" si="28"/>
        <v>22.6796185</v>
      </c>
      <c r="K483">
        <v>0.47</v>
      </c>
      <c r="L483">
        <f t="shared" si="29"/>
        <v>10.659420695</v>
      </c>
    </row>
    <row r="484" spans="1:13" x14ac:dyDescent="0.2">
      <c r="A484" s="4">
        <v>43434</v>
      </c>
      <c r="B484" t="s">
        <v>538</v>
      </c>
      <c r="C484">
        <v>4</v>
      </c>
      <c r="D484">
        <v>6</v>
      </c>
      <c r="E484">
        <v>10</v>
      </c>
      <c r="F484" t="s">
        <v>544</v>
      </c>
      <c r="G484" t="s">
        <v>857</v>
      </c>
      <c r="H484" s="9" t="s">
        <v>1071</v>
      </c>
      <c r="I484">
        <f t="shared" si="27"/>
        <v>240</v>
      </c>
      <c r="J484">
        <f t="shared" si="28"/>
        <v>108.86216880000001</v>
      </c>
      <c r="K484">
        <v>0.47</v>
      </c>
      <c r="L484">
        <f t="shared" si="29"/>
        <v>51.165219336</v>
      </c>
    </row>
    <row r="485" spans="1:13" x14ac:dyDescent="0.2">
      <c r="A485" s="4">
        <v>43434</v>
      </c>
      <c r="B485" t="s">
        <v>538</v>
      </c>
      <c r="C485">
        <v>4</v>
      </c>
      <c r="D485">
        <v>6</v>
      </c>
      <c r="E485">
        <v>10</v>
      </c>
      <c r="F485" t="s">
        <v>432</v>
      </c>
      <c r="G485" t="s">
        <v>857</v>
      </c>
      <c r="H485" s="9" t="s">
        <v>1071</v>
      </c>
      <c r="I485">
        <f t="shared" si="27"/>
        <v>240</v>
      </c>
      <c r="J485">
        <f t="shared" si="28"/>
        <v>108.86216880000001</v>
      </c>
      <c r="K485">
        <v>0.47</v>
      </c>
      <c r="L485">
        <f t="shared" si="29"/>
        <v>51.165219336</v>
      </c>
    </row>
    <row r="486" spans="1:13" x14ac:dyDescent="0.2">
      <c r="A486" s="4">
        <v>43434</v>
      </c>
      <c r="B486" t="s">
        <v>538</v>
      </c>
      <c r="C486">
        <v>8</v>
      </c>
      <c r="D486">
        <v>6</v>
      </c>
      <c r="E486">
        <v>10</v>
      </c>
      <c r="F486" t="s">
        <v>546</v>
      </c>
      <c r="G486" t="s">
        <v>857</v>
      </c>
      <c r="H486" s="9" t="s">
        <v>1071</v>
      </c>
      <c r="I486">
        <f t="shared" si="27"/>
        <v>480</v>
      </c>
      <c r="J486">
        <f t="shared" si="28"/>
        <v>217.72433760000001</v>
      </c>
      <c r="K486">
        <v>0.47</v>
      </c>
      <c r="L486">
        <f t="shared" si="29"/>
        <v>102.330438672</v>
      </c>
    </row>
    <row r="487" spans="1:13" x14ac:dyDescent="0.2">
      <c r="A487" s="4">
        <v>43437</v>
      </c>
      <c r="B487" t="s">
        <v>538</v>
      </c>
      <c r="C487">
        <v>2</v>
      </c>
      <c r="D487">
        <v>6</v>
      </c>
      <c r="E487">
        <v>10</v>
      </c>
      <c r="F487" t="s">
        <v>432</v>
      </c>
      <c r="G487" t="s">
        <v>857</v>
      </c>
      <c r="H487" s="9" t="s">
        <v>1071</v>
      </c>
      <c r="I487">
        <f t="shared" si="27"/>
        <v>120</v>
      </c>
      <c r="J487">
        <f t="shared" si="28"/>
        <v>54.431084400000003</v>
      </c>
      <c r="K487">
        <v>0.47</v>
      </c>
      <c r="L487">
        <f t="shared" si="29"/>
        <v>25.582609668</v>
      </c>
    </row>
    <row r="488" spans="1:13" x14ac:dyDescent="0.2">
      <c r="A488" s="4">
        <v>43439</v>
      </c>
      <c r="B488" t="s">
        <v>538</v>
      </c>
      <c r="C488">
        <v>6</v>
      </c>
      <c r="D488">
        <v>6</v>
      </c>
      <c r="E488">
        <v>10</v>
      </c>
      <c r="F488" t="s">
        <v>432</v>
      </c>
      <c r="G488" t="s">
        <v>857</v>
      </c>
      <c r="H488" s="9" t="s">
        <v>1071</v>
      </c>
      <c r="I488">
        <f t="shared" si="27"/>
        <v>360</v>
      </c>
      <c r="J488">
        <f t="shared" si="28"/>
        <v>163.29325320000001</v>
      </c>
      <c r="K488">
        <v>0.47</v>
      </c>
      <c r="L488">
        <f t="shared" si="29"/>
        <v>76.747829003999996</v>
      </c>
    </row>
    <row r="489" spans="1:13" x14ac:dyDescent="0.2">
      <c r="A489" s="4">
        <v>43439</v>
      </c>
      <c r="B489" t="s">
        <v>538</v>
      </c>
      <c r="C489">
        <v>1</v>
      </c>
      <c r="D489">
        <v>6</v>
      </c>
      <c r="E489">
        <v>10</v>
      </c>
      <c r="F489" t="s">
        <v>546</v>
      </c>
      <c r="G489" t="s">
        <v>857</v>
      </c>
      <c r="H489" s="9" t="s">
        <v>1071</v>
      </c>
      <c r="I489">
        <f t="shared" si="27"/>
        <v>60</v>
      </c>
      <c r="J489">
        <f t="shared" si="28"/>
        <v>27.215542200000002</v>
      </c>
      <c r="K489">
        <v>0.47</v>
      </c>
      <c r="L489">
        <f t="shared" si="29"/>
        <v>12.791304834</v>
      </c>
    </row>
    <row r="490" spans="1:13" x14ac:dyDescent="0.2">
      <c r="A490" s="4">
        <v>43437</v>
      </c>
      <c r="B490" t="s">
        <v>538</v>
      </c>
      <c r="C490">
        <v>1</v>
      </c>
      <c r="D490">
        <v>6</v>
      </c>
      <c r="E490">
        <v>10</v>
      </c>
      <c r="F490" t="s">
        <v>574</v>
      </c>
      <c r="G490" s="6" t="s">
        <v>917</v>
      </c>
      <c r="H490" s="9" t="s">
        <v>1071</v>
      </c>
      <c r="I490">
        <f t="shared" si="27"/>
        <v>60</v>
      </c>
      <c r="J490">
        <f t="shared" si="28"/>
        <v>27.215542200000002</v>
      </c>
      <c r="K490">
        <v>0.11799999999999999</v>
      </c>
      <c r="L490">
        <f t="shared" si="29"/>
        <v>3.2114339796000002</v>
      </c>
    </row>
    <row r="491" spans="1:13" x14ac:dyDescent="0.2">
      <c r="A491" s="4">
        <v>43434</v>
      </c>
      <c r="B491" t="s">
        <v>531</v>
      </c>
      <c r="C491">
        <v>2</v>
      </c>
      <c r="D491">
        <v>12</v>
      </c>
      <c r="E491">
        <f>60*0.0661387</f>
        <v>3.9683219999999997</v>
      </c>
      <c r="F491" t="s">
        <v>534</v>
      </c>
      <c r="G491" s="6" t="s">
        <v>892</v>
      </c>
      <c r="H491" s="9" t="s">
        <v>1071</v>
      </c>
      <c r="I491">
        <f t="shared" si="27"/>
        <v>95.239727999999985</v>
      </c>
      <c r="J491">
        <f t="shared" si="28"/>
        <v>43.200013941675351</v>
      </c>
      <c r="K491">
        <v>1.28</v>
      </c>
      <c r="L491">
        <f t="shared" si="29"/>
        <v>55.296017845344451</v>
      </c>
    </row>
    <row r="492" spans="1:13" x14ac:dyDescent="0.2">
      <c r="A492" s="4">
        <v>43434</v>
      </c>
      <c r="B492" t="s">
        <v>531</v>
      </c>
      <c r="C492">
        <v>2</v>
      </c>
      <c r="D492">
        <v>6</v>
      </c>
      <c r="E492">
        <f>12*0.0661387</f>
        <v>0.79366439999999994</v>
      </c>
      <c r="F492" t="s">
        <v>414</v>
      </c>
      <c r="G492" s="6" t="s">
        <v>894</v>
      </c>
      <c r="H492" s="9" t="s">
        <v>1071</v>
      </c>
      <c r="I492">
        <f t="shared" si="27"/>
        <v>9.5239727999999992</v>
      </c>
      <c r="J492">
        <f t="shared" si="28"/>
        <v>4.3200013941675364</v>
      </c>
      <c r="K492">
        <v>1.28</v>
      </c>
      <c r="L492">
        <f t="shared" si="29"/>
        <v>5.5296017845344467</v>
      </c>
    </row>
    <row r="493" spans="1:13" x14ac:dyDescent="0.2">
      <c r="A493" s="4">
        <v>43434</v>
      </c>
      <c r="B493" t="s">
        <v>531</v>
      </c>
      <c r="C493">
        <v>2</v>
      </c>
      <c r="D493">
        <v>6</v>
      </c>
      <c r="E493">
        <f>12*0.0661387</f>
        <v>0.79366439999999994</v>
      </c>
      <c r="F493" t="s">
        <v>415</v>
      </c>
      <c r="G493" s="6" t="s">
        <v>894</v>
      </c>
      <c r="H493" s="9" t="s">
        <v>1071</v>
      </c>
      <c r="I493">
        <f t="shared" si="27"/>
        <v>9.5239727999999992</v>
      </c>
      <c r="J493">
        <f t="shared" si="28"/>
        <v>4.3200013941675364</v>
      </c>
      <c r="K493">
        <v>1.28</v>
      </c>
      <c r="L493">
        <f t="shared" si="29"/>
        <v>5.5296017845344467</v>
      </c>
    </row>
    <row r="494" spans="1:13" x14ac:dyDescent="0.2">
      <c r="A494" s="4">
        <v>43437</v>
      </c>
      <c r="B494" t="s">
        <v>531</v>
      </c>
      <c r="C494">
        <v>1</v>
      </c>
      <c r="D494">
        <v>24</v>
      </c>
      <c r="E494">
        <f>12*0.0661387</f>
        <v>0.79366439999999994</v>
      </c>
      <c r="F494" t="s">
        <v>408</v>
      </c>
      <c r="G494" s="6" t="s">
        <v>913</v>
      </c>
      <c r="H494" s="9" t="s">
        <v>1071</v>
      </c>
      <c r="I494">
        <f t="shared" si="27"/>
        <v>19.047945599999998</v>
      </c>
      <c r="J494">
        <f t="shared" si="28"/>
        <v>8.6400027883350727</v>
      </c>
      <c r="K494">
        <v>1.28</v>
      </c>
      <c r="L494">
        <f t="shared" si="29"/>
        <v>11.059203569068893</v>
      </c>
    </row>
    <row r="495" spans="1:13" x14ac:dyDescent="0.2">
      <c r="A495" s="4">
        <v>43437</v>
      </c>
      <c r="B495" t="s">
        <v>531</v>
      </c>
      <c r="C495">
        <v>1</v>
      </c>
      <c r="D495">
        <v>6</v>
      </c>
      <c r="E495">
        <f>12*0.0661387</f>
        <v>0.79366439999999994</v>
      </c>
      <c r="F495" t="s">
        <v>415</v>
      </c>
      <c r="G495" s="6" t="s">
        <v>913</v>
      </c>
      <c r="H495" s="9" t="s">
        <v>1071</v>
      </c>
      <c r="I495">
        <f t="shared" si="27"/>
        <v>4.7619863999999996</v>
      </c>
      <c r="J495">
        <f t="shared" si="28"/>
        <v>2.1600006970837682</v>
      </c>
      <c r="K495">
        <v>1.28</v>
      </c>
      <c r="L495">
        <f t="shared" si="29"/>
        <v>2.7648008922672234</v>
      </c>
    </row>
    <row r="496" spans="1:13" x14ac:dyDescent="0.2">
      <c r="A496" s="4">
        <v>43434</v>
      </c>
      <c r="B496" t="s">
        <v>538</v>
      </c>
      <c r="C496">
        <v>1</v>
      </c>
      <c r="D496">
        <v>6</v>
      </c>
      <c r="E496">
        <f>66.5/16</f>
        <v>4.15625</v>
      </c>
      <c r="F496" t="s">
        <v>427</v>
      </c>
      <c r="G496" t="s">
        <v>862</v>
      </c>
      <c r="H496" s="9" t="s">
        <v>1072</v>
      </c>
      <c r="I496">
        <f t="shared" si="27"/>
        <v>24.9375</v>
      </c>
      <c r="J496">
        <f t="shared" si="28"/>
        <v>11.311459726875</v>
      </c>
      <c r="K496">
        <v>2.1480000000000001</v>
      </c>
      <c r="L496">
        <f t="shared" si="29"/>
        <v>24.297015493327503</v>
      </c>
    </row>
    <row r="497" spans="1:13" x14ac:dyDescent="0.2">
      <c r="A497" s="4">
        <v>43437</v>
      </c>
      <c r="B497" t="s">
        <v>538</v>
      </c>
      <c r="C497">
        <v>1</v>
      </c>
      <c r="D497">
        <v>6</v>
      </c>
      <c r="E497">
        <f>66.5/16</f>
        <v>4.15625</v>
      </c>
      <c r="F497" t="s">
        <v>427</v>
      </c>
      <c r="G497" t="s">
        <v>862</v>
      </c>
      <c r="H497" s="9" t="s">
        <v>1072</v>
      </c>
      <c r="I497">
        <f t="shared" si="27"/>
        <v>24.9375</v>
      </c>
      <c r="J497">
        <f t="shared" si="28"/>
        <v>11.311459726875</v>
      </c>
      <c r="K497">
        <v>2.1480000000000001</v>
      </c>
      <c r="L497">
        <f t="shared" si="29"/>
        <v>24.297015493327503</v>
      </c>
    </row>
    <row r="498" spans="1:13" x14ac:dyDescent="0.2">
      <c r="A498" s="4">
        <v>43434</v>
      </c>
      <c r="B498" t="s">
        <v>530</v>
      </c>
      <c r="C498">
        <v>1</v>
      </c>
      <c r="D498">
        <v>1</v>
      </c>
      <c r="E498">
        <v>72.5</v>
      </c>
      <c r="F498" t="s">
        <v>400</v>
      </c>
      <c r="G498" t="s">
        <v>852</v>
      </c>
      <c r="H498" s="9" t="s">
        <v>1072</v>
      </c>
      <c r="I498">
        <f t="shared" si="27"/>
        <v>72.5</v>
      </c>
      <c r="J498">
        <f t="shared" si="28"/>
        <v>32.885446825000002</v>
      </c>
      <c r="K498">
        <v>2.5710000000000002</v>
      </c>
      <c r="L498">
        <f t="shared" si="29"/>
        <v>84.548483787075014</v>
      </c>
    </row>
    <row r="499" spans="1:13" x14ac:dyDescent="0.2">
      <c r="A499" s="4">
        <v>43437</v>
      </c>
      <c r="B499" t="s">
        <v>530</v>
      </c>
      <c r="C499">
        <v>1</v>
      </c>
      <c r="D499">
        <v>1</v>
      </c>
      <c r="E499">
        <v>124.53</v>
      </c>
      <c r="F499" t="s">
        <v>568</v>
      </c>
      <c r="G499" t="s">
        <v>852</v>
      </c>
      <c r="H499" s="9" t="s">
        <v>1072</v>
      </c>
      <c r="I499">
        <f t="shared" si="27"/>
        <v>124.53</v>
      </c>
      <c r="J499">
        <f t="shared" si="28"/>
        <v>56.485857836100003</v>
      </c>
      <c r="K499">
        <v>2.5710000000000002</v>
      </c>
      <c r="L499">
        <f t="shared" si="29"/>
        <v>145.22514049661311</v>
      </c>
    </row>
    <row r="500" spans="1:13" x14ac:dyDescent="0.2">
      <c r="A500" s="4">
        <v>43437</v>
      </c>
      <c r="B500" t="s">
        <v>530</v>
      </c>
      <c r="C500">
        <v>4</v>
      </c>
      <c r="D500">
        <v>160</v>
      </c>
      <c r="E500">
        <f>1/16</f>
        <v>6.25E-2</v>
      </c>
      <c r="F500" t="s">
        <v>569</v>
      </c>
      <c r="G500" t="s">
        <v>852</v>
      </c>
      <c r="H500" s="9" t="s">
        <v>1072</v>
      </c>
      <c r="I500">
        <f t="shared" si="27"/>
        <v>40</v>
      </c>
      <c r="J500">
        <f t="shared" si="28"/>
        <v>18.143694800000002</v>
      </c>
      <c r="K500">
        <v>2.5710000000000002</v>
      </c>
      <c r="L500">
        <f t="shared" si="29"/>
        <v>46.647439330800012</v>
      </c>
    </row>
    <row r="501" spans="1:13" x14ac:dyDescent="0.2">
      <c r="A501" s="4">
        <v>43437</v>
      </c>
      <c r="B501" t="s">
        <v>530</v>
      </c>
      <c r="C501">
        <v>4</v>
      </c>
      <c r="D501">
        <v>2</v>
      </c>
      <c r="E501">
        <v>6</v>
      </c>
      <c r="F501" t="s">
        <v>402</v>
      </c>
      <c r="G501" t="s">
        <v>912</v>
      </c>
      <c r="H501" s="9" t="s">
        <v>1072</v>
      </c>
      <c r="I501">
        <f t="shared" si="27"/>
        <v>48</v>
      </c>
      <c r="J501">
        <f t="shared" si="28"/>
        <v>21.772433760000002</v>
      </c>
      <c r="K501">
        <v>2.5710000000000002</v>
      </c>
      <c r="L501">
        <f t="shared" si="29"/>
        <v>55.976927196960006</v>
      </c>
    </row>
    <row r="502" spans="1:13" x14ac:dyDescent="0.2">
      <c r="A502" s="4">
        <v>43439</v>
      </c>
      <c r="B502" t="s">
        <v>530</v>
      </c>
      <c r="C502">
        <v>3</v>
      </c>
      <c r="D502">
        <v>160</v>
      </c>
      <c r="E502">
        <f>1/16</f>
        <v>6.25E-2</v>
      </c>
      <c r="F502" t="s">
        <v>569</v>
      </c>
      <c r="G502" t="s">
        <v>852</v>
      </c>
      <c r="H502" s="9" t="s">
        <v>1072</v>
      </c>
      <c r="I502">
        <f t="shared" si="27"/>
        <v>30</v>
      </c>
      <c r="J502">
        <f t="shared" si="28"/>
        <v>13.607771100000001</v>
      </c>
      <c r="K502">
        <v>2.5710000000000002</v>
      </c>
      <c r="L502">
        <f t="shared" si="29"/>
        <v>34.985579498100002</v>
      </c>
    </row>
    <row r="503" spans="1:13" x14ac:dyDescent="0.2">
      <c r="A503" s="4">
        <v>43434</v>
      </c>
      <c r="B503" t="s">
        <v>538</v>
      </c>
      <c r="C503">
        <v>1</v>
      </c>
      <c r="D503">
        <v>4</v>
      </c>
      <c r="E503">
        <v>8.41</v>
      </c>
      <c r="F503" t="s">
        <v>558</v>
      </c>
      <c r="G503" t="s">
        <v>872</v>
      </c>
      <c r="H503" s="9" t="s">
        <v>1071</v>
      </c>
      <c r="I503">
        <f t="shared" si="27"/>
        <v>33.64</v>
      </c>
      <c r="J503">
        <f t="shared" si="28"/>
        <v>15.258847326800002</v>
      </c>
      <c r="K503">
        <v>0.34</v>
      </c>
      <c r="L503">
        <f t="shared" si="29"/>
        <v>5.1880080911120006</v>
      </c>
    </row>
    <row r="504" spans="1:13" x14ac:dyDescent="0.2">
      <c r="A504" s="4">
        <v>43437</v>
      </c>
      <c r="B504" t="s">
        <v>538</v>
      </c>
      <c r="C504">
        <v>1</v>
      </c>
      <c r="D504">
        <v>2</v>
      </c>
      <c r="E504" s="6">
        <f>5*2.39</f>
        <v>11.950000000000001</v>
      </c>
      <c r="F504" t="s">
        <v>450</v>
      </c>
      <c r="G504" t="s">
        <v>872</v>
      </c>
      <c r="H504" s="9" t="s">
        <v>1071</v>
      </c>
      <c r="I504">
        <f t="shared" si="27"/>
        <v>23.900000000000002</v>
      </c>
      <c r="J504">
        <f t="shared" si="28"/>
        <v>10.840857643000001</v>
      </c>
      <c r="K504">
        <v>0.34</v>
      </c>
      <c r="L504">
        <f t="shared" si="29"/>
        <v>3.6858915986200009</v>
      </c>
    </row>
    <row r="505" spans="1:13" x14ac:dyDescent="0.2">
      <c r="A505" s="4">
        <v>43439</v>
      </c>
      <c r="B505" t="s">
        <v>538</v>
      </c>
      <c r="C505">
        <v>1</v>
      </c>
      <c r="D505">
        <v>4</v>
      </c>
      <c r="E505">
        <v>8.41</v>
      </c>
      <c r="F505" t="s">
        <v>596</v>
      </c>
      <c r="G505" t="s">
        <v>872</v>
      </c>
      <c r="H505" s="9" t="s">
        <v>1071</v>
      </c>
      <c r="I505">
        <f t="shared" si="27"/>
        <v>33.64</v>
      </c>
      <c r="J505">
        <f t="shared" si="28"/>
        <v>15.258847326800002</v>
      </c>
      <c r="K505">
        <v>0.34</v>
      </c>
      <c r="L505">
        <f t="shared" si="29"/>
        <v>5.1880080911120006</v>
      </c>
    </row>
    <row r="506" spans="1:13" x14ac:dyDescent="0.2">
      <c r="A506" s="4">
        <v>43437</v>
      </c>
      <c r="B506" t="s">
        <v>538</v>
      </c>
      <c r="C506">
        <v>1</v>
      </c>
      <c r="D506">
        <v>6</v>
      </c>
      <c r="E506">
        <v>2</v>
      </c>
      <c r="F506" t="s">
        <v>570</v>
      </c>
      <c r="G506" s="6" t="s">
        <v>985</v>
      </c>
      <c r="H506" s="9" t="s">
        <v>1071</v>
      </c>
      <c r="I506">
        <f t="shared" si="27"/>
        <v>12</v>
      </c>
      <c r="J506">
        <f t="shared" si="28"/>
        <v>5.4431084400000005</v>
      </c>
      <c r="K506">
        <v>0.34699999999999998</v>
      </c>
      <c r="L506">
        <f t="shared" si="29"/>
        <v>1.88875862868</v>
      </c>
    </row>
    <row r="507" spans="1:13" x14ac:dyDescent="0.2">
      <c r="A507" s="4">
        <v>43437</v>
      </c>
      <c r="B507" t="s">
        <v>538</v>
      </c>
      <c r="C507">
        <v>1</v>
      </c>
      <c r="D507">
        <v>4</v>
      </c>
      <c r="E507">
        <v>8.41</v>
      </c>
      <c r="F507" t="s">
        <v>576</v>
      </c>
      <c r="G507" t="s">
        <v>873</v>
      </c>
      <c r="H507" s="9" t="s">
        <v>1071</v>
      </c>
      <c r="I507">
        <f t="shared" si="27"/>
        <v>33.64</v>
      </c>
      <c r="J507">
        <f t="shared" si="28"/>
        <v>15.258847326800002</v>
      </c>
      <c r="K507">
        <v>0.78</v>
      </c>
      <c r="L507">
        <f t="shared" si="29"/>
        <v>11.901900914904001</v>
      </c>
    </row>
    <row r="508" spans="1:13" x14ac:dyDescent="0.2">
      <c r="A508" s="4">
        <v>43437</v>
      </c>
      <c r="B508" t="s">
        <v>538</v>
      </c>
      <c r="C508">
        <v>1</v>
      </c>
      <c r="D508">
        <v>4</v>
      </c>
      <c r="E508">
        <v>8.41</v>
      </c>
      <c r="F508" t="s">
        <v>578</v>
      </c>
      <c r="G508" t="s">
        <v>873</v>
      </c>
      <c r="H508" s="9" t="s">
        <v>1071</v>
      </c>
      <c r="I508">
        <f t="shared" si="27"/>
        <v>33.64</v>
      </c>
      <c r="J508">
        <f t="shared" si="28"/>
        <v>15.258847326800002</v>
      </c>
      <c r="K508">
        <v>0.78</v>
      </c>
      <c r="L508">
        <f t="shared" si="29"/>
        <v>11.901900914904001</v>
      </c>
    </row>
    <row r="509" spans="1:13" x14ac:dyDescent="0.2">
      <c r="A509" s="4">
        <v>43439</v>
      </c>
      <c r="B509" t="s">
        <v>538</v>
      </c>
      <c r="C509">
        <v>1</v>
      </c>
      <c r="D509">
        <v>8</v>
      </c>
      <c r="E509">
        <f>12*0.0661387</f>
        <v>0.79366439999999994</v>
      </c>
      <c r="F509" t="s">
        <v>599</v>
      </c>
      <c r="G509" s="6" t="s">
        <v>856</v>
      </c>
      <c r="H509" s="9" t="s">
        <v>1071</v>
      </c>
      <c r="I509">
        <f t="shared" ref="I509:I514" si="30">C509*D509*E509</f>
        <v>6.3493151999999995</v>
      </c>
      <c r="J509">
        <f t="shared" si="28"/>
        <v>2.8800009294450239</v>
      </c>
      <c r="K509">
        <v>1.28</v>
      </c>
      <c r="L509">
        <f t="shared" si="29"/>
        <v>3.6864011896896307</v>
      </c>
    </row>
    <row r="510" spans="1:13" s="6" customFormat="1" x14ac:dyDescent="0.2">
      <c r="A510" s="4">
        <v>43439</v>
      </c>
      <c r="B510" t="s">
        <v>531</v>
      </c>
      <c r="C510">
        <v>1</v>
      </c>
      <c r="D510">
        <v>6</v>
      </c>
      <c r="E510">
        <f>12*0.0661387</f>
        <v>0.79366439999999994</v>
      </c>
      <c r="F510" t="s">
        <v>415</v>
      </c>
      <c r="G510" s="6" t="s">
        <v>856</v>
      </c>
      <c r="H510" s="9" t="s">
        <v>1071</v>
      </c>
      <c r="I510">
        <f t="shared" si="30"/>
        <v>4.7619863999999996</v>
      </c>
      <c r="J510">
        <f t="shared" si="28"/>
        <v>2.1600006970837682</v>
      </c>
      <c r="K510">
        <v>1.28</v>
      </c>
      <c r="L510">
        <f t="shared" si="29"/>
        <v>2.7648008922672234</v>
      </c>
      <c r="M510"/>
    </row>
    <row r="511" spans="1:13" s="6" customFormat="1" x14ac:dyDescent="0.2">
      <c r="A511" s="4">
        <v>43434</v>
      </c>
      <c r="B511" t="s">
        <v>538</v>
      </c>
      <c r="C511">
        <v>2</v>
      </c>
      <c r="D511">
        <v>12</v>
      </c>
      <c r="E511">
        <v>2</v>
      </c>
      <c r="F511" t="s">
        <v>557</v>
      </c>
      <c r="G511" s="14" t="s">
        <v>871</v>
      </c>
      <c r="H511" s="9" t="s">
        <v>1071</v>
      </c>
      <c r="I511">
        <f t="shared" si="30"/>
        <v>48</v>
      </c>
      <c r="J511">
        <f t="shared" si="28"/>
        <v>21.772433760000002</v>
      </c>
      <c r="K511"/>
      <c r="L511">
        <f t="shared" si="29"/>
        <v>0</v>
      </c>
      <c r="M511"/>
    </row>
    <row r="512" spans="1:13" s="6" customFormat="1" x14ac:dyDescent="0.2">
      <c r="A512" s="4">
        <v>43434</v>
      </c>
      <c r="B512" t="s">
        <v>517</v>
      </c>
      <c r="C512">
        <v>10</v>
      </c>
      <c r="D512">
        <v>2</v>
      </c>
      <c r="E512">
        <v>6</v>
      </c>
      <c r="F512" t="s">
        <v>383</v>
      </c>
      <c r="G512" t="s">
        <v>846</v>
      </c>
      <c r="H512" s="9" t="s">
        <v>1073</v>
      </c>
      <c r="I512">
        <f t="shared" si="30"/>
        <v>120</v>
      </c>
      <c r="J512">
        <f t="shared" si="28"/>
        <v>54.431084400000003</v>
      </c>
      <c r="K512">
        <v>1.33</v>
      </c>
      <c r="L512">
        <f t="shared" si="29"/>
        <v>72.393342252000011</v>
      </c>
      <c r="M512"/>
    </row>
    <row r="513" spans="1:13" s="6" customFormat="1" x14ac:dyDescent="0.2">
      <c r="A513" s="4">
        <v>43434</v>
      </c>
      <c r="B513" t="s">
        <v>517</v>
      </c>
      <c r="C513">
        <v>10</v>
      </c>
      <c r="D513">
        <v>2</v>
      </c>
      <c r="E513">
        <v>6</v>
      </c>
      <c r="F513" t="s">
        <v>384</v>
      </c>
      <c r="G513" t="s">
        <v>846</v>
      </c>
      <c r="H513" s="9" t="s">
        <v>1073</v>
      </c>
      <c r="I513">
        <f t="shared" si="30"/>
        <v>120</v>
      </c>
      <c r="J513">
        <f t="shared" si="28"/>
        <v>54.431084400000003</v>
      </c>
      <c r="K513">
        <v>1.33</v>
      </c>
      <c r="L513">
        <f t="shared" si="29"/>
        <v>72.393342252000011</v>
      </c>
      <c r="M513"/>
    </row>
    <row r="514" spans="1:13" s="6" customFormat="1" x14ac:dyDescent="0.2">
      <c r="A514" s="4">
        <v>43439</v>
      </c>
      <c r="B514" t="s">
        <v>517</v>
      </c>
      <c r="C514">
        <v>2</v>
      </c>
      <c r="D514">
        <v>2</v>
      </c>
      <c r="E514">
        <v>6</v>
      </c>
      <c r="F514" t="s">
        <v>384</v>
      </c>
      <c r="G514" t="s">
        <v>846</v>
      </c>
      <c r="H514" s="9" t="s">
        <v>1073</v>
      </c>
      <c r="I514">
        <f t="shared" si="30"/>
        <v>24</v>
      </c>
      <c r="J514">
        <f t="shared" si="28"/>
        <v>10.886216880000001</v>
      </c>
      <c r="K514">
        <v>1.33</v>
      </c>
      <c r="L514">
        <f t="shared" si="29"/>
        <v>14.478668450400002</v>
      </c>
    </row>
    <row r="515" spans="1:13" s="6" customFormat="1" x14ac:dyDescent="0.2">
      <c r="A515"/>
      <c r="B515"/>
      <c r="C515"/>
      <c r="D515"/>
      <c r="E515"/>
      <c r="F515"/>
      <c r="G515"/>
      <c r="H515"/>
      <c r="I515"/>
      <c r="J515"/>
      <c r="K515"/>
      <c r="L515" s="33">
        <f>SUM(L3:L514)</f>
        <v>55324.596149525249</v>
      </c>
    </row>
    <row r="516" spans="1:13" s="6" customFormat="1" x14ac:dyDescent="0.2">
      <c r="A516"/>
      <c r="B516"/>
      <c r="C516"/>
      <c r="D516"/>
      <c r="E516"/>
      <c r="F516"/>
      <c r="G516"/>
      <c r="H516"/>
      <c r="I516"/>
      <c r="J516"/>
      <c r="K516"/>
      <c r="L516"/>
    </row>
  </sheetData>
  <sortState ref="A3:L515">
    <sortCondition ref="G514"/>
  </sortState>
  <mergeCells count="1">
    <mergeCell ref="A1:L1"/>
  </mergeCells>
  <phoneticPr fontId="12" type="noConversion"/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N516"/>
  <sheetViews>
    <sheetView workbookViewId="0">
      <pane ySplit="2" topLeftCell="A495" activePane="bottomLeft" state="frozen"/>
      <selection activeCell="B126" sqref="B126"/>
      <selection pane="bottomLeft" activeCell="B126" sqref="B126"/>
    </sheetView>
  </sheetViews>
  <sheetFormatPr baseColWidth="10" defaultRowHeight="16" x14ac:dyDescent="0.2"/>
  <cols>
    <col min="2" max="2" width="17.83203125" bestFit="1" customWidth="1"/>
    <col min="5" max="5" width="13.5" bestFit="1" customWidth="1"/>
    <col min="6" max="8" width="20" customWidth="1"/>
    <col min="10" max="10" width="11.83203125" customWidth="1"/>
    <col min="11" max="11" width="18.1640625" bestFit="1" customWidth="1"/>
    <col min="12" max="12" width="16" bestFit="1" customWidth="1"/>
  </cols>
  <sheetData>
    <row r="1" spans="1:12" x14ac:dyDescent="0.2">
      <c r="A1" s="94" t="s">
        <v>601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x14ac:dyDescent="0.2">
      <c r="A2" s="1" t="s">
        <v>0</v>
      </c>
      <c r="B2" s="1" t="s">
        <v>1</v>
      </c>
      <c r="C2" s="2" t="s">
        <v>172</v>
      </c>
      <c r="D2" s="2" t="s">
        <v>472</v>
      </c>
      <c r="E2" s="2" t="s">
        <v>173</v>
      </c>
      <c r="F2" s="3" t="s">
        <v>4</v>
      </c>
      <c r="G2" s="3" t="s">
        <v>780</v>
      </c>
      <c r="H2" s="3" t="s">
        <v>934</v>
      </c>
      <c r="I2" s="3" t="s">
        <v>5</v>
      </c>
      <c r="J2" s="3" t="s">
        <v>6</v>
      </c>
      <c r="K2" s="1" t="s">
        <v>7</v>
      </c>
      <c r="L2" s="1" t="s">
        <v>8</v>
      </c>
    </row>
    <row r="3" spans="1:12" x14ac:dyDescent="0.2">
      <c r="A3" s="13">
        <v>43487</v>
      </c>
      <c r="B3" s="6" t="s">
        <v>22</v>
      </c>
      <c r="C3" s="6">
        <v>1</v>
      </c>
      <c r="D3" s="6">
        <v>1</v>
      </c>
      <c r="E3" s="6">
        <v>79.2</v>
      </c>
      <c r="F3" s="6" t="s">
        <v>289</v>
      </c>
      <c r="G3" s="6" t="s">
        <v>767</v>
      </c>
      <c r="H3" s="6" t="s">
        <v>1071</v>
      </c>
      <c r="I3">
        <f t="shared" ref="I3:I34" si="0">C3*D3*E3</f>
        <v>79.2</v>
      </c>
      <c r="J3">
        <f t="shared" ref="J3:J66" si="1">CONVERT(I3,"lbm","kg")</f>
        <v>35.924515704000008</v>
      </c>
      <c r="K3">
        <v>0.22800000000000001</v>
      </c>
      <c r="L3">
        <f t="shared" ref="L3:L66" si="2">K3*J3</f>
        <v>8.1907895805120017</v>
      </c>
    </row>
    <row r="4" spans="1:12" x14ac:dyDescent="0.2">
      <c r="A4" s="13">
        <v>43487</v>
      </c>
      <c r="B4" s="6" t="s">
        <v>22</v>
      </c>
      <c r="C4" s="6">
        <v>1</v>
      </c>
      <c r="D4" s="6">
        <v>1</v>
      </c>
      <c r="E4" s="6">
        <v>80</v>
      </c>
      <c r="F4" s="6" t="s">
        <v>180</v>
      </c>
      <c r="G4" s="6" t="s">
        <v>767</v>
      </c>
      <c r="H4" s="6" t="s">
        <v>1071</v>
      </c>
      <c r="I4">
        <f t="shared" si="0"/>
        <v>80</v>
      </c>
      <c r="J4">
        <f t="shared" si="1"/>
        <v>36.287389600000004</v>
      </c>
      <c r="K4">
        <v>0.22800000000000001</v>
      </c>
      <c r="L4">
        <f t="shared" si="2"/>
        <v>8.2735248288000012</v>
      </c>
    </row>
    <row r="5" spans="1:12" x14ac:dyDescent="0.2">
      <c r="A5" s="13">
        <v>43487</v>
      </c>
      <c r="B5" s="6" t="s">
        <v>22</v>
      </c>
      <c r="C5" s="6">
        <v>1</v>
      </c>
      <c r="D5" s="6">
        <v>1</v>
      </c>
      <c r="E5" s="6">
        <v>69</v>
      </c>
      <c r="F5" s="6" t="s">
        <v>607</v>
      </c>
      <c r="G5" s="6" t="s">
        <v>767</v>
      </c>
      <c r="H5" s="6" t="s">
        <v>1071</v>
      </c>
      <c r="I5">
        <f t="shared" si="0"/>
        <v>69</v>
      </c>
      <c r="J5">
        <f t="shared" si="1"/>
        <v>31.29787353</v>
      </c>
      <c r="K5">
        <v>0.22800000000000001</v>
      </c>
      <c r="L5">
        <f t="shared" si="2"/>
        <v>7.1359151648400001</v>
      </c>
    </row>
    <row r="6" spans="1:12" x14ac:dyDescent="0.2">
      <c r="A6" s="13">
        <v>43483</v>
      </c>
      <c r="B6" s="6" t="s">
        <v>22</v>
      </c>
      <c r="C6" s="6">
        <v>1</v>
      </c>
      <c r="D6" s="6">
        <v>1</v>
      </c>
      <c r="E6" s="6">
        <v>120</v>
      </c>
      <c r="F6" s="6" t="s">
        <v>180</v>
      </c>
      <c r="G6" s="6" t="s">
        <v>767</v>
      </c>
      <c r="H6" s="6" t="s">
        <v>1071</v>
      </c>
      <c r="I6">
        <f t="shared" si="0"/>
        <v>120</v>
      </c>
      <c r="J6">
        <f t="shared" si="1"/>
        <v>54.431084400000003</v>
      </c>
      <c r="K6">
        <v>0.22800000000000001</v>
      </c>
      <c r="L6">
        <f t="shared" si="2"/>
        <v>12.410287243200001</v>
      </c>
    </row>
    <row r="7" spans="1:12" x14ac:dyDescent="0.2">
      <c r="A7" s="4">
        <v>43487</v>
      </c>
      <c r="B7" t="s">
        <v>48</v>
      </c>
      <c r="C7" s="28">
        <v>2</v>
      </c>
      <c r="D7" s="6">
        <v>1</v>
      </c>
      <c r="E7">
        <f>125*(1/3)</f>
        <v>41.666666666666664</v>
      </c>
      <c r="F7" t="s">
        <v>476</v>
      </c>
      <c r="G7" t="s">
        <v>835</v>
      </c>
      <c r="H7" s="6" t="s">
        <v>1071</v>
      </c>
      <c r="I7">
        <f t="shared" si="0"/>
        <v>83.333333333333329</v>
      </c>
      <c r="J7">
        <f t="shared" si="1"/>
        <v>37.79936416666667</v>
      </c>
      <c r="K7">
        <v>0.22800000000000001</v>
      </c>
      <c r="L7">
        <f t="shared" si="2"/>
        <v>8.618255030000002</v>
      </c>
    </row>
    <row r="8" spans="1:12" x14ac:dyDescent="0.2">
      <c r="A8" s="4">
        <v>43487</v>
      </c>
      <c r="B8" t="s">
        <v>48</v>
      </c>
      <c r="C8" s="28">
        <v>3</v>
      </c>
      <c r="D8" s="6">
        <v>1</v>
      </c>
      <c r="E8">
        <f>88*1/3</f>
        <v>29.333333333333332</v>
      </c>
      <c r="F8" t="s">
        <v>625</v>
      </c>
      <c r="G8" t="s">
        <v>835</v>
      </c>
      <c r="H8" s="6" t="s">
        <v>1071</v>
      </c>
      <c r="I8">
        <f t="shared" si="0"/>
        <v>88</v>
      </c>
      <c r="J8">
        <f t="shared" si="1"/>
        <v>39.916128560000004</v>
      </c>
      <c r="K8">
        <v>0.22800000000000001</v>
      </c>
      <c r="L8">
        <f t="shared" si="2"/>
        <v>9.1008773116800015</v>
      </c>
    </row>
    <row r="9" spans="1:12" x14ac:dyDescent="0.2">
      <c r="A9" s="13">
        <v>43483</v>
      </c>
      <c r="B9" s="6" t="s">
        <v>22</v>
      </c>
      <c r="C9" s="6">
        <v>1</v>
      </c>
      <c r="D9" s="6">
        <v>1</v>
      </c>
      <c r="E9" s="6">
        <v>118.8</v>
      </c>
      <c r="F9" s="6" t="s">
        <v>289</v>
      </c>
      <c r="G9" s="6" t="s">
        <v>754</v>
      </c>
      <c r="H9" s="6" t="s">
        <v>1071</v>
      </c>
      <c r="I9">
        <f t="shared" si="0"/>
        <v>118.8</v>
      </c>
      <c r="J9">
        <f t="shared" si="1"/>
        <v>53.886773556000001</v>
      </c>
      <c r="K9">
        <v>0.22800000000000001</v>
      </c>
      <c r="L9">
        <f t="shared" si="2"/>
        <v>12.286184370768002</v>
      </c>
    </row>
    <row r="10" spans="1:12" x14ac:dyDescent="0.2">
      <c r="A10" s="4">
        <v>43484</v>
      </c>
      <c r="B10" t="s">
        <v>48</v>
      </c>
      <c r="C10" s="28">
        <v>4</v>
      </c>
      <c r="D10" s="6">
        <v>1</v>
      </c>
      <c r="E10">
        <v>10</v>
      </c>
      <c r="F10" t="s">
        <v>636</v>
      </c>
      <c r="G10" t="s">
        <v>754</v>
      </c>
      <c r="H10" s="6" t="s">
        <v>1071</v>
      </c>
      <c r="I10">
        <f t="shared" si="0"/>
        <v>40</v>
      </c>
      <c r="J10">
        <f t="shared" si="1"/>
        <v>18.143694800000002</v>
      </c>
      <c r="K10">
        <v>0.22800000000000001</v>
      </c>
      <c r="L10">
        <f t="shared" si="2"/>
        <v>4.1367624144000006</v>
      </c>
    </row>
    <row r="11" spans="1:12" x14ac:dyDescent="0.2">
      <c r="A11" s="4">
        <v>43487</v>
      </c>
      <c r="B11" t="s">
        <v>48</v>
      </c>
      <c r="C11" s="28">
        <v>7</v>
      </c>
      <c r="D11" s="6">
        <v>1</v>
      </c>
      <c r="E11">
        <v>11</v>
      </c>
      <c r="F11" t="s">
        <v>337</v>
      </c>
      <c r="G11" t="s">
        <v>816</v>
      </c>
      <c r="H11" s="6" t="s">
        <v>1071</v>
      </c>
      <c r="I11">
        <f t="shared" si="0"/>
        <v>77</v>
      </c>
      <c r="J11">
        <f t="shared" si="1"/>
        <v>34.926612490000004</v>
      </c>
      <c r="K11">
        <v>2.1709999999999998</v>
      </c>
      <c r="L11">
        <f t="shared" si="2"/>
        <v>75.825675715789998</v>
      </c>
    </row>
    <row r="12" spans="1:12" x14ac:dyDescent="0.2">
      <c r="A12" s="4">
        <v>43489</v>
      </c>
      <c r="B12" t="s">
        <v>48</v>
      </c>
      <c r="C12" s="28">
        <v>9</v>
      </c>
      <c r="D12" s="6">
        <v>1</v>
      </c>
      <c r="E12">
        <v>11</v>
      </c>
      <c r="F12" t="s">
        <v>337</v>
      </c>
      <c r="G12" t="s">
        <v>816</v>
      </c>
      <c r="H12" s="6" t="s">
        <v>1071</v>
      </c>
      <c r="I12">
        <f t="shared" si="0"/>
        <v>99</v>
      </c>
      <c r="J12">
        <f t="shared" si="1"/>
        <v>44.905644630000005</v>
      </c>
      <c r="K12">
        <v>2.1709999999999998</v>
      </c>
      <c r="L12">
        <f t="shared" si="2"/>
        <v>97.490154491729996</v>
      </c>
    </row>
    <row r="13" spans="1:12" x14ac:dyDescent="0.2">
      <c r="A13" s="4">
        <v>43487</v>
      </c>
      <c r="B13" t="s">
        <v>48</v>
      </c>
      <c r="C13" s="28">
        <v>2</v>
      </c>
      <c r="D13" s="6">
        <v>1</v>
      </c>
      <c r="E13">
        <v>48</v>
      </c>
      <c r="F13" t="s">
        <v>629</v>
      </c>
      <c r="G13" t="s">
        <v>629</v>
      </c>
      <c r="H13" s="6" t="s">
        <v>1071</v>
      </c>
      <c r="I13">
        <f t="shared" si="0"/>
        <v>96</v>
      </c>
      <c r="J13">
        <f t="shared" si="1"/>
        <v>43.544867520000004</v>
      </c>
      <c r="K13">
        <v>0.54700000000000004</v>
      </c>
      <c r="L13">
        <f t="shared" si="2"/>
        <v>23.819042533440005</v>
      </c>
    </row>
    <row r="14" spans="1:12" x14ac:dyDescent="0.2">
      <c r="A14" s="4">
        <v>43487</v>
      </c>
      <c r="B14" t="s">
        <v>48</v>
      </c>
      <c r="C14" s="28">
        <v>6</v>
      </c>
      <c r="D14" s="6">
        <v>1</v>
      </c>
      <c r="E14">
        <v>40</v>
      </c>
      <c r="F14" t="s">
        <v>249</v>
      </c>
      <c r="G14" t="s">
        <v>783</v>
      </c>
      <c r="H14" s="6" t="s">
        <v>1071</v>
      </c>
      <c r="I14">
        <f t="shared" si="0"/>
        <v>240</v>
      </c>
      <c r="J14">
        <f t="shared" si="1"/>
        <v>108.86216880000001</v>
      </c>
      <c r="K14">
        <v>0.374</v>
      </c>
      <c r="L14">
        <f t="shared" si="2"/>
        <v>40.714451131200001</v>
      </c>
    </row>
    <row r="15" spans="1:12" x14ac:dyDescent="0.2">
      <c r="A15" s="4">
        <v>43489</v>
      </c>
      <c r="B15" t="s">
        <v>48</v>
      </c>
      <c r="C15" s="28">
        <v>4</v>
      </c>
      <c r="D15" s="6">
        <v>1</v>
      </c>
      <c r="E15">
        <v>40</v>
      </c>
      <c r="F15" t="s">
        <v>249</v>
      </c>
      <c r="G15" t="s">
        <v>783</v>
      </c>
      <c r="H15" s="6" t="s">
        <v>1071</v>
      </c>
      <c r="I15">
        <f t="shared" si="0"/>
        <v>160</v>
      </c>
      <c r="J15">
        <f t="shared" si="1"/>
        <v>72.574779200000009</v>
      </c>
      <c r="K15">
        <v>0.374</v>
      </c>
      <c r="L15">
        <f t="shared" si="2"/>
        <v>27.142967420800002</v>
      </c>
    </row>
    <row r="16" spans="1:12" x14ac:dyDescent="0.2">
      <c r="A16" s="4">
        <v>43488</v>
      </c>
      <c r="B16" t="s">
        <v>48</v>
      </c>
      <c r="C16" s="28">
        <v>10</v>
      </c>
      <c r="D16" s="6">
        <v>1</v>
      </c>
      <c r="E16">
        <v>40</v>
      </c>
      <c r="F16" t="s">
        <v>249</v>
      </c>
      <c r="G16" t="s">
        <v>783</v>
      </c>
      <c r="H16" s="6" t="s">
        <v>1071</v>
      </c>
      <c r="I16">
        <f t="shared" si="0"/>
        <v>400</v>
      </c>
      <c r="J16">
        <f t="shared" si="1"/>
        <v>181.436948</v>
      </c>
      <c r="K16">
        <v>0.374</v>
      </c>
      <c r="L16">
        <f t="shared" si="2"/>
        <v>67.857418551999999</v>
      </c>
    </row>
    <row r="17" spans="1:12" x14ac:dyDescent="0.2">
      <c r="A17" s="4">
        <v>43484</v>
      </c>
      <c r="B17" t="s">
        <v>48</v>
      </c>
      <c r="C17" s="28">
        <v>6</v>
      </c>
      <c r="D17" s="6">
        <v>1</v>
      </c>
      <c r="E17">
        <v>40</v>
      </c>
      <c r="F17" t="s">
        <v>249</v>
      </c>
      <c r="G17" t="s">
        <v>783</v>
      </c>
      <c r="H17" s="6" t="s">
        <v>1071</v>
      </c>
      <c r="I17">
        <f t="shared" si="0"/>
        <v>240</v>
      </c>
      <c r="J17">
        <f t="shared" si="1"/>
        <v>108.86216880000001</v>
      </c>
      <c r="K17">
        <v>0.374</v>
      </c>
      <c r="L17">
        <f t="shared" si="2"/>
        <v>40.714451131200001</v>
      </c>
    </row>
    <row r="18" spans="1:12" x14ac:dyDescent="0.2">
      <c r="A18" s="4">
        <v>43483</v>
      </c>
      <c r="B18" t="s">
        <v>48</v>
      </c>
      <c r="C18" s="28">
        <v>8</v>
      </c>
      <c r="D18" s="6">
        <v>1</v>
      </c>
      <c r="E18">
        <v>40</v>
      </c>
      <c r="F18" t="s">
        <v>249</v>
      </c>
      <c r="G18" t="s">
        <v>783</v>
      </c>
      <c r="H18" s="6" t="s">
        <v>1071</v>
      </c>
      <c r="I18">
        <f t="shared" si="0"/>
        <v>320</v>
      </c>
      <c r="J18">
        <f t="shared" si="1"/>
        <v>145.14955840000002</v>
      </c>
      <c r="K18">
        <v>0.374</v>
      </c>
      <c r="L18">
        <f t="shared" si="2"/>
        <v>54.285934841600003</v>
      </c>
    </row>
    <row r="19" spans="1:12" x14ac:dyDescent="0.2">
      <c r="A19" s="4">
        <v>43483</v>
      </c>
      <c r="B19" t="s">
        <v>538</v>
      </c>
      <c r="C19">
        <v>1</v>
      </c>
      <c r="D19">
        <v>12</v>
      </c>
      <c r="E19">
        <v>1</v>
      </c>
      <c r="F19" t="s">
        <v>426</v>
      </c>
      <c r="G19" t="s">
        <v>929</v>
      </c>
      <c r="H19" s="6" t="s">
        <v>1071</v>
      </c>
      <c r="I19">
        <f t="shared" si="0"/>
        <v>12</v>
      </c>
      <c r="J19">
        <f t="shared" si="1"/>
        <v>5.4431084400000005</v>
      </c>
      <c r="K19">
        <v>0.39300000000000002</v>
      </c>
      <c r="L19">
        <f t="shared" si="2"/>
        <v>2.1391416169200004</v>
      </c>
    </row>
    <row r="20" spans="1:12" x14ac:dyDescent="0.2">
      <c r="A20" s="4">
        <v>43486</v>
      </c>
      <c r="B20" t="s">
        <v>538</v>
      </c>
      <c r="C20">
        <v>1</v>
      </c>
      <c r="D20">
        <v>12</v>
      </c>
      <c r="E20">
        <v>1</v>
      </c>
      <c r="F20" t="s">
        <v>426</v>
      </c>
      <c r="G20" t="s">
        <v>929</v>
      </c>
      <c r="H20" s="6" t="s">
        <v>1071</v>
      </c>
      <c r="I20">
        <f t="shared" si="0"/>
        <v>12</v>
      </c>
      <c r="J20">
        <f t="shared" si="1"/>
        <v>5.4431084400000005</v>
      </c>
      <c r="K20">
        <v>0.39300000000000002</v>
      </c>
      <c r="L20">
        <f t="shared" si="2"/>
        <v>2.1391416169200004</v>
      </c>
    </row>
    <row r="21" spans="1:12" x14ac:dyDescent="0.2">
      <c r="A21" s="4">
        <v>43487</v>
      </c>
      <c r="B21" t="s">
        <v>48</v>
      </c>
      <c r="C21" s="28">
        <v>2</v>
      </c>
      <c r="D21" s="6">
        <v>1</v>
      </c>
      <c r="E21">
        <v>1</v>
      </c>
      <c r="F21" t="s">
        <v>305</v>
      </c>
      <c r="G21" t="s">
        <v>184</v>
      </c>
      <c r="H21" s="6" t="s">
        <v>1071</v>
      </c>
      <c r="I21">
        <f t="shared" si="0"/>
        <v>2</v>
      </c>
      <c r="J21">
        <f t="shared" si="1"/>
        <v>0.90718474000000004</v>
      </c>
      <c r="K21">
        <v>0.221</v>
      </c>
      <c r="L21">
        <f t="shared" si="2"/>
        <v>0.20048782754000002</v>
      </c>
    </row>
    <row r="22" spans="1:12" x14ac:dyDescent="0.2">
      <c r="A22" s="4">
        <v>43489</v>
      </c>
      <c r="B22" t="s">
        <v>48</v>
      </c>
      <c r="C22" s="28">
        <v>3</v>
      </c>
      <c r="D22" s="6">
        <v>1</v>
      </c>
      <c r="E22">
        <v>1</v>
      </c>
      <c r="F22" t="s">
        <v>305</v>
      </c>
      <c r="G22" t="s">
        <v>184</v>
      </c>
      <c r="H22" s="6" t="s">
        <v>1071</v>
      </c>
      <c r="I22">
        <f t="shared" si="0"/>
        <v>3</v>
      </c>
      <c r="J22">
        <f t="shared" si="1"/>
        <v>1.3607771100000001</v>
      </c>
      <c r="K22">
        <v>0.221</v>
      </c>
      <c r="L22">
        <f t="shared" si="2"/>
        <v>0.30073174131000002</v>
      </c>
    </row>
    <row r="23" spans="1:12" x14ac:dyDescent="0.2">
      <c r="A23" s="4">
        <v>43488</v>
      </c>
      <c r="B23" t="s">
        <v>48</v>
      </c>
      <c r="C23" s="28">
        <v>3</v>
      </c>
      <c r="D23" s="6">
        <v>1</v>
      </c>
      <c r="E23">
        <v>1</v>
      </c>
      <c r="F23" t="s">
        <v>305</v>
      </c>
      <c r="G23" t="s">
        <v>184</v>
      </c>
      <c r="H23" s="6" t="s">
        <v>1071</v>
      </c>
      <c r="I23">
        <f t="shared" si="0"/>
        <v>3</v>
      </c>
      <c r="J23">
        <f t="shared" si="1"/>
        <v>1.3607771100000001</v>
      </c>
      <c r="K23">
        <v>0.221</v>
      </c>
      <c r="L23">
        <f t="shared" si="2"/>
        <v>0.30073174131000002</v>
      </c>
    </row>
    <row r="24" spans="1:12" x14ac:dyDescent="0.2">
      <c r="A24" s="4">
        <v>43483</v>
      </c>
      <c r="B24" t="s">
        <v>48</v>
      </c>
      <c r="C24" s="28">
        <v>3</v>
      </c>
      <c r="D24" s="6">
        <v>1</v>
      </c>
      <c r="E24">
        <v>1</v>
      </c>
      <c r="F24" t="s">
        <v>305</v>
      </c>
      <c r="G24" t="s">
        <v>184</v>
      </c>
      <c r="H24" s="6" t="s">
        <v>1071</v>
      </c>
      <c r="I24">
        <f t="shared" si="0"/>
        <v>3</v>
      </c>
      <c r="J24">
        <f t="shared" si="1"/>
        <v>1.3607771100000001</v>
      </c>
      <c r="K24">
        <v>0.221</v>
      </c>
      <c r="L24">
        <f t="shared" si="2"/>
        <v>0.30073174131000002</v>
      </c>
    </row>
    <row r="25" spans="1:12" x14ac:dyDescent="0.2">
      <c r="A25" s="4">
        <v>43483</v>
      </c>
      <c r="B25" t="s">
        <v>538</v>
      </c>
      <c r="C25">
        <v>1</v>
      </c>
      <c r="D25">
        <v>6</v>
      </c>
      <c r="E25">
        <v>10</v>
      </c>
      <c r="F25" t="s">
        <v>655</v>
      </c>
      <c r="G25" t="s">
        <v>844</v>
      </c>
      <c r="H25" s="6" t="s">
        <v>1071</v>
      </c>
      <c r="I25">
        <f t="shared" si="0"/>
        <v>60</v>
      </c>
      <c r="J25">
        <f t="shared" si="1"/>
        <v>27.215542200000002</v>
      </c>
      <c r="K25">
        <v>0.308</v>
      </c>
      <c r="L25">
        <f t="shared" si="2"/>
        <v>8.3823869976000012</v>
      </c>
    </row>
    <row r="26" spans="1:12" x14ac:dyDescent="0.2">
      <c r="A26" s="4">
        <v>43483</v>
      </c>
      <c r="B26" t="s">
        <v>538</v>
      </c>
      <c r="C26">
        <v>3</v>
      </c>
      <c r="D26">
        <v>6</v>
      </c>
      <c r="E26">
        <v>10</v>
      </c>
      <c r="F26" t="s">
        <v>420</v>
      </c>
      <c r="G26" t="s">
        <v>898</v>
      </c>
      <c r="H26" s="6" t="s">
        <v>1071</v>
      </c>
      <c r="I26">
        <f t="shared" si="0"/>
        <v>180</v>
      </c>
      <c r="J26">
        <f t="shared" si="1"/>
        <v>81.646626600000005</v>
      </c>
      <c r="K26">
        <v>0.308</v>
      </c>
      <c r="L26">
        <f t="shared" si="2"/>
        <v>25.1471609928</v>
      </c>
    </row>
    <row r="27" spans="1:12" x14ac:dyDescent="0.2">
      <c r="A27" s="4">
        <v>43483</v>
      </c>
      <c r="B27" t="s">
        <v>538</v>
      </c>
      <c r="C27">
        <v>1</v>
      </c>
      <c r="D27">
        <v>1</v>
      </c>
      <c r="E27">
        <v>20</v>
      </c>
      <c r="F27" t="s">
        <v>665</v>
      </c>
      <c r="G27" t="s">
        <v>979</v>
      </c>
      <c r="H27" s="6" t="s">
        <v>1071</v>
      </c>
      <c r="I27">
        <f t="shared" si="0"/>
        <v>20</v>
      </c>
      <c r="J27">
        <f t="shared" si="1"/>
        <v>9.0718474000000011</v>
      </c>
      <c r="K27">
        <v>0.308</v>
      </c>
      <c r="L27">
        <f t="shared" si="2"/>
        <v>2.7941289992000002</v>
      </c>
    </row>
    <row r="28" spans="1:12" x14ac:dyDescent="0.2">
      <c r="A28" s="4">
        <v>43483</v>
      </c>
      <c r="B28" t="s">
        <v>538</v>
      </c>
      <c r="C28">
        <v>1</v>
      </c>
      <c r="D28">
        <v>1</v>
      </c>
      <c r="E28">
        <v>20</v>
      </c>
      <c r="F28" t="s">
        <v>437</v>
      </c>
      <c r="G28" t="s">
        <v>974</v>
      </c>
      <c r="H28" s="6" t="s">
        <v>1071</v>
      </c>
      <c r="I28">
        <f t="shared" si="0"/>
        <v>20</v>
      </c>
      <c r="J28">
        <f t="shared" si="1"/>
        <v>9.0718474000000011</v>
      </c>
      <c r="K28">
        <v>0.308</v>
      </c>
      <c r="L28">
        <f t="shared" si="2"/>
        <v>2.7941289992000002</v>
      </c>
    </row>
    <row r="29" spans="1:12" x14ac:dyDescent="0.2">
      <c r="A29" s="4">
        <v>43486</v>
      </c>
      <c r="B29" t="s">
        <v>538</v>
      </c>
      <c r="C29">
        <v>1</v>
      </c>
      <c r="D29">
        <v>1</v>
      </c>
      <c r="E29">
        <v>20</v>
      </c>
      <c r="F29" t="s">
        <v>437</v>
      </c>
      <c r="G29" t="s">
        <v>974</v>
      </c>
      <c r="H29" s="6" t="s">
        <v>1071</v>
      </c>
      <c r="I29">
        <f t="shared" si="0"/>
        <v>20</v>
      </c>
      <c r="J29">
        <f t="shared" si="1"/>
        <v>9.0718474000000011</v>
      </c>
      <c r="K29">
        <v>0.308</v>
      </c>
      <c r="L29">
        <f t="shared" si="2"/>
        <v>2.7941289992000002</v>
      </c>
    </row>
    <row r="30" spans="1:12" x14ac:dyDescent="0.2">
      <c r="A30" s="4">
        <v>43483</v>
      </c>
      <c r="B30" t="s">
        <v>538</v>
      </c>
      <c r="C30">
        <v>1</v>
      </c>
      <c r="D30">
        <v>1</v>
      </c>
      <c r="E30">
        <v>20</v>
      </c>
      <c r="F30" t="s">
        <v>658</v>
      </c>
      <c r="G30" t="s">
        <v>922</v>
      </c>
      <c r="H30" s="6" t="s">
        <v>1071</v>
      </c>
      <c r="I30">
        <f t="shared" si="0"/>
        <v>20</v>
      </c>
      <c r="J30">
        <f t="shared" si="1"/>
        <v>9.0718474000000011</v>
      </c>
      <c r="K30">
        <v>0.308</v>
      </c>
      <c r="L30">
        <f t="shared" si="2"/>
        <v>2.7941289992000002</v>
      </c>
    </row>
    <row r="31" spans="1:12" x14ac:dyDescent="0.2">
      <c r="A31" s="4">
        <v>43488</v>
      </c>
      <c r="B31" t="s">
        <v>538</v>
      </c>
      <c r="C31">
        <v>1</v>
      </c>
      <c r="D31">
        <v>1</v>
      </c>
      <c r="E31">
        <v>20</v>
      </c>
      <c r="F31" t="s">
        <v>658</v>
      </c>
      <c r="G31" t="s">
        <v>922</v>
      </c>
      <c r="H31" s="6" t="s">
        <v>1071</v>
      </c>
      <c r="I31">
        <f t="shared" si="0"/>
        <v>20</v>
      </c>
      <c r="J31">
        <f t="shared" si="1"/>
        <v>9.0718474000000011</v>
      </c>
      <c r="K31">
        <v>0.308</v>
      </c>
      <c r="L31">
        <f t="shared" si="2"/>
        <v>2.7941289992000002</v>
      </c>
    </row>
    <row r="32" spans="1:12" x14ac:dyDescent="0.2">
      <c r="A32" s="4">
        <v>43483</v>
      </c>
      <c r="B32" t="s">
        <v>538</v>
      </c>
      <c r="C32">
        <v>1</v>
      </c>
      <c r="D32">
        <v>1</v>
      </c>
      <c r="E32">
        <v>20</v>
      </c>
      <c r="F32" t="s">
        <v>591</v>
      </c>
      <c r="G32" t="s">
        <v>972</v>
      </c>
      <c r="H32" s="6" t="s">
        <v>1071</v>
      </c>
      <c r="I32">
        <f t="shared" si="0"/>
        <v>20</v>
      </c>
      <c r="J32">
        <f t="shared" si="1"/>
        <v>9.0718474000000011</v>
      </c>
      <c r="K32">
        <v>0.308</v>
      </c>
      <c r="L32">
        <f t="shared" si="2"/>
        <v>2.7941289992000002</v>
      </c>
    </row>
    <row r="33" spans="1:14" x14ac:dyDescent="0.2">
      <c r="A33" s="4">
        <v>43488</v>
      </c>
      <c r="B33" t="s">
        <v>48</v>
      </c>
      <c r="C33" s="28">
        <v>4</v>
      </c>
      <c r="D33" s="6">
        <v>1</v>
      </c>
      <c r="E33">
        <v>10</v>
      </c>
      <c r="F33" t="s">
        <v>487</v>
      </c>
      <c r="G33" t="s">
        <v>833</v>
      </c>
      <c r="H33" s="6" t="s">
        <v>1071</v>
      </c>
      <c r="I33">
        <f t="shared" si="0"/>
        <v>40</v>
      </c>
      <c r="J33">
        <f t="shared" si="1"/>
        <v>18.143694800000002</v>
      </c>
      <c r="K33">
        <v>0.754</v>
      </c>
      <c r="L33">
        <f t="shared" si="2"/>
        <v>13.680345879200003</v>
      </c>
    </row>
    <row r="34" spans="1:14" x14ac:dyDescent="0.2">
      <c r="A34" s="4">
        <v>43483</v>
      </c>
      <c r="B34" t="s">
        <v>48</v>
      </c>
      <c r="C34" s="28">
        <v>1</v>
      </c>
      <c r="D34" s="6">
        <v>1</v>
      </c>
      <c r="E34">
        <v>10</v>
      </c>
      <c r="F34" t="s">
        <v>358</v>
      </c>
      <c r="G34" t="s">
        <v>833</v>
      </c>
      <c r="H34" s="6" t="s">
        <v>1071</v>
      </c>
      <c r="I34">
        <f t="shared" si="0"/>
        <v>10</v>
      </c>
      <c r="J34">
        <f t="shared" si="1"/>
        <v>4.5359237000000006</v>
      </c>
      <c r="K34">
        <v>0.754</v>
      </c>
      <c r="L34">
        <f t="shared" si="2"/>
        <v>3.4200864698000006</v>
      </c>
    </row>
    <row r="35" spans="1:14" x14ac:dyDescent="0.2">
      <c r="A35" s="4">
        <v>43483</v>
      </c>
      <c r="B35" t="s">
        <v>48</v>
      </c>
      <c r="C35" s="28">
        <v>2</v>
      </c>
      <c r="D35" s="6">
        <v>1</v>
      </c>
      <c r="E35">
        <v>10</v>
      </c>
      <c r="F35" t="s">
        <v>487</v>
      </c>
      <c r="G35" t="s">
        <v>833</v>
      </c>
      <c r="H35" s="6" t="s">
        <v>1071</v>
      </c>
      <c r="I35">
        <f t="shared" ref="I35:I58" si="3">C35*D35*E35</f>
        <v>20</v>
      </c>
      <c r="J35">
        <f t="shared" si="1"/>
        <v>9.0718474000000011</v>
      </c>
      <c r="K35">
        <v>0.754</v>
      </c>
      <c r="L35">
        <f t="shared" si="2"/>
        <v>6.8401729396000013</v>
      </c>
    </row>
    <row r="36" spans="1:14" x14ac:dyDescent="0.2">
      <c r="A36" s="4">
        <v>43486</v>
      </c>
      <c r="B36" t="s">
        <v>538</v>
      </c>
      <c r="C36">
        <v>1</v>
      </c>
      <c r="D36">
        <v>6</v>
      </c>
      <c r="E36">
        <v>10</v>
      </c>
      <c r="F36" t="s">
        <v>420</v>
      </c>
      <c r="G36" t="s">
        <v>984</v>
      </c>
      <c r="H36" s="6" t="s">
        <v>1071</v>
      </c>
      <c r="I36">
        <f t="shared" si="3"/>
        <v>60</v>
      </c>
      <c r="J36">
        <f t="shared" si="1"/>
        <v>27.215542200000002</v>
      </c>
      <c r="K36">
        <v>0.308</v>
      </c>
      <c r="L36">
        <f t="shared" si="2"/>
        <v>8.3823869976000012</v>
      </c>
    </row>
    <row r="37" spans="1:14" x14ac:dyDescent="0.2">
      <c r="A37" s="4">
        <v>43486</v>
      </c>
      <c r="B37" t="s">
        <v>48</v>
      </c>
      <c r="C37" s="28">
        <v>6</v>
      </c>
      <c r="D37" s="6">
        <v>1</v>
      </c>
      <c r="E37">
        <v>10</v>
      </c>
      <c r="F37" t="s">
        <v>347</v>
      </c>
      <c r="G37" t="s">
        <v>936</v>
      </c>
      <c r="H37" s="6" t="s">
        <v>1071</v>
      </c>
      <c r="I37">
        <f t="shared" si="3"/>
        <v>60</v>
      </c>
      <c r="J37">
        <f t="shared" si="1"/>
        <v>27.215542200000002</v>
      </c>
      <c r="K37">
        <v>0.66200000000000003</v>
      </c>
      <c r="L37">
        <f t="shared" si="2"/>
        <v>18.016688936400001</v>
      </c>
    </row>
    <row r="38" spans="1:14" x14ac:dyDescent="0.2">
      <c r="A38" s="4">
        <v>43487</v>
      </c>
      <c r="B38" t="s">
        <v>48</v>
      </c>
      <c r="C38" s="28">
        <v>6</v>
      </c>
      <c r="D38" s="6">
        <v>1</v>
      </c>
      <c r="E38">
        <v>10</v>
      </c>
      <c r="F38" t="s">
        <v>347</v>
      </c>
      <c r="G38" t="s">
        <v>936</v>
      </c>
      <c r="H38" s="6" t="s">
        <v>1071</v>
      </c>
      <c r="I38">
        <f t="shared" si="3"/>
        <v>60</v>
      </c>
      <c r="J38">
        <f t="shared" si="1"/>
        <v>27.215542200000002</v>
      </c>
      <c r="K38">
        <v>0.66200000000000003</v>
      </c>
      <c r="L38">
        <f t="shared" si="2"/>
        <v>18.016688936400001</v>
      </c>
    </row>
    <row r="39" spans="1:14" x14ac:dyDescent="0.2">
      <c r="A39" s="4">
        <v>43488</v>
      </c>
      <c r="B39" t="s">
        <v>48</v>
      </c>
      <c r="C39" s="28">
        <v>8</v>
      </c>
      <c r="D39" s="6">
        <v>1</v>
      </c>
      <c r="E39">
        <v>10</v>
      </c>
      <c r="F39" t="s">
        <v>347</v>
      </c>
      <c r="G39" t="s">
        <v>936</v>
      </c>
      <c r="H39" s="6" t="s">
        <v>1071</v>
      </c>
      <c r="I39">
        <f t="shared" si="3"/>
        <v>80</v>
      </c>
      <c r="J39">
        <f t="shared" si="1"/>
        <v>36.287389600000004</v>
      </c>
      <c r="K39">
        <v>0.66200000000000003</v>
      </c>
      <c r="L39">
        <f t="shared" si="2"/>
        <v>24.022251915200005</v>
      </c>
    </row>
    <row r="40" spans="1:14" x14ac:dyDescent="0.2">
      <c r="A40" s="4">
        <v>43483</v>
      </c>
      <c r="B40" t="s">
        <v>48</v>
      </c>
      <c r="C40" s="28">
        <v>9</v>
      </c>
      <c r="D40" s="6">
        <v>1</v>
      </c>
      <c r="E40">
        <v>10</v>
      </c>
      <c r="F40" t="s">
        <v>347</v>
      </c>
      <c r="G40" t="s">
        <v>936</v>
      </c>
      <c r="H40" s="6" t="s">
        <v>1071</v>
      </c>
      <c r="I40">
        <f t="shared" si="3"/>
        <v>90</v>
      </c>
      <c r="J40">
        <f t="shared" si="1"/>
        <v>40.823313300000002</v>
      </c>
      <c r="K40">
        <v>0.66200000000000003</v>
      </c>
      <c r="L40">
        <f t="shared" si="2"/>
        <v>27.025033404600002</v>
      </c>
    </row>
    <row r="41" spans="1:14" x14ac:dyDescent="0.2">
      <c r="A41" s="13">
        <v>43489</v>
      </c>
      <c r="B41" s="6" t="s">
        <v>175</v>
      </c>
      <c r="C41" s="6">
        <v>1</v>
      </c>
      <c r="D41" s="6">
        <v>1</v>
      </c>
      <c r="E41" s="6">
        <v>142</v>
      </c>
      <c r="F41" s="6" t="s">
        <v>602</v>
      </c>
      <c r="G41" s="6" t="s">
        <v>10</v>
      </c>
      <c r="H41" s="6" t="s">
        <v>1072</v>
      </c>
      <c r="I41">
        <f t="shared" si="3"/>
        <v>142</v>
      </c>
      <c r="J41">
        <f t="shared" si="1"/>
        <v>64.410116540000004</v>
      </c>
      <c r="K41">
        <v>32.845999999999997</v>
      </c>
      <c r="L41">
        <f t="shared" si="2"/>
        <v>2115.61468787284</v>
      </c>
    </row>
    <row r="42" spans="1:14" x14ac:dyDescent="0.2">
      <c r="A42" s="13">
        <v>43489</v>
      </c>
      <c r="B42" s="6" t="s">
        <v>175</v>
      </c>
      <c r="C42" s="6">
        <v>1</v>
      </c>
      <c r="D42" s="6">
        <v>1</v>
      </c>
      <c r="E42" s="6">
        <v>40.549999999999997</v>
      </c>
      <c r="F42" s="6" t="s">
        <v>177</v>
      </c>
      <c r="G42" s="6" t="s">
        <v>10</v>
      </c>
      <c r="H42" s="6" t="s">
        <v>1072</v>
      </c>
      <c r="I42">
        <f t="shared" si="3"/>
        <v>40.549999999999997</v>
      </c>
      <c r="J42">
        <f t="shared" si="1"/>
        <v>18.3931706035</v>
      </c>
      <c r="K42">
        <v>32.845999999999997</v>
      </c>
      <c r="L42">
        <f t="shared" si="2"/>
        <v>604.14208164256092</v>
      </c>
      <c r="M42" s="8"/>
      <c r="N42" s="8"/>
    </row>
    <row r="43" spans="1:14" x14ac:dyDescent="0.2">
      <c r="A43" s="4">
        <v>43484</v>
      </c>
      <c r="B43" t="s">
        <v>9</v>
      </c>
      <c r="C43" s="6">
        <v>1</v>
      </c>
      <c r="D43" s="6">
        <v>1</v>
      </c>
      <c r="E43" s="6">
        <v>150</v>
      </c>
      <c r="F43" s="6" t="s">
        <v>12</v>
      </c>
      <c r="G43" s="6" t="s">
        <v>10</v>
      </c>
      <c r="H43" s="6" t="s">
        <v>1072</v>
      </c>
      <c r="I43">
        <f t="shared" si="3"/>
        <v>150</v>
      </c>
      <c r="J43">
        <f t="shared" si="1"/>
        <v>68.038855500000011</v>
      </c>
      <c r="K43">
        <v>32.845999999999997</v>
      </c>
      <c r="L43">
        <f t="shared" si="2"/>
        <v>2234.8042477530003</v>
      </c>
    </row>
    <row r="44" spans="1:14" x14ac:dyDescent="0.2">
      <c r="A44" s="4">
        <v>43483</v>
      </c>
      <c r="B44" t="s">
        <v>525</v>
      </c>
      <c r="C44">
        <v>1</v>
      </c>
      <c r="D44">
        <v>2</v>
      </c>
      <c r="E44">
        <v>5</v>
      </c>
      <c r="F44" t="s">
        <v>647</v>
      </c>
      <c r="G44" t="s">
        <v>10</v>
      </c>
      <c r="H44" s="6" t="s">
        <v>1072</v>
      </c>
      <c r="I44">
        <f t="shared" si="3"/>
        <v>10</v>
      </c>
      <c r="J44">
        <f t="shared" si="1"/>
        <v>4.5359237000000006</v>
      </c>
      <c r="K44">
        <v>32.845999999999997</v>
      </c>
      <c r="L44">
        <f t="shared" si="2"/>
        <v>148.98694985020001</v>
      </c>
    </row>
    <row r="45" spans="1:14" x14ac:dyDescent="0.2">
      <c r="A45" s="4">
        <v>43483</v>
      </c>
      <c r="B45" t="s">
        <v>525</v>
      </c>
      <c r="C45">
        <v>7</v>
      </c>
      <c r="D45">
        <v>1</v>
      </c>
      <c r="E45">
        <v>10</v>
      </c>
      <c r="F45" t="s">
        <v>588</v>
      </c>
      <c r="G45" t="s">
        <v>10</v>
      </c>
      <c r="H45" s="6" t="s">
        <v>1072</v>
      </c>
      <c r="I45">
        <f t="shared" si="3"/>
        <v>70</v>
      </c>
      <c r="J45">
        <f t="shared" si="1"/>
        <v>31.751465900000003</v>
      </c>
      <c r="K45">
        <v>32.845999999999997</v>
      </c>
      <c r="L45">
        <f t="shared" si="2"/>
        <v>1042.9086489514</v>
      </c>
    </row>
    <row r="46" spans="1:14" x14ac:dyDescent="0.2">
      <c r="A46" s="4">
        <v>43483</v>
      </c>
      <c r="B46" t="s">
        <v>525</v>
      </c>
      <c r="C46">
        <v>1</v>
      </c>
      <c r="D46">
        <v>1</v>
      </c>
      <c r="E46">
        <v>213.13</v>
      </c>
      <c r="F46" t="s">
        <v>397</v>
      </c>
      <c r="G46" t="s">
        <v>850</v>
      </c>
      <c r="H46" s="6" t="s">
        <v>1072</v>
      </c>
      <c r="I46">
        <f t="shared" si="3"/>
        <v>213.13</v>
      </c>
      <c r="J46">
        <f t="shared" si="1"/>
        <v>96.674141818100011</v>
      </c>
      <c r="K46">
        <v>32.845999999999997</v>
      </c>
      <c r="L46">
        <f t="shared" si="2"/>
        <v>3175.3588621573126</v>
      </c>
    </row>
    <row r="47" spans="1:14" x14ac:dyDescent="0.2">
      <c r="A47" s="4">
        <v>43483</v>
      </c>
      <c r="B47" t="s">
        <v>525</v>
      </c>
      <c r="C47">
        <v>1</v>
      </c>
      <c r="D47">
        <v>1</v>
      </c>
      <c r="E47">
        <v>81.400000000000006</v>
      </c>
      <c r="F47" t="s">
        <v>648</v>
      </c>
      <c r="G47" t="s">
        <v>850</v>
      </c>
      <c r="H47" s="6" t="s">
        <v>1072</v>
      </c>
      <c r="I47">
        <f t="shared" si="3"/>
        <v>81.400000000000006</v>
      </c>
      <c r="J47">
        <f t="shared" si="1"/>
        <v>36.922418918000005</v>
      </c>
      <c r="K47">
        <v>32.845999999999997</v>
      </c>
      <c r="L47">
        <f t="shared" si="2"/>
        <v>1212.7537717806281</v>
      </c>
    </row>
    <row r="48" spans="1:14" x14ac:dyDescent="0.2">
      <c r="A48" s="4">
        <v>43488</v>
      </c>
      <c r="B48" t="s">
        <v>525</v>
      </c>
      <c r="C48">
        <v>10</v>
      </c>
      <c r="D48">
        <v>1</v>
      </c>
      <c r="E48">
        <v>10</v>
      </c>
      <c r="F48" t="s">
        <v>588</v>
      </c>
      <c r="G48" t="s">
        <v>10</v>
      </c>
      <c r="H48" s="6" t="s">
        <v>1072</v>
      </c>
      <c r="I48">
        <f t="shared" si="3"/>
        <v>100</v>
      </c>
      <c r="J48">
        <f t="shared" si="1"/>
        <v>45.359237</v>
      </c>
      <c r="K48">
        <v>32.845999999999997</v>
      </c>
      <c r="L48">
        <f t="shared" si="2"/>
        <v>1489.8694985019999</v>
      </c>
    </row>
    <row r="49" spans="1:12" x14ac:dyDescent="0.2">
      <c r="A49" s="4">
        <v>43488</v>
      </c>
      <c r="B49" t="s">
        <v>525</v>
      </c>
      <c r="C49">
        <v>1</v>
      </c>
      <c r="D49">
        <v>1</v>
      </c>
      <c r="E49">
        <v>60.11</v>
      </c>
      <c r="F49" t="s">
        <v>397</v>
      </c>
      <c r="G49" t="s">
        <v>850</v>
      </c>
      <c r="H49" s="6" t="s">
        <v>1072</v>
      </c>
      <c r="I49">
        <f t="shared" si="3"/>
        <v>60.11</v>
      </c>
      <c r="J49">
        <f t="shared" si="1"/>
        <v>27.265437360700002</v>
      </c>
      <c r="K49">
        <v>32.845999999999997</v>
      </c>
      <c r="L49">
        <f t="shared" si="2"/>
        <v>895.56055554955219</v>
      </c>
    </row>
    <row r="50" spans="1:12" x14ac:dyDescent="0.2">
      <c r="A50" s="4">
        <v>43486</v>
      </c>
      <c r="B50" t="s">
        <v>525</v>
      </c>
      <c r="C50">
        <v>3</v>
      </c>
      <c r="D50">
        <v>1</v>
      </c>
      <c r="E50">
        <v>10</v>
      </c>
      <c r="F50" t="s">
        <v>647</v>
      </c>
      <c r="G50" t="s">
        <v>10</v>
      </c>
      <c r="H50" s="6" t="s">
        <v>1072</v>
      </c>
      <c r="I50">
        <f t="shared" si="3"/>
        <v>30</v>
      </c>
      <c r="J50">
        <f t="shared" si="1"/>
        <v>13.607771100000001</v>
      </c>
      <c r="K50">
        <v>32.845999999999997</v>
      </c>
      <c r="L50">
        <f t="shared" si="2"/>
        <v>446.96084955059996</v>
      </c>
    </row>
    <row r="51" spans="1:12" x14ac:dyDescent="0.2">
      <c r="A51" s="4">
        <v>43488</v>
      </c>
      <c r="B51" t="s">
        <v>48</v>
      </c>
      <c r="C51" s="28">
        <v>1</v>
      </c>
      <c r="D51" s="6">
        <v>1</v>
      </c>
      <c r="E51">
        <v>25</v>
      </c>
      <c r="F51" t="s">
        <v>361</v>
      </c>
      <c r="G51" t="s">
        <v>820</v>
      </c>
      <c r="H51" s="6" t="s">
        <v>1071</v>
      </c>
      <c r="I51">
        <f t="shared" si="3"/>
        <v>25</v>
      </c>
      <c r="J51">
        <f t="shared" si="1"/>
        <v>11.33980925</v>
      </c>
      <c r="K51">
        <v>0.19400000000000001</v>
      </c>
      <c r="L51">
        <f t="shared" si="2"/>
        <v>2.1999229945000001</v>
      </c>
    </row>
    <row r="52" spans="1:12" x14ac:dyDescent="0.2">
      <c r="A52" s="4">
        <v>43483</v>
      </c>
      <c r="B52" t="s">
        <v>48</v>
      </c>
      <c r="C52" s="28">
        <v>1</v>
      </c>
      <c r="D52" s="6">
        <v>1</v>
      </c>
      <c r="E52">
        <v>25</v>
      </c>
      <c r="F52" t="s">
        <v>361</v>
      </c>
      <c r="G52" t="s">
        <v>820</v>
      </c>
      <c r="H52" s="6" t="s">
        <v>1071</v>
      </c>
      <c r="I52">
        <f t="shared" si="3"/>
        <v>25</v>
      </c>
      <c r="J52">
        <f t="shared" si="1"/>
        <v>11.33980925</v>
      </c>
      <c r="K52">
        <v>0.19400000000000001</v>
      </c>
      <c r="L52">
        <f t="shared" si="2"/>
        <v>2.1999229945000001</v>
      </c>
    </row>
    <row r="53" spans="1:12" x14ac:dyDescent="0.2">
      <c r="A53" s="4">
        <v>43486</v>
      </c>
      <c r="B53" t="s">
        <v>531</v>
      </c>
      <c r="C53">
        <v>4</v>
      </c>
      <c r="D53">
        <v>40</v>
      </c>
      <c r="E53">
        <f>1/4</f>
        <v>0.25</v>
      </c>
      <c r="F53" t="s">
        <v>536</v>
      </c>
      <c r="G53" t="s">
        <v>983</v>
      </c>
      <c r="H53" s="6" t="s">
        <v>1071</v>
      </c>
      <c r="I53">
        <f t="shared" si="3"/>
        <v>40</v>
      </c>
      <c r="J53">
        <f t="shared" si="1"/>
        <v>18.143694800000002</v>
      </c>
      <c r="K53" s="38">
        <v>3.5270000000000001</v>
      </c>
      <c r="L53">
        <f t="shared" si="2"/>
        <v>63.992811559600007</v>
      </c>
    </row>
    <row r="54" spans="1:12" x14ac:dyDescent="0.2">
      <c r="A54" s="4">
        <v>43486</v>
      </c>
      <c r="B54" t="s">
        <v>531</v>
      </c>
      <c r="C54">
        <v>3</v>
      </c>
      <c r="D54">
        <v>2</v>
      </c>
      <c r="E54">
        <v>5</v>
      </c>
      <c r="F54" t="s">
        <v>535</v>
      </c>
      <c r="G54" s="14" t="s">
        <v>982</v>
      </c>
      <c r="H54" s="6" t="s">
        <v>1071</v>
      </c>
      <c r="I54">
        <f t="shared" si="3"/>
        <v>30</v>
      </c>
      <c r="J54">
        <f t="shared" si="1"/>
        <v>13.607771100000001</v>
      </c>
      <c r="L54">
        <f t="shared" si="2"/>
        <v>0</v>
      </c>
    </row>
    <row r="55" spans="1:12" x14ac:dyDescent="0.2">
      <c r="A55" s="4">
        <v>43483</v>
      </c>
      <c r="B55" t="s">
        <v>531</v>
      </c>
      <c r="C55">
        <v>3</v>
      </c>
      <c r="D55">
        <v>48</v>
      </c>
      <c r="E55">
        <f>2.9/16</f>
        <v>0.18124999999999999</v>
      </c>
      <c r="F55" t="s">
        <v>417</v>
      </c>
      <c r="G55" t="s">
        <v>895</v>
      </c>
      <c r="H55" s="6" t="s">
        <v>1071</v>
      </c>
      <c r="I55">
        <f t="shared" si="3"/>
        <v>26.099999999999998</v>
      </c>
      <c r="J55">
        <f t="shared" si="1"/>
        <v>11.838760856999999</v>
      </c>
      <c r="K55" s="38">
        <v>6.87</v>
      </c>
      <c r="L55">
        <f t="shared" si="2"/>
        <v>81.332287087589989</v>
      </c>
    </row>
    <row r="56" spans="1:12" x14ac:dyDescent="0.2">
      <c r="A56" s="4">
        <v>43488</v>
      </c>
      <c r="B56" t="s">
        <v>531</v>
      </c>
      <c r="C56">
        <v>4</v>
      </c>
      <c r="D56">
        <v>48</v>
      </c>
      <c r="E56">
        <f>2.9/16</f>
        <v>0.18124999999999999</v>
      </c>
      <c r="F56" t="s">
        <v>417</v>
      </c>
      <c r="G56" t="s">
        <v>895</v>
      </c>
      <c r="H56" s="6" t="s">
        <v>1071</v>
      </c>
      <c r="I56">
        <f t="shared" si="3"/>
        <v>34.799999999999997</v>
      </c>
      <c r="J56">
        <f t="shared" si="1"/>
        <v>15.785014475999999</v>
      </c>
      <c r="K56" s="38">
        <v>6.87</v>
      </c>
      <c r="L56">
        <f t="shared" si="2"/>
        <v>108.44304945012</v>
      </c>
    </row>
    <row r="57" spans="1:12" x14ac:dyDescent="0.2">
      <c r="A57" s="4">
        <v>43483</v>
      </c>
      <c r="B57" t="s">
        <v>48</v>
      </c>
      <c r="C57" s="28">
        <v>3</v>
      </c>
      <c r="D57" s="6">
        <v>1</v>
      </c>
      <c r="E57">
        <v>6</v>
      </c>
      <c r="F57" t="s">
        <v>503</v>
      </c>
      <c r="G57" t="s">
        <v>252</v>
      </c>
      <c r="H57" s="6" t="s">
        <v>1071</v>
      </c>
      <c r="I57">
        <f t="shared" si="3"/>
        <v>18</v>
      </c>
      <c r="J57">
        <f t="shared" si="1"/>
        <v>8.1646626599999994</v>
      </c>
      <c r="K57">
        <v>0.59899999999999998</v>
      </c>
      <c r="L57">
        <f t="shared" si="2"/>
        <v>4.8906329333399992</v>
      </c>
    </row>
    <row r="58" spans="1:12" x14ac:dyDescent="0.2">
      <c r="A58" s="4">
        <v>43483</v>
      </c>
      <c r="B58" t="s">
        <v>48</v>
      </c>
      <c r="C58" s="28">
        <v>3</v>
      </c>
      <c r="D58" s="6">
        <v>1</v>
      </c>
      <c r="E58">
        <v>6</v>
      </c>
      <c r="F58" t="s">
        <v>637</v>
      </c>
      <c r="G58" t="s">
        <v>925</v>
      </c>
      <c r="H58" s="6" t="s">
        <v>1071</v>
      </c>
      <c r="I58">
        <f t="shared" si="3"/>
        <v>18</v>
      </c>
      <c r="J58">
        <f t="shared" si="1"/>
        <v>8.1646626599999994</v>
      </c>
      <c r="K58">
        <v>0.59899999999999998</v>
      </c>
      <c r="L58">
        <f t="shared" si="2"/>
        <v>4.8906329333399992</v>
      </c>
    </row>
    <row r="59" spans="1:12" x14ac:dyDescent="0.2">
      <c r="A59" s="4">
        <v>43484</v>
      </c>
      <c r="B59" t="s">
        <v>531</v>
      </c>
      <c r="C59">
        <v>1</v>
      </c>
      <c r="D59">
        <v>16</v>
      </c>
      <c r="E59" t="s">
        <v>674</v>
      </c>
      <c r="F59" t="s">
        <v>675</v>
      </c>
      <c r="G59" s="14" t="s">
        <v>868</v>
      </c>
      <c r="H59" s="6" t="s">
        <v>1071</v>
      </c>
      <c r="I59">
        <v>0</v>
      </c>
      <c r="J59">
        <f t="shared" si="1"/>
        <v>0</v>
      </c>
      <c r="K59">
        <v>1.28</v>
      </c>
      <c r="L59">
        <f t="shared" si="2"/>
        <v>0</v>
      </c>
    </row>
    <row r="60" spans="1:12" x14ac:dyDescent="0.2">
      <c r="A60" s="4">
        <v>43486</v>
      </c>
      <c r="B60" t="s">
        <v>531</v>
      </c>
      <c r="C60">
        <v>1</v>
      </c>
      <c r="D60">
        <v>12</v>
      </c>
      <c r="E60">
        <f>10*0.177</f>
        <v>1.77</v>
      </c>
      <c r="F60" t="s">
        <v>651</v>
      </c>
      <c r="G60" s="6" t="s">
        <v>868</v>
      </c>
      <c r="H60" s="6" t="s">
        <v>1071</v>
      </c>
      <c r="I60">
        <f t="shared" ref="I60:I91" si="4">C60*D60*E60</f>
        <v>21.240000000000002</v>
      </c>
      <c r="J60">
        <f t="shared" si="1"/>
        <v>9.634301938800002</v>
      </c>
      <c r="K60">
        <v>1.28</v>
      </c>
      <c r="L60">
        <f t="shared" si="2"/>
        <v>12.331906481664003</v>
      </c>
    </row>
    <row r="61" spans="1:12" x14ac:dyDescent="0.2">
      <c r="A61" s="4">
        <v>43483</v>
      </c>
      <c r="B61" t="s">
        <v>531</v>
      </c>
      <c r="C61">
        <v>4</v>
      </c>
      <c r="D61">
        <v>12</v>
      </c>
      <c r="E61">
        <f>10*0.177</f>
        <v>1.77</v>
      </c>
      <c r="F61" t="s">
        <v>651</v>
      </c>
      <c r="G61" s="6" t="s">
        <v>967</v>
      </c>
      <c r="H61" s="6" t="s">
        <v>1071</v>
      </c>
      <c r="I61">
        <f t="shared" si="4"/>
        <v>84.960000000000008</v>
      </c>
      <c r="J61">
        <f t="shared" si="1"/>
        <v>38.537207755200008</v>
      </c>
      <c r="K61">
        <v>1.28</v>
      </c>
      <c r="L61">
        <f t="shared" si="2"/>
        <v>49.327625926656012</v>
      </c>
    </row>
    <row r="62" spans="1:12" x14ac:dyDescent="0.2">
      <c r="A62" s="4">
        <v>43486</v>
      </c>
      <c r="B62" t="s">
        <v>48</v>
      </c>
      <c r="C62" s="28">
        <v>12</v>
      </c>
      <c r="D62" s="6">
        <v>1</v>
      </c>
      <c r="E62">
        <v>12</v>
      </c>
      <c r="F62" t="s">
        <v>618</v>
      </c>
      <c r="G62" t="s">
        <v>784</v>
      </c>
      <c r="H62" s="6" t="s">
        <v>1071</v>
      </c>
      <c r="I62">
        <f t="shared" si="4"/>
        <v>144</v>
      </c>
      <c r="J62">
        <f t="shared" si="1"/>
        <v>65.317301279999995</v>
      </c>
      <c r="K62">
        <v>0.79700000000000004</v>
      </c>
      <c r="L62">
        <f t="shared" si="2"/>
        <v>52.057889120159999</v>
      </c>
    </row>
    <row r="63" spans="1:12" x14ac:dyDescent="0.2">
      <c r="A63" s="4">
        <v>43487</v>
      </c>
      <c r="B63" t="s">
        <v>48</v>
      </c>
      <c r="C63" s="28">
        <v>7</v>
      </c>
      <c r="D63" s="6">
        <v>1</v>
      </c>
      <c r="E63">
        <v>12</v>
      </c>
      <c r="F63" t="s">
        <v>618</v>
      </c>
      <c r="G63" t="s">
        <v>784</v>
      </c>
      <c r="H63" s="6" t="s">
        <v>1071</v>
      </c>
      <c r="I63">
        <f t="shared" si="4"/>
        <v>84</v>
      </c>
      <c r="J63">
        <f t="shared" si="1"/>
        <v>38.101759080000001</v>
      </c>
      <c r="K63">
        <v>0.79700000000000004</v>
      </c>
      <c r="L63">
        <f t="shared" si="2"/>
        <v>30.367101986760002</v>
      </c>
    </row>
    <row r="64" spans="1:12" x14ac:dyDescent="0.2">
      <c r="A64" s="4">
        <v>43489</v>
      </c>
      <c r="B64" t="s">
        <v>48</v>
      </c>
      <c r="C64" s="28">
        <v>7</v>
      </c>
      <c r="D64" s="6">
        <v>1</v>
      </c>
      <c r="E64">
        <v>18</v>
      </c>
      <c r="F64" t="s">
        <v>630</v>
      </c>
      <c r="G64" t="s">
        <v>784</v>
      </c>
      <c r="H64" s="6" t="s">
        <v>1071</v>
      </c>
      <c r="I64">
        <f t="shared" si="4"/>
        <v>126</v>
      </c>
      <c r="J64">
        <f t="shared" si="1"/>
        <v>57.152638620000005</v>
      </c>
      <c r="K64">
        <v>0.79700000000000004</v>
      </c>
      <c r="L64">
        <f t="shared" si="2"/>
        <v>45.550652980140008</v>
      </c>
    </row>
    <row r="65" spans="1:14" x14ac:dyDescent="0.2">
      <c r="A65" s="4">
        <v>43488</v>
      </c>
      <c r="B65" t="s">
        <v>48</v>
      </c>
      <c r="C65" s="28">
        <v>12</v>
      </c>
      <c r="D65" s="6">
        <v>1</v>
      </c>
      <c r="E65">
        <v>12</v>
      </c>
      <c r="F65" t="s">
        <v>618</v>
      </c>
      <c r="G65" t="s">
        <v>784</v>
      </c>
      <c r="H65" s="6" t="s">
        <v>1071</v>
      </c>
      <c r="I65">
        <f t="shared" si="4"/>
        <v>144</v>
      </c>
      <c r="J65">
        <f t="shared" si="1"/>
        <v>65.317301279999995</v>
      </c>
      <c r="K65">
        <v>0.79700000000000004</v>
      </c>
      <c r="L65">
        <f t="shared" si="2"/>
        <v>52.057889120159999</v>
      </c>
      <c r="M65" s="8"/>
      <c r="N65" s="8"/>
    </row>
    <row r="66" spans="1:14" x14ac:dyDescent="0.2">
      <c r="A66" s="4">
        <v>43484</v>
      </c>
      <c r="B66" t="s">
        <v>48</v>
      </c>
      <c r="C66" s="28">
        <v>4</v>
      </c>
      <c r="D66" s="6">
        <v>1</v>
      </c>
      <c r="E66">
        <v>12</v>
      </c>
      <c r="F66" t="s">
        <v>618</v>
      </c>
      <c r="G66" t="s">
        <v>784</v>
      </c>
      <c r="H66" s="6" t="s">
        <v>1071</v>
      </c>
      <c r="I66">
        <f t="shared" si="4"/>
        <v>48</v>
      </c>
      <c r="J66">
        <f t="shared" si="1"/>
        <v>21.772433760000002</v>
      </c>
      <c r="K66">
        <v>0.79700000000000004</v>
      </c>
      <c r="L66">
        <f t="shared" si="2"/>
        <v>17.352629706720002</v>
      </c>
    </row>
    <row r="67" spans="1:14" x14ac:dyDescent="0.2">
      <c r="A67" s="4">
        <v>43483</v>
      </c>
      <c r="B67" t="s">
        <v>48</v>
      </c>
      <c r="C67" s="28">
        <v>14</v>
      </c>
      <c r="D67" s="6">
        <v>1</v>
      </c>
      <c r="E67">
        <v>12</v>
      </c>
      <c r="F67" t="s">
        <v>618</v>
      </c>
      <c r="G67" t="s">
        <v>784</v>
      </c>
      <c r="H67" s="6" t="s">
        <v>1071</v>
      </c>
      <c r="I67">
        <f t="shared" si="4"/>
        <v>168</v>
      </c>
      <c r="J67">
        <f t="shared" ref="J67:J130" si="5">CONVERT(I67,"lbm","kg")</f>
        <v>76.203518160000002</v>
      </c>
      <c r="K67">
        <v>0.79700000000000004</v>
      </c>
      <c r="L67">
        <f t="shared" ref="L67:L130" si="6">K67*J67</f>
        <v>60.734203973520003</v>
      </c>
    </row>
    <row r="68" spans="1:14" x14ac:dyDescent="0.2">
      <c r="A68" s="4">
        <v>43486</v>
      </c>
      <c r="B68" t="s">
        <v>48</v>
      </c>
      <c r="C68" s="28">
        <v>2</v>
      </c>
      <c r="D68" s="6">
        <v>1</v>
      </c>
      <c r="E68">
        <v>20</v>
      </c>
      <c r="F68" t="s">
        <v>355</v>
      </c>
      <c r="G68" t="s">
        <v>818</v>
      </c>
      <c r="H68" s="6" t="s">
        <v>1071</v>
      </c>
      <c r="I68">
        <f t="shared" si="4"/>
        <v>40</v>
      </c>
      <c r="J68">
        <f t="shared" si="5"/>
        <v>18.143694800000002</v>
      </c>
      <c r="K68">
        <v>0.49</v>
      </c>
      <c r="L68">
        <f t="shared" si="6"/>
        <v>8.8904104520000011</v>
      </c>
    </row>
    <row r="69" spans="1:14" x14ac:dyDescent="0.2">
      <c r="A69" s="4">
        <v>43489</v>
      </c>
      <c r="B69" t="s">
        <v>48</v>
      </c>
      <c r="C69" s="28">
        <v>3</v>
      </c>
      <c r="D69" s="6">
        <v>1</v>
      </c>
      <c r="E69">
        <v>25</v>
      </c>
      <c r="F69" t="s">
        <v>479</v>
      </c>
      <c r="G69" t="s">
        <v>818</v>
      </c>
      <c r="H69" s="6" t="s">
        <v>1071</v>
      </c>
      <c r="I69">
        <f t="shared" si="4"/>
        <v>75</v>
      </c>
      <c r="J69">
        <f t="shared" si="5"/>
        <v>34.019427750000006</v>
      </c>
      <c r="K69">
        <v>0.49</v>
      </c>
      <c r="L69">
        <f t="shared" si="6"/>
        <v>16.669519597500003</v>
      </c>
    </row>
    <row r="70" spans="1:14" x14ac:dyDescent="0.2">
      <c r="A70" s="4">
        <v>43489</v>
      </c>
      <c r="B70" t="s">
        <v>48</v>
      </c>
      <c r="C70" s="28">
        <v>1</v>
      </c>
      <c r="D70" s="6">
        <v>1</v>
      </c>
      <c r="E70">
        <v>20</v>
      </c>
      <c r="F70" t="s">
        <v>355</v>
      </c>
      <c r="G70" t="s">
        <v>818</v>
      </c>
      <c r="H70" s="6" t="s">
        <v>1071</v>
      </c>
      <c r="I70">
        <f t="shared" si="4"/>
        <v>20</v>
      </c>
      <c r="J70">
        <f t="shared" si="5"/>
        <v>9.0718474000000011</v>
      </c>
      <c r="K70">
        <v>0.49</v>
      </c>
      <c r="L70">
        <f t="shared" si="6"/>
        <v>4.4452052260000006</v>
      </c>
    </row>
    <row r="71" spans="1:14" x14ac:dyDescent="0.2">
      <c r="A71" s="4">
        <v>43483</v>
      </c>
      <c r="B71" t="s">
        <v>48</v>
      </c>
      <c r="C71" s="28">
        <v>3</v>
      </c>
      <c r="D71" s="6">
        <v>1</v>
      </c>
      <c r="E71">
        <v>20</v>
      </c>
      <c r="F71" t="s">
        <v>355</v>
      </c>
      <c r="G71" t="s">
        <v>818</v>
      </c>
      <c r="H71" s="6" t="s">
        <v>1071</v>
      </c>
      <c r="I71">
        <f t="shared" si="4"/>
        <v>60</v>
      </c>
      <c r="J71">
        <f t="shared" si="5"/>
        <v>27.215542200000002</v>
      </c>
      <c r="K71">
        <v>0.49</v>
      </c>
      <c r="L71">
        <f t="shared" si="6"/>
        <v>13.335615678</v>
      </c>
    </row>
    <row r="72" spans="1:14" x14ac:dyDescent="0.2">
      <c r="A72" s="4">
        <v>43484</v>
      </c>
      <c r="B72" t="s">
        <v>531</v>
      </c>
      <c r="C72">
        <v>3</v>
      </c>
      <c r="D72">
        <v>8</v>
      </c>
      <c r="E72">
        <f>12*1.4</f>
        <v>16.799999999999997</v>
      </c>
      <c r="F72" t="s">
        <v>672</v>
      </c>
      <c r="G72" t="s">
        <v>880</v>
      </c>
      <c r="H72" s="6" t="s">
        <v>1071</v>
      </c>
      <c r="I72">
        <f t="shared" si="4"/>
        <v>403.19999999999993</v>
      </c>
      <c r="J72">
        <f t="shared" si="5"/>
        <v>182.88844358399996</v>
      </c>
      <c r="K72">
        <v>1.28</v>
      </c>
      <c r="L72">
        <f t="shared" si="6"/>
        <v>234.09720778751995</v>
      </c>
    </row>
    <row r="73" spans="1:14" x14ac:dyDescent="0.2">
      <c r="A73" s="4">
        <v>43484</v>
      </c>
      <c r="B73" t="s">
        <v>531</v>
      </c>
      <c r="C73">
        <v>2</v>
      </c>
      <c r="D73">
        <v>8</v>
      </c>
      <c r="E73">
        <f>12*1.4</f>
        <v>16.799999999999997</v>
      </c>
      <c r="F73" t="s">
        <v>673</v>
      </c>
      <c r="G73" t="s">
        <v>880</v>
      </c>
      <c r="H73" s="6" t="s">
        <v>1071</v>
      </c>
      <c r="I73">
        <f t="shared" si="4"/>
        <v>268.79999999999995</v>
      </c>
      <c r="J73">
        <f t="shared" si="5"/>
        <v>121.92562905599999</v>
      </c>
      <c r="K73">
        <v>1.28</v>
      </c>
      <c r="L73">
        <f t="shared" si="6"/>
        <v>156.06480519167999</v>
      </c>
    </row>
    <row r="74" spans="1:14" x14ac:dyDescent="0.2">
      <c r="A74" s="4">
        <v>43483</v>
      </c>
      <c r="B74" t="s">
        <v>517</v>
      </c>
      <c r="C74">
        <v>1</v>
      </c>
      <c r="D74">
        <v>36</v>
      </c>
      <c r="E74">
        <v>1</v>
      </c>
      <c r="F74" t="s">
        <v>382</v>
      </c>
      <c r="G74" t="s">
        <v>845</v>
      </c>
      <c r="H74" s="6" t="s">
        <v>1073</v>
      </c>
      <c r="I74">
        <f t="shared" si="4"/>
        <v>36</v>
      </c>
      <c r="J74">
        <f t="shared" si="5"/>
        <v>16.329325319999999</v>
      </c>
      <c r="K74">
        <v>11.52</v>
      </c>
      <c r="L74">
        <f t="shared" si="6"/>
        <v>188.11382768639999</v>
      </c>
    </row>
    <row r="75" spans="1:14" x14ac:dyDescent="0.2">
      <c r="A75" s="4">
        <v>43483</v>
      </c>
      <c r="B75" t="s">
        <v>48</v>
      </c>
      <c r="C75" s="28">
        <v>3</v>
      </c>
      <c r="D75" s="6">
        <v>1</v>
      </c>
      <c r="E75">
        <v>45</v>
      </c>
      <c r="F75" t="s">
        <v>338</v>
      </c>
      <c r="G75" t="s">
        <v>817</v>
      </c>
      <c r="H75" s="6" t="s">
        <v>1071</v>
      </c>
      <c r="I75">
        <f t="shared" si="4"/>
        <v>135</v>
      </c>
      <c r="J75">
        <f t="shared" si="5"/>
        <v>61.23496995</v>
      </c>
      <c r="K75">
        <v>0.219</v>
      </c>
      <c r="L75">
        <f t="shared" si="6"/>
        <v>13.41045841905</v>
      </c>
    </row>
    <row r="76" spans="1:14" x14ac:dyDescent="0.2">
      <c r="A76" s="4">
        <v>43486</v>
      </c>
      <c r="B76" t="s">
        <v>48</v>
      </c>
      <c r="C76" s="28">
        <v>4</v>
      </c>
      <c r="D76" s="6">
        <v>1</v>
      </c>
      <c r="E76">
        <f>9*3</f>
        <v>27</v>
      </c>
      <c r="F76" t="s">
        <v>311</v>
      </c>
      <c r="G76" t="s">
        <v>788</v>
      </c>
      <c r="H76" s="6" t="s">
        <v>1071</v>
      </c>
      <c r="I76">
        <f t="shared" si="4"/>
        <v>108</v>
      </c>
      <c r="J76">
        <f t="shared" si="5"/>
        <v>48.987975960000007</v>
      </c>
      <c r="K76">
        <v>0.49</v>
      </c>
      <c r="L76">
        <f t="shared" si="6"/>
        <v>24.004108220400003</v>
      </c>
    </row>
    <row r="77" spans="1:14" x14ac:dyDescent="0.2">
      <c r="A77" s="4">
        <v>43487</v>
      </c>
      <c r="B77" t="s">
        <v>48</v>
      </c>
      <c r="C77" s="28">
        <v>6</v>
      </c>
      <c r="D77" s="6">
        <v>1</v>
      </c>
      <c r="E77">
        <f>9*3</f>
        <v>27</v>
      </c>
      <c r="F77" t="s">
        <v>311</v>
      </c>
      <c r="G77" t="s">
        <v>788</v>
      </c>
      <c r="H77" s="6" t="s">
        <v>1071</v>
      </c>
      <c r="I77">
        <f t="shared" si="4"/>
        <v>162</v>
      </c>
      <c r="J77">
        <f t="shared" si="5"/>
        <v>73.48196394</v>
      </c>
      <c r="K77">
        <v>0.49</v>
      </c>
      <c r="L77">
        <f t="shared" si="6"/>
        <v>36.006162330599999</v>
      </c>
    </row>
    <row r="78" spans="1:14" x14ac:dyDescent="0.2">
      <c r="A78" s="4">
        <v>43489</v>
      </c>
      <c r="B78" t="s">
        <v>48</v>
      </c>
      <c r="C78" s="28">
        <v>6</v>
      </c>
      <c r="D78" s="6">
        <v>1</v>
      </c>
      <c r="E78">
        <f>9*3</f>
        <v>27</v>
      </c>
      <c r="F78" t="s">
        <v>311</v>
      </c>
      <c r="G78" t="s">
        <v>788</v>
      </c>
      <c r="H78" s="6" t="s">
        <v>1071</v>
      </c>
      <c r="I78">
        <f t="shared" si="4"/>
        <v>162</v>
      </c>
      <c r="J78">
        <f t="shared" si="5"/>
        <v>73.48196394</v>
      </c>
      <c r="K78">
        <v>0.49</v>
      </c>
      <c r="L78">
        <f t="shared" si="6"/>
        <v>36.006162330599999</v>
      </c>
    </row>
    <row r="79" spans="1:14" x14ac:dyDescent="0.2">
      <c r="A79" s="4">
        <v>43488</v>
      </c>
      <c r="B79" t="s">
        <v>48</v>
      </c>
      <c r="C79" s="28">
        <v>8</v>
      </c>
      <c r="D79" s="6">
        <v>1</v>
      </c>
      <c r="E79">
        <f>9*3</f>
        <v>27</v>
      </c>
      <c r="F79" t="s">
        <v>311</v>
      </c>
      <c r="G79" t="s">
        <v>788</v>
      </c>
      <c r="H79" s="6" t="s">
        <v>1071</v>
      </c>
      <c r="I79">
        <f t="shared" si="4"/>
        <v>216</v>
      </c>
      <c r="J79">
        <f t="shared" si="5"/>
        <v>97.975951920000014</v>
      </c>
      <c r="K79">
        <v>0.49</v>
      </c>
      <c r="L79">
        <f t="shared" si="6"/>
        <v>48.008216440800005</v>
      </c>
    </row>
    <row r="80" spans="1:14" x14ac:dyDescent="0.2">
      <c r="A80" s="4">
        <v>43483</v>
      </c>
      <c r="B80" t="s">
        <v>48</v>
      </c>
      <c r="C80" s="28">
        <v>8</v>
      </c>
      <c r="D80" s="6">
        <v>1</v>
      </c>
      <c r="E80">
        <f>9*3</f>
        <v>27</v>
      </c>
      <c r="F80" t="s">
        <v>311</v>
      </c>
      <c r="G80" t="s">
        <v>788</v>
      </c>
      <c r="H80" s="6" t="s">
        <v>1071</v>
      </c>
      <c r="I80">
        <f t="shared" si="4"/>
        <v>216</v>
      </c>
      <c r="J80">
        <f t="shared" si="5"/>
        <v>97.975951920000014</v>
      </c>
      <c r="K80">
        <v>0.49</v>
      </c>
      <c r="L80">
        <f t="shared" si="6"/>
        <v>48.008216440800005</v>
      </c>
    </row>
    <row r="81" spans="1:12" x14ac:dyDescent="0.2">
      <c r="A81" s="4">
        <v>43483</v>
      </c>
      <c r="B81" t="s">
        <v>538</v>
      </c>
      <c r="C81">
        <v>1</v>
      </c>
      <c r="D81">
        <v>6</v>
      </c>
      <c r="E81">
        <f>2/16</f>
        <v>0.125</v>
      </c>
      <c r="F81" t="s">
        <v>657</v>
      </c>
      <c r="G81" s="6" t="s">
        <v>930</v>
      </c>
      <c r="H81" s="6" t="s">
        <v>1071</v>
      </c>
      <c r="I81">
        <f t="shared" si="4"/>
        <v>0.75</v>
      </c>
      <c r="J81">
        <f t="shared" si="5"/>
        <v>0.34019427750000003</v>
      </c>
      <c r="K81">
        <v>0.48199999999999998</v>
      </c>
      <c r="L81">
        <f t="shared" si="6"/>
        <v>0.16397364175500001</v>
      </c>
    </row>
    <row r="82" spans="1:12" x14ac:dyDescent="0.2">
      <c r="A82" s="4">
        <v>43486</v>
      </c>
      <c r="B82" t="s">
        <v>48</v>
      </c>
      <c r="C82" s="28">
        <v>2</v>
      </c>
      <c r="D82" s="6">
        <v>1</v>
      </c>
      <c r="E82">
        <v>50</v>
      </c>
      <c r="F82" t="s">
        <v>87</v>
      </c>
      <c r="G82" t="s">
        <v>87</v>
      </c>
      <c r="H82" s="6" t="s">
        <v>1071</v>
      </c>
      <c r="I82">
        <f t="shared" si="4"/>
        <v>100</v>
      </c>
      <c r="J82">
        <f t="shared" si="5"/>
        <v>45.359237</v>
      </c>
      <c r="K82">
        <v>9.1999999999999998E-2</v>
      </c>
      <c r="L82">
        <f t="shared" si="6"/>
        <v>4.1730498039999997</v>
      </c>
    </row>
    <row r="83" spans="1:12" x14ac:dyDescent="0.2">
      <c r="A83" s="4">
        <v>43486</v>
      </c>
      <c r="B83" t="s">
        <v>48</v>
      </c>
      <c r="C83" s="28">
        <v>1</v>
      </c>
      <c r="D83" s="6">
        <v>1</v>
      </c>
      <c r="E83">
        <v>20</v>
      </c>
      <c r="F83" t="s">
        <v>269</v>
      </c>
      <c r="G83" t="s">
        <v>299</v>
      </c>
      <c r="H83" s="6" t="s">
        <v>1071</v>
      </c>
      <c r="I83">
        <f t="shared" si="4"/>
        <v>20</v>
      </c>
      <c r="J83">
        <f t="shared" si="5"/>
        <v>9.0718474000000011</v>
      </c>
      <c r="K83">
        <v>9.1999999999999998E-2</v>
      </c>
      <c r="L83">
        <f t="shared" si="6"/>
        <v>0.83460996080000005</v>
      </c>
    </row>
    <row r="84" spans="1:12" x14ac:dyDescent="0.2">
      <c r="A84" s="4">
        <v>43486</v>
      </c>
      <c r="B84" t="s">
        <v>48</v>
      </c>
      <c r="C84" s="28">
        <v>1</v>
      </c>
      <c r="D84" s="6">
        <v>1</v>
      </c>
      <c r="E84">
        <v>20</v>
      </c>
      <c r="F84" t="s">
        <v>322</v>
      </c>
      <c r="G84" t="s">
        <v>299</v>
      </c>
      <c r="H84" s="6" t="s">
        <v>1071</v>
      </c>
      <c r="I84">
        <f t="shared" si="4"/>
        <v>20</v>
      </c>
      <c r="J84">
        <f t="shared" si="5"/>
        <v>9.0718474000000011</v>
      </c>
      <c r="K84">
        <v>9.1999999999999998E-2</v>
      </c>
      <c r="L84">
        <f t="shared" si="6"/>
        <v>0.83460996080000005</v>
      </c>
    </row>
    <row r="85" spans="1:12" x14ac:dyDescent="0.2">
      <c r="A85" s="4">
        <v>43489</v>
      </c>
      <c r="B85" t="s">
        <v>48</v>
      </c>
      <c r="C85" s="28">
        <v>2</v>
      </c>
      <c r="D85" s="6">
        <v>1</v>
      </c>
      <c r="E85">
        <v>20</v>
      </c>
      <c r="F85" t="s">
        <v>269</v>
      </c>
      <c r="G85" t="s">
        <v>299</v>
      </c>
      <c r="H85" s="6" t="s">
        <v>1071</v>
      </c>
      <c r="I85">
        <f t="shared" si="4"/>
        <v>40</v>
      </c>
      <c r="J85">
        <f t="shared" si="5"/>
        <v>18.143694800000002</v>
      </c>
      <c r="K85">
        <v>9.1999999999999998E-2</v>
      </c>
      <c r="L85">
        <f t="shared" si="6"/>
        <v>1.6692199216000001</v>
      </c>
    </row>
    <row r="86" spans="1:12" x14ac:dyDescent="0.2">
      <c r="A86" s="4">
        <v>43488</v>
      </c>
      <c r="B86" t="s">
        <v>48</v>
      </c>
      <c r="C86" s="28">
        <v>2</v>
      </c>
      <c r="D86" s="6">
        <v>1</v>
      </c>
      <c r="E86">
        <v>50</v>
      </c>
      <c r="F86" t="s">
        <v>299</v>
      </c>
      <c r="G86" t="s">
        <v>299</v>
      </c>
      <c r="H86" s="6" t="s">
        <v>1071</v>
      </c>
      <c r="I86">
        <f t="shared" si="4"/>
        <v>100</v>
      </c>
      <c r="J86">
        <f t="shared" si="5"/>
        <v>45.359237</v>
      </c>
      <c r="K86">
        <v>9.1999999999999998E-2</v>
      </c>
      <c r="L86">
        <f t="shared" si="6"/>
        <v>4.1730498039999997</v>
      </c>
    </row>
    <row r="87" spans="1:12" x14ac:dyDescent="0.2">
      <c r="A87" s="4">
        <v>43488</v>
      </c>
      <c r="B87" t="s">
        <v>48</v>
      </c>
      <c r="C87" s="28">
        <v>1</v>
      </c>
      <c r="D87" s="6">
        <v>1</v>
      </c>
      <c r="E87">
        <v>20</v>
      </c>
      <c r="F87" t="s">
        <v>269</v>
      </c>
      <c r="G87" t="s">
        <v>299</v>
      </c>
      <c r="H87" s="6" t="s">
        <v>1071</v>
      </c>
      <c r="I87">
        <f t="shared" si="4"/>
        <v>20</v>
      </c>
      <c r="J87">
        <f t="shared" si="5"/>
        <v>9.0718474000000011</v>
      </c>
      <c r="K87">
        <v>9.1999999999999998E-2</v>
      </c>
      <c r="L87">
        <f t="shared" si="6"/>
        <v>0.83460996080000005</v>
      </c>
    </row>
    <row r="88" spans="1:12" x14ac:dyDescent="0.2">
      <c r="A88" s="4">
        <v>43484</v>
      </c>
      <c r="B88" t="s">
        <v>48</v>
      </c>
      <c r="C88" s="28">
        <v>1</v>
      </c>
      <c r="D88" s="6">
        <v>1</v>
      </c>
      <c r="E88">
        <v>20</v>
      </c>
      <c r="F88" t="s">
        <v>635</v>
      </c>
      <c r="G88" t="s">
        <v>299</v>
      </c>
      <c r="H88" s="6" t="s">
        <v>1071</v>
      </c>
      <c r="I88">
        <f t="shared" si="4"/>
        <v>20</v>
      </c>
      <c r="J88">
        <f t="shared" si="5"/>
        <v>9.0718474000000011</v>
      </c>
      <c r="K88">
        <v>9.1999999999999998E-2</v>
      </c>
      <c r="L88">
        <f t="shared" si="6"/>
        <v>0.83460996080000005</v>
      </c>
    </row>
    <row r="89" spans="1:12" x14ac:dyDescent="0.2">
      <c r="A89" s="4">
        <v>43484</v>
      </c>
      <c r="B89" t="s">
        <v>48</v>
      </c>
      <c r="C89" s="28">
        <v>1</v>
      </c>
      <c r="D89" s="6">
        <v>1</v>
      </c>
      <c r="E89">
        <v>20</v>
      </c>
      <c r="F89" t="s">
        <v>269</v>
      </c>
      <c r="G89" t="s">
        <v>299</v>
      </c>
      <c r="H89" s="6" t="s">
        <v>1071</v>
      </c>
      <c r="I89">
        <f t="shared" si="4"/>
        <v>20</v>
      </c>
      <c r="J89">
        <f t="shared" si="5"/>
        <v>9.0718474000000011</v>
      </c>
      <c r="K89">
        <v>9.1999999999999998E-2</v>
      </c>
      <c r="L89">
        <f t="shared" si="6"/>
        <v>0.83460996080000005</v>
      </c>
    </row>
    <row r="90" spans="1:12" x14ac:dyDescent="0.2">
      <c r="A90" s="4">
        <v>43484</v>
      </c>
      <c r="B90" t="s">
        <v>48</v>
      </c>
      <c r="C90" s="28">
        <v>1</v>
      </c>
      <c r="D90" s="6">
        <v>1</v>
      </c>
      <c r="E90">
        <v>20</v>
      </c>
      <c r="F90" t="s">
        <v>322</v>
      </c>
      <c r="G90" t="s">
        <v>299</v>
      </c>
      <c r="H90" s="6" t="s">
        <v>1071</v>
      </c>
      <c r="I90">
        <f t="shared" si="4"/>
        <v>20</v>
      </c>
      <c r="J90">
        <f t="shared" si="5"/>
        <v>9.0718474000000011</v>
      </c>
      <c r="K90">
        <v>9.1999999999999998E-2</v>
      </c>
      <c r="L90">
        <f t="shared" si="6"/>
        <v>0.83460996080000005</v>
      </c>
    </row>
    <row r="91" spans="1:12" x14ac:dyDescent="0.2">
      <c r="A91" s="4">
        <v>43483</v>
      </c>
      <c r="B91" t="s">
        <v>48</v>
      </c>
      <c r="C91" s="28">
        <v>4</v>
      </c>
      <c r="D91" s="6">
        <v>1</v>
      </c>
      <c r="E91">
        <v>50</v>
      </c>
      <c r="F91" t="s">
        <v>299</v>
      </c>
      <c r="G91" t="s">
        <v>299</v>
      </c>
      <c r="H91" s="6" t="s">
        <v>1071</v>
      </c>
      <c r="I91">
        <f t="shared" si="4"/>
        <v>200</v>
      </c>
      <c r="J91">
        <f t="shared" si="5"/>
        <v>90.718474000000001</v>
      </c>
      <c r="K91">
        <v>9.1999999999999998E-2</v>
      </c>
      <c r="L91">
        <f t="shared" si="6"/>
        <v>8.3460996079999994</v>
      </c>
    </row>
    <row r="92" spans="1:12" x14ac:dyDescent="0.2">
      <c r="A92" s="4">
        <v>43483</v>
      </c>
      <c r="B92" t="s">
        <v>48</v>
      </c>
      <c r="C92" s="28">
        <v>1</v>
      </c>
      <c r="D92" s="6">
        <v>1</v>
      </c>
      <c r="E92">
        <v>20</v>
      </c>
      <c r="F92" t="s">
        <v>635</v>
      </c>
      <c r="G92" t="s">
        <v>299</v>
      </c>
      <c r="H92" s="6" t="s">
        <v>1071</v>
      </c>
      <c r="I92">
        <f t="shared" ref="I92:I123" si="7">C92*D92*E92</f>
        <v>20</v>
      </c>
      <c r="J92">
        <f t="shared" si="5"/>
        <v>9.0718474000000011</v>
      </c>
      <c r="K92">
        <v>9.1999999999999998E-2</v>
      </c>
      <c r="L92">
        <f t="shared" si="6"/>
        <v>0.83460996080000005</v>
      </c>
    </row>
    <row r="93" spans="1:12" x14ac:dyDescent="0.2">
      <c r="A93" s="4">
        <v>43483</v>
      </c>
      <c r="B93" t="s">
        <v>48</v>
      </c>
      <c r="C93" s="28">
        <v>2</v>
      </c>
      <c r="D93" s="6">
        <v>1</v>
      </c>
      <c r="E93">
        <v>20</v>
      </c>
      <c r="F93" t="s">
        <v>269</v>
      </c>
      <c r="G93" t="s">
        <v>299</v>
      </c>
      <c r="H93" s="6" t="s">
        <v>1071</v>
      </c>
      <c r="I93">
        <f t="shared" si="7"/>
        <v>40</v>
      </c>
      <c r="J93">
        <f t="shared" si="5"/>
        <v>18.143694800000002</v>
      </c>
      <c r="K93">
        <v>9.1999999999999998E-2</v>
      </c>
      <c r="L93">
        <f t="shared" si="6"/>
        <v>1.6692199216000001</v>
      </c>
    </row>
    <row r="94" spans="1:12" x14ac:dyDescent="0.2">
      <c r="A94" s="4">
        <v>43483</v>
      </c>
      <c r="B94" t="s">
        <v>48</v>
      </c>
      <c r="C94" s="28">
        <v>1</v>
      </c>
      <c r="D94" s="6">
        <v>1</v>
      </c>
      <c r="E94">
        <v>20</v>
      </c>
      <c r="F94" t="s">
        <v>322</v>
      </c>
      <c r="G94" t="s">
        <v>299</v>
      </c>
      <c r="H94" s="6" t="s">
        <v>1071</v>
      </c>
      <c r="I94">
        <f t="shared" si="7"/>
        <v>20</v>
      </c>
      <c r="J94">
        <f t="shared" si="5"/>
        <v>9.0718474000000011</v>
      </c>
      <c r="K94">
        <v>9.1999999999999998E-2</v>
      </c>
      <c r="L94">
        <f t="shared" si="6"/>
        <v>0.83460996080000005</v>
      </c>
    </row>
    <row r="95" spans="1:12" x14ac:dyDescent="0.2">
      <c r="A95" s="4">
        <v>43489</v>
      </c>
      <c r="B95" t="s">
        <v>201</v>
      </c>
      <c r="C95" s="6">
        <v>1</v>
      </c>
      <c r="D95" s="6">
        <v>1</v>
      </c>
      <c r="E95">
        <v>60</v>
      </c>
      <c r="F95" s="9" t="s">
        <v>617</v>
      </c>
      <c r="G95" s="9" t="s">
        <v>960</v>
      </c>
      <c r="H95" s="6" t="s">
        <v>1072</v>
      </c>
      <c r="I95">
        <f t="shared" si="7"/>
        <v>60</v>
      </c>
      <c r="J95">
        <f t="shared" si="5"/>
        <v>27.215542200000002</v>
      </c>
      <c r="K95">
        <v>5.7169999999999996</v>
      </c>
      <c r="L95">
        <f t="shared" si="6"/>
        <v>155.59125475740001</v>
      </c>
    </row>
    <row r="96" spans="1:12" x14ac:dyDescent="0.2">
      <c r="A96" s="4">
        <v>43486</v>
      </c>
      <c r="B96" t="s">
        <v>48</v>
      </c>
      <c r="C96" s="28">
        <v>3</v>
      </c>
      <c r="D96" s="6">
        <v>1</v>
      </c>
      <c r="E96">
        <f>12*1.3</f>
        <v>15.600000000000001</v>
      </c>
      <c r="F96" t="s">
        <v>619</v>
      </c>
      <c r="G96" t="s">
        <v>619</v>
      </c>
      <c r="H96" s="6" t="s">
        <v>1071</v>
      </c>
      <c r="I96">
        <f t="shared" si="7"/>
        <v>46.800000000000004</v>
      </c>
      <c r="J96">
        <f t="shared" si="5"/>
        <v>21.228122916000004</v>
      </c>
      <c r="K96">
        <v>0.93400000000000005</v>
      </c>
      <c r="L96">
        <f t="shared" si="6"/>
        <v>19.827066803544003</v>
      </c>
    </row>
    <row r="97" spans="1:12" x14ac:dyDescent="0.2">
      <c r="A97" s="4">
        <v>43489</v>
      </c>
      <c r="B97" t="s">
        <v>48</v>
      </c>
      <c r="C97" s="28">
        <v>3</v>
      </c>
      <c r="D97" s="6">
        <v>1</v>
      </c>
      <c r="E97">
        <v>12</v>
      </c>
      <c r="F97" t="s">
        <v>351</v>
      </c>
      <c r="G97" t="s">
        <v>619</v>
      </c>
      <c r="H97" s="6" t="s">
        <v>1071</v>
      </c>
      <c r="I97">
        <f t="shared" si="7"/>
        <v>36</v>
      </c>
      <c r="J97">
        <f t="shared" si="5"/>
        <v>16.329325319999999</v>
      </c>
      <c r="K97">
        <v>0.93400000000000005</v>
      </c>
      <c r="L97">
        <f t="shared" si="6"/>
        <v>15.25158984888</v>
      </c>
    </row>
    <row r="98" spans="1:12" x14ac:dyDescent="0.2">
      <c r="A98" s="4">
        <v>43484</v>
      </c>
      <c r="B98" t="s">
        <v>48</v>
      </c>
      <c r="C98" s="28">
        <v>3</v>
      </c>
      <c r="D98" s="6">
        <v>1</v>
      </c>
      <c r="E98">
        <v>12</v>
      </c>
      <c r="F98" t="s">
        <v>323</v>
      </c>
      <c r="G98" t="s">
        <v>619</v>
      </c>
      <c r="H98" s="6" t="s">
        <v>1071</v>
      </c>
      <c r="I98">
        <f t="shared" si="7"/>
        <v>36</v>
      </c>
      <c r="J98">
        <f t="shared" si="5"/>
        <v>16.329325319999999</v>
      </c>
      <c r="K98">
        <v>0.93400000000000005</v>
      </c>
      <c r="L98">
        <f t="shared" si="6"/>
        <v>15.25158984888</v>
      </c>
    </row>
    <row r="99" spans="1:12" x14ac:dyDescent="0.2">
      <c r="A99" s="4">
        <v>43483</v>
      </c>
      <c r="B99" t="s">
        <v>48</v>
      </c>
      <c r="C99" s="28">
        <v>3</v>
      </c>
      <c r="D99" s="6">
        <v>1</v>
      </c>
      <c r="E99">
        <v>12</v>
      </c>
      <c r="F99" t="s">
        <v>351</v>
      </c>
      <c r="G99" t="s">
        <v>619</v>
      </c>
      <c r="H99" s="6" t="s">
        <v>1071</v>
      </c>
      <c r="I99">
        <f t="shared" si="7"/>
        <v>36</v>
      </c>
      <c r="J99">
        <f t="shared" si="5"/>
        <v>16.329325319999999</v>
      </c>
      <c r="K99">
        <v>0.93400000000000005</v>
      </c>
      <c r="L99">
        <f t="shared" si="6"/>
        <v>15.25158984888</v>
      </c>
    </row>
    <row r="100" spans="1:12" x14ac:dyDescent="0.2">
      <c r="A100" s="4">
        <v>43486</v>
      </c>
      <c r="B100" t="s">
        <v>48</v>
      </c>
      <c r="C100" s="28">
        <v>1</v>
      </c>
      <c r="D100" s="6">
        <v>1</v>
      </c>
      <c r="E100">
        <v>20</v>
      </c>
      <c r="F100" t="s">
        <v>324</v>
      </c>
      <c r="G100" t="s">
        <v>352</v>
      </c>
      <c r="H100" s="6" t="s">
        <v>1071</v>
      </c>
      <c r="I100">
        <f t="shared" si="7"/>
        <v>20</v>
      </c>
      <c r="J100">
        <f t="shared" si="5"/>
        <v>9.0718474000000011</v>
      </c>
      <c r="K100">
        <v>0.33100000000000002</v>
      </c>
      <c r="L100">
        <f t="shared" si="6"/>
        <v>3.0027814894000007</v>
      </c>
    </row>
    <row r="101" spans="1:12" x14ac:dyDescent="0.2">
      <c r="A101" s="4">
        <v>43487</v>
      </c>
      <c r="B101" t="s">
        <v>48</v>
      </c>
      <c r="C101" s="28">
        <v>1</v>
      </c>
      <c r="D101" s="6">
        <v>1</v>
      </c>
      <c r="E101">
        <v>36</v>
      </c>
      <c r="F101" t="s">
        <v>352</v>
      </c>
      <c r="G101" t="s">
        <v>352</v>
      </c>
      <c r="H101" s="6" t="s">
        <v>1071</v>
      </c>
      <c r="I101">
        <f t="shared" si="7"/>
        <v>36</v>
      </c>
      <c r="J101">
        <f t="shared" si="5"/>
        <v>16.329325319999999</v>
      </c>
      <c r="K101">
        <v>0.33100000000000002</v>
      </c>
      <c r="L101">
        <f t="shared" si="6"/>
        <v>5.4050066809199997</v>
      </c>
    </row>
    <row r="102" spans="1:12" x14ac:dyDescent="0.2">
      <c r="A102" s="4">
        <v>43484</v>
      </c>
      <c r="B102" t="s">
        <v>48</v>
      </c>
      <c r="C102" s="28">
        <v>1</v>
      </c>
      <c r="D102" s="6">
        <v>1</v>
      </c>
      <c r="E102">
        <v>20</v>
      </c>
      <c r="F102" t="s">
        <v>324</v>
      </c>
      <c r="G102" t="s">
        <v>352</v>
      </c>
      <c r="H102" s="6" t="s">
        <v>1071</v>
      </c>
      <c r="I102">
        <f t="shared" si="7"/>
        <v>20</v>
      </c>
      <c r="J102">
        <f t="shared" si="5"/>
        <v>9.0718474000000011</v>
      </c>
      <c r="K102">
        <v>0.33100000000000002</v>
      </c>
      <c r="L102">
        <f t="shared" si="6"/>
        <v>3.0027814894000007</v>
      </c>
    </row>
    <row r="103" spans="1:12" x14ac:dyDescent="0.2">
      <c r="A103" s="4">
        <v>43483</v>
      </c>
      <c r="B103" t="s">
        <v>48</v>
      </c>
      <c r="C103" s="28">
        <v>1</v>
      </c>
      <c r="D103" s="6">
        <v>1</v>
      </c>
      <c r="E103">
        <v>20</v>
      </c>
      <c r="F103" t="s">
        <v>642</v>
      </c>
      <c r="G103" t="s">
        <v>352</v>
      </c>
      <c r="H103" s="6" t="s">
        <v>1071</v>
      </c>
      <c r="I103">
        <f t="shared" si="7"/>
        <v>20</v>
      </c>
      <c r="J103">
        <f t="shared" si="5"/>
        <v>9.0718474000000011</v>
      </c>
      <c r="K103">
        <v>0.33100000000000002</v>
      </c>
      <c r="L103">
        <f t="shared" si="6"/>
        <v>3.0027814894000007</v>
      </c>
    </row>
    <row r="104" spans="1:12" x14ac:dyDescent="0.2">
      <c r="A104" s="4">
        <v>43483</v>
      </c>
      <c r="B104" t="s">
        <v>48</v>
      </c>
      <c r="C104" s="28">
        <v>1</v>
      </c>
      <c r="D104" s="6">
        <v>1</v>
      </c>
      <c r="E104">
        <v>20</v>
      </c>
      <c r="F104" t="s">
        <v>324</v>
      </c>
      <c r="G104" t="s">
        <v>352</v>
      </c>
      <c r="H104" s="6" t="s">
        <v>1071</v>
      </c>
      <c r="I104">
        <f t="shared" si="7"/>
        <v>20</v>
      </c>
      <c r="J104">
        <f t="shared" si="5"/>
        <v>9.0718474000000011</v>
      </c>
      <c r="K104">
        <v>0.33100000000000002</v>
      </c>
      <c r="L104">
        <f t="shared" si="6"/>
        <v>3.0027814894000007</v>
      </c>
    </row>
    <row r="105" spans="1:12" x14ac:dyDescent="0.2">
      <c r="A105" s="4">
        <v>43483</v>
      </c>
      <c r="B105" t="s">
        <v>48</v>
      </c>
      <c r="C105" s="28">
        <v>1</v>
      </c>
      <c r="D105" s="6">
        <v>1</v>
      </c>
      <c r="E105">
        <v>36</v>
      </c>
      <c r="F105" t="s">
        <v>643</v>
      </c>
      <c r="G105" t="s">
        <v>352</v>
      </c>
      <c r="H105" s="6" t="s">
        <v>1071</v>
      </c>
      <c r="I105">
        <f t="shared" si="7"/>
        <v>36</v>
      </c>
      <c r="J105">
        <f t="shared" si="5"/>
        <v>16.329325319999999</v>
      </c>
      <c r="K105">
        <v>0.33100000000000002</v>
      </c>
      <c r="L105">
        <f t="shared" si="6"/>
        <v>5.4050066809199997</v>
      </c>
    </row>
    <row r="106" spans="1:12" x14ac:dyDescent="0.2">
      <c r="A106" s="4">
        <v>43483</v>
      </c>
      <c r="B106" t="s">
        <v>538</v>
      </c>
      <c r="C106">
        <v>2</v>
      </c>
      <c r="D106">
        <v>4</v>
      </c>
      <c r="E106">
        <f>40/16</f>
        <v>2.5</v>
      </c>
      <c r="F106" t="s">
        <v>436</v>
      </c>
      <c r="G106" s="9" t="s">
        <v>861</v>
      </c>
      <c r="H106" s="6" t="s">
        <v>1071</v>
      </c>
      <c r="I106">
        <f t="shared" si="7"/>
        <v>20</v>
      </c>
      <c r="J106">
        <f t="shared" si="5"/>
        <v>9.0718474000000011</v>
      </c>
      <c r="K106">
        <v>1.61</v>
      </c>
      <c r="L106">
        <f t="shared" si="6"/>
        <v>14.605674314000003</v>
      </c>
    </row>
    <row r="107" spans="1:12" x14ac:dyDescent="0.2">
      <c r="A107" s="4">
        <v>43483</v>
      </c>
      <c r="B107" t="s">
        <v>538</v>
      </c>
      <c r="C107">
        <v>1</v>
      </c>
      <c r="D107">
        <v>4</v>
      </c>
      <c r="E107">
        <f>35/16</f>
        <v>2.1875</v>
      </c>
      <c r="F107" t="s">
        <v>470</v>
      </c>
      <c r="G107" s="9" t="s">
        <v>861</v>
      </c>
      <c r="H107" s="6" t="s">
        <v>1071</v>
      </c>
      <c r="I107">
        <f t="shared" si="7"/>
        <v>8.75</v>
      </c>
      <c r="J107">
        <f t="shared" si="5"/>
        <v>3.9689332375000004</v>
      </c>
      <c r="K107">
        <v>1.61</v>
      </c>
      <c r="L107">
        <f t="shared" si="6"/>
        <v>6.3899825123750009</v>
      </c>
    </row>
    <row r="108" spans="1:12" x14ac:dyDescent="0.2">
      <c r="A108" s="4">
        <v>43483</v>
      </c>
      <c r="B108" t="s">
        <v>538</v>
      </c>
      <c r="C108">
        <v>2</v>
      </c>
      <c r="D108">
        <v>4</v>
      </c>
      <c r="E108">
        <f>45/16</f>
        <v>2.8125</v>
      </c>
      <c r="F108" t="s">
        <v>548</v>
      </c>
      <c r="G108" s="9" t="s">
        <v>861</v>
      </c>
      <c r="H108" s="6" t="s">
        <v>1071</v>
      </c>
      <c r="I108">
        <f t="shared" si="7"/>
        <v>22.5</v>
      </c>
      <c r="J108">
        <f t="shared" si="5"/>
        <v>10.205828325000001</v>
      </c>
      <c r="K108">
        <v>1.61</v>
      </c>
      <c r="L108">
        <f t="shared" si="6"/>
        <v>16.431383603250001</v>
      </c>
    </row>
    <row r="109" spans="1:12" x14ac:dyDescent="0.2">
      <c r="A109" s="4">
        <v>43483</v>
      </c>
      <c r="B109" t="s">
        <v>538</v>
      </c>
      <c r="C109">
        <v>1</v>
      </c>
      <c r="D109">
        <v>12</v>
      </c>
      <c r="E109">
        <f>47/16</f>
        <v>2.9375</v>
      </c>
      <c r="F109" t="s">
        <v>444</v>
      </c>
      <c r="G109" t="s">
        <v>861</v>
      </c>
      <c r="H109" s="6" t="s">
        <v>1071</v>
      </c>
      <c r="I109">
        <f t="shared" si="7"/>
        <v>35.25</v>
      </c>
      <c r="J109">
        <f t="shared" si="5"/>
        <v>15.989131042500002</v>
      </c>
      <c r="K109">
        <v>1.61</v>
      </c>
      <c r="L109">
        <f t="shared" si="6"/>
        <v>25.742500978425007</v>
      </c>
    </row>
    <row r="110" spans="1:12" x14ac:dyDescent="0.2">
      <c r="A110" s="4">
        <v>43483</v>
      </c>
      <c r="B110" t="s">
        <v>538</v>
      </c>
      <c r="C110">
        <v>2</v>
      </c>
      <c r="D110">
        <v>4</v>
      </c>
      <c r="E110">
        <f>50/16</f>
        <v>3.125</v>
      </c>
      <c r="F110" t="s">
        <v>453</v>
      </c>
      <c r="G110" t="s">
        <v>861</v>
      </c>
      <c r="H110" s="6" t="s">
        <v>1071</v>
      </c>
      <c r="I110">
        <f t="shared" si="7"/>
        <v>25</v>
      </c>
      <c r="J110">
        <f t="shared" si="5"/>
        <v>11.33980925</v>
      </c>
      <c r="K110">
        <v>1.61</v>
      </c>
      <c r="L110">
        <f t="shared" si="6"/>
        <v>18.257092892500001</v>
      </c>
    </row>
    <row r="111" spans="1:12" x14ac:dyDescent="0.2">
      <c r="A111" s="4">
        <v>43486</v>
      </c>
      <c r="B111" t="s">
        <v>538</v>
      </c>
      <c r="C111">
        <v>2</v>
      </c>
      <c r="D111">
        <v>4</v>
      </c>
      <c r="E111">
        <f>29/16</f>
        <v>1.8125</v>
      </c>
      <c r="F111" t="s">
        <v>575</v>
      </c>
      <c r="G111" t="s">
        <v>861</v>
      </c>
      <c r="H111" s="6" t="s">
        <v>1071</v>
      </c>
      <c r="I111">
        <f t="shared" si="7"/>
        <v>14.5</v>
      </c>
      <c r="J111">
        <f t="shared" si="5"/>
        <v>6.577089365</v>
      </c>
      <c r="K111">
        <v>1.61</v>
      </c>
      <c r="L111">
        <f t="shared" si="6"/>
        <v>10.58911387765</v>
      </c>
    </row>
    <row r="112" spans="1:12" x14ac:dyDescent="0.2">
      <c r="A112" s="4">
        <v>43486</v>
      </c>
      <c r="B112" t="s">
        <v>538</v>
      </c>
      <c r="C112">
        <v>3</v>
      </c>
      <c r="D112">
        <v>4</v>
      </c>
      <c r="E112">
        <f>40/16</f>
        <v>2.5</v>
      </c>
      <c r="F112" t="s">
        <v>436</v>
      </c>
      <c r="G112" t="s">
        <v>861</v>
      </c>
      <c r="H112" s="6" t="s">
        <v>1071</v>
      </c>
      <c r="I112">
        <f t="shared" si="7"/>
        <v>30</v>
      </c>
      <c r="J112">
        <f t="shared" si="5"/>
        <v>13.607771100000001</v>
      </c>
      <c r="K112">
        <v>1.61</v>
      </c>
      <c r="L112">
        <f t="shared" si="6"/>
        <v>21.908511471000004</v>
      </c>
    </row>
    <row r="113" spans="1:12" x14ac:dyDescent="0.2">
      <c r="A113" s="4">
        <v>43486</v>
      </c>
      <c r="B113" t="s">
        <v>538</v>
      </c>
      <c r="C113">
        <v>2</v>
      </c>
      <c r="D113">
        <v>4</v>
      </c>
      <c r="E113">
        <f>35/16</f>
        <v>2.1875</v>
      </c>
      <c r="F113" t="s">
        <v>470</v>
      </c>
      <c r="G113" t="s">
        <v>861</v>
      </c>
      <c r="H113" s="6" t="s">
        <v>1071</v>
      </c>
      <c r="I113">
        <f t="shared" si="7"/>
        <v>17.5</v>
      </c>
      <c r="J113">
        <f t="shared" si="5"/>
        <v>7.9378664750000008</v>
      </c>
      <c r="K113">
        <v>1.61</v>
      </c>
      <c r="L113">
        <f t="shared" si="6"/>
        <v>12.779965024750002</v>
      </c>
    </row>
    <row r="114" spans="1:12" x14ac:dyDescent="0.2">
      <c r="A114" s="4">
        <v>43486</v>
      </c>
      <c r="B114" t="s">
        <v>538</v>
      </c>
      <c r="C114">
        <v>2</v>
      </c>
      <c r="D114">
        <v>4</v>
      </c>
      <c r="E114">
        <f>35/16</f>
        <v>2.1875</v>
      </c>
      <c r="F114" t="s">
        <v>580</v>
      </c>
      <c r="G114" t="s">
        <v>861</v>
      </c>
      <c r="H114" s="6" t="s">
        <v>1071</v>
      </c>
      <c r="I114">
        <f t="shared" si="7"/>
        <v>17.5</v>
      </c>
      <c r="J114">
        <f t="shared" si="5"/>
        <v>7.9378664750000008</v>
      </c>
      <c r="K114">
        <v>1.61</v>
      </c>
      <c r="L114">
        <f t="shared" si="6"/>
        <v>12.779965024750002</v>
      </c>
    </row>
    <row r="115" spans="1:12" x14ac:dyDescent="0.2">
      <c r="A115" s="4">
        <v>43486</v>
      </c>
      <c r="B115" t="s">
        <v>538</v>
      </c>
      <c r="C115">
        <v>1</v>
      </c>
      <c r="D115">
        <v>4</v>
      </c>
      <c r="E115">
        <f>50/16</f>
        <v>3.125</v>
      </c>
      <c r="F115" t="s">
        <v>453</v>
      </c>
      <c r="G115" t="s">
        <v>861</v>
      </c>
      <c r="H115" s="6" t="s">
        <v>1071</v>
      </c>
      <c r="I115">
        <f t="shared" si="7"/>
        <v>12.5</v>
      </c>
      <c r="J115">
        <f t="shared" si="5"/>
        <v>5.669904625</v>
      </c>
      <c r="K115">
        <v>1.61</v>
      </c>
      <c r="L115">
        <f t="shared" si="6"/>
        <v>9.1285464462500006</v>
      </c>
    </row>
    <row r="116" spans="1:12" x14ac:dyDescent="0.2">
      <c r="A116" s="4">
        <v>43488</v>
      </c>
      <c r="B116" t="s">
        <v>538</v>
      </c>
      <c r="C116">
        <v>1</v>
      </c>
      <c r="D116">
        <v>4</v>
      </c>
      <c r="E116">
        <f>40/16</f>
        <v>2.5</v>
      </c>
      <c r="F116" t="s">
        <v>436</v>
      </c>
      <c r="G116" t="s">
        <v>861</v>
      </c>
      <c r="H116" s="6" t="s">
        <v>1071</v>
      </c>
      <c r="I116">
        <f t="shared" si="7"/>
        <v>10</v>
      </c>
      <c r="J116">
        <f t="shared" si="5"/>
        <v>4.5359237000000006</v>
      </c>
      <c r="K116">
        <v>1.61</v>
      </c>
      <c r="L116">
        <f t="shared" si="6"/>
        <v>7.3028371570000017</v>
      </c>
    </row>
    <row r="117" spans="1:12" x14ac:dyDescent="0.2">
      <c r="A117" s="4">
        <v>43488</v>
      </c>
      <c r="B117" t="s">
        <v>538</v>
      </c>
      <c r="C117">
        <v>2</v>
      </c>
      <c r="D117">
        <v>4</v>
      </c>
      <c r="E117">
        <f>45/16</f>
        <v>2.8125</v>
      </c>
      <c r="F117" t="s">
        <v>548</v>
      </c>
      <c r="G117" t="s">
        <v>861</v>
      </c>
      <c r="H117" s="6" t="s">
        <v>1071</v>
      </c>
      <c r="I117">
        <f t="shared" si="7"/>
        <v>22.5</v>
      </c>
      <c r="J117">
        <f t="shared" si="5"/>
        <v>10.205828325000001</v>
      </c>
      <c r="K117">
        <v>1.61</v>
      </c>
      <c r="L117">
        <f t="shared" si="6"/>
        <v>16.431383603250001</v>
      </c>
    </row>
    <row r="118" spans="1:12" x14ac:dyDescent="0.2">
      <c r="A118" s="4">
        <v>43488</v>
      </c>
      <c r="B118" t="s">
        <v>538</v>
      </c>
      <c r="C118">
        <v>1</v>
      </c>
      <c r="D118">
        <v>4</v>
      </c>
      <c r="E118">
        <f>50/16</f>
        <v>3.125</v>
      </c>
      <c r="F118" t="s">
        <v>453</v>
      </c>
      <c r="G118" t="s">
        <v>861</v>
      </c>
      <c r="H118" s="6" t="s">
        <v>1071</v>
      </c>
      <c r="I118">
        <f t="shared" si="7"/>
        <v>12.5</v>
      </c>
      <c r="J118">
        <f t="shared" si="5"/>
        <v>5.669904625</v>
      </c>
      <c r="K118">
        <v>1.61</v>
      </c>
      <c r="L118">
        <f t="shared" si="6"/>
        <v>9.1285464462500006</v>
      </c>
    </row>
    <row r="119" spans="1:12" x14ac:dyDescent="0.2">
      <c r="A119" s="4">
        <v>43483</v>
      </c>
      <c r="B119" t="s">
        <v>517</v>
      </c>
      <c r="C119">
        <v>2</v>
      </c>
      <c r="D119">
        <v>12</v>
      </c>
      <c r="E119">
        <f>4.5/16</f>
        <v>0.28125</v>
      </c>
      <c r="F119" t="s">
        <v>645</v>
      </c>
      <c r="G119" t="s">
        <v>847</v>
      </c>
      <c r="H119" s="6" t="s">
        <v>1073</v>
      </c>
      <c r="I119">
        <f t="shared" si="7"/>
        <v>6.75</v>
      </c>
      <c r="J119">
        <f t="shared" si="5"/>
        <v>3.0617484975000004</v>
      </c>
      <c r="K119">
        <v>9.9740000000000002</v>
      </c>
      <c r="L119">
        <f t="shared" si="6"/>
        <v>30.537879514065004</v>
      </c>
    </row>
    <row r="120" spans="1:12" x14ac:dyDescent="0.2">
      <c r="A120" s="4">
        <v>43483</v>
      </c>
      <c r="B120" t="s">
        <v>517</v>
      </c>
      <c r="C120">
        <v>1</v>
      </c>
      <c r="D120">
        <v>6</v>
      </c>
      <c r="E120">
        <v>3</v>
      </c>
      <c r="F120" t="s">
        <v>387</v>
      </c>
      <c r="G120" t="s">
        <v>847</v>
      </c>
      <c r="H120" s="6" t="s">
        <v>1073</v>
      </c>
      <c r="I120">
        <f t="shared" si="7"/>
        <v>18</v>
      </c>
      <c r="J120">
        <f t="shared" si="5"/>
        <v>8.1646626599999994</v>
      </c>
      <c r="K120">
        <v>9.9740000000000002</v>
      </c>
      <c r="L120">
        <f t="shared" si="6"/>
        <v>81.434345370839992</v>
      </c>
    </row>
    <row r="121" spans="1:12" x14ac:dyDescent="0.2">
      <c r="A121" s="4">
        <v>43483</v>
      </c>
      <c r="B121" t="s">
        <v>517</v>
      </c>
      <c r="C121">
        <v>2</v>
      </c>
      <c r="D121">
        <v>2</v>
      </c>
      <c r="E121">
        <v>5</v>
      </c>
      <c r="F121" t="s">
        <v>389</v>
      </c>
      <c r="G121" t="s">
        <v>847</v>
      </c>
      <c r="H121" s="6" t="s">
        <v>1073</v>
      </c>
      <c r="I121">
        <f t="shared" si="7"/>
        <v>20</v>
      </c>
      <c r="J121">
        <f t="shared" si="5"/>
        <v>9.0718474000000011</v>
      </c>
      <c r="K121">
        <v>9.9740000000000002</v>
      </c>
      <c r="L121">
        <f t="shared" si="6"/>
        <v>90.482605967600009</v>
      </c>
    </row>
    <row r="122" spans="1:12" x14ac:dyDescent="0.2">
      <c r="A122" s="4">
        <v>43483</v>
      </c>
      <c r="B122" t="s">
        <v>517</v>
      </c>
      <c r="C122">
        <v>2</v>
      </c>
      <c r="D122">
        <v>4</v>
      </c>
      <c r="E122">
        <v>5</v>
      </c>
      <c r="F122" t="s">
        <v>390</v>
      </c>
      <c r="G122" t="s">
        <v>847</v>
      </c>
      <c r="H122" s="6" t="s">
        <v>1073</v>
      </c>
      <c r="I122">
        <f t="shared" si="7"/>
        <v>40</v>
      </c>
      <c r="J122">
        <f t="shared" si="5"/>
        <v>18.143694800000002</v>
      </c>
      <c r="K122">
        <v>9.9740000000000002</v>
      </c>
      <c r="L122">
        <f t="shared" si="6"/>
        <v>180.96521193520002</v>
      </c>
    </row>
    <row r="123" spans="1:12" x14ac:dyDescent="0.2">
      <c r="A123" s="4">
        <v>43483</v>
      </c>
      <c r="B123" t="s">
        <v>517</v>
      </c>
      <c r="C123">
        <v>5</v>
      </c>
      <c r="D123">
        <v>4</v>
      </c>
      <c r="E123">
        <v>5</v>
      </c>
      <c r="F123" t="s">
        <v>391</v>
      </c>
      <c r="G123" t="s">
        <v>847</v>
      </c>
      <c r="H123" s="6" t="s">
        <v>1073</v>
      </c>
      <c r="I123">
        <f t="shared" si="7"/>
        <v>100</v>
      </c>
      <c r="J123">
        <f t="shared" si="5"/>
        <v>45.359237</v>
      </c>
      <c r="K123">
        <v>9.9740000000000002</v>
      </c>
      <c r="L123">
        <f t="shared" si="6"/>
        <v>452.413029838</v>
      </c>
    </row>
    <row r="124" spans="1:12" x14ac:dyDescent="0.2">
      <c r="A124" s="4">
        <v>43483</v>
      </c>
      <c r="B124" t="s">
        <v>517</v>
      </c>
      <c r="C124">
        <v>10</v>
      </c>
      <c r="D124">
        <v>4</v>
      </c>
      <c r="E124">
        <v>5</v>
      </c>
      <c r="F124" t="s">
        <v>392</v>
      </c>
      <c r="G124" t="s">
        <v>847</v>
      </c>
      <c r="H124" s="6" t="s">
        <v>1073</v>
      </c>
      <c r="I124">
        <f t="shared" ref="I124:I155" si="8">C124*D124*E124</f>
        <v>200</v>
      </c>
      <c r="J124">
        <f t="shared" si="5"/>
        <v>90.718474000000001</v>
      </c>
      <c r="K124">
        <v>9.9740000000000002</v>
      </c>
      <c r="L124">
        <f t="shared" si="6"/>
        <v>904.826059676</v>
      </c>
    </row>
    <row r="125" spans="1:12" x14ac:dyDescent="0.2">
      <c r="A125" s="4">
        <v>43483</v>
      </c>
      <c r="B125" t="s">
        <v>517</v>
      </c>
      <c r="C125">
        <v>1</v>
      </c>
      <c r="D125">
        <v>4</v>
      </c>
      <c r="E125">
        <v>2.5</v>
      </c>
      <c r="F125" t="s">
        <v>1009</v>
      </c>
      <c r="G125" t="s">
        <v>847</v>
      </c>
      <c r="H125" s="6" t="s">
        <v>1073</v>
      </c>
      <c r="I125">
        <f t="shared" si="8"/>
        <v>10</v>
      </c>
      <c r="J125">
        <f t="shared" si="5"/>
        <v>4.5359237000000006</v>
      </c>
      <c r="K125">
        <v>9.9740000000000002</v>
      </c>
      <c r="L125">
        <f t="shared" si="6"/>
        <v>45.241302983800004</v>
      </c>
    </row>
    <row r="126" spans="1:12" x14ac:dyDescent="0.2">
      <c r="A126" s="4">
        <v>43483</v>
      </c>
      <c r="B126" t="s">
        <v>517</v>
      </c>
      <c r="C126">
        <v>1</v>
      </c>
      <c r="D126">
        <v>8</v>
      </c>
      <c r="E126">
        <v>1.25</v>
      </c>
      <c r="F126" t="s">
        <v>1010</v>
      </c>
      <c r="G126" t="s">
        <v>847</v>
      </c>
      <c r="H126" s="6" t="s">
        <v>1073</v>
      </c>
      <c r="I126">
        <f t="shared" si="8"/>
        <v>10</v>
      </c>
      <c r="J126">
        <f t="shared" si="5"/>
        <v>4.5359237000000006</v>
      </c>
      <c r="K126">
        <v>9.9740000000000002</v>
      </c>
      <c r="L126">
        <f t="shared" si="6"/>
        <v>45.241302983800004</v>
      </c>
    </row>
    <row r="127" spans="1:12" x14ac:dyDescent="0.2">
      <c r="A127" s="4">
        <v>43483</v>
      </c>
      <c r="B127" t="s">
        <v>517</v>
      </c>
      <c r="C127">
        <v>1</v>
      </c>
      <c r="D127">
        <v>4</v>
      </c>
      <c r="E127">
        <v>2.5</v>
      </c>
      <c r="F127" t="s">
        <v>1011</v>
      </c>
      <c r="G127" t="s">
        <v>847</v>
      </c>
      <c r="H127" s="6" t="s">
        <v>1073</v>
      </c>
      <c r="I127">
        <f t="shared" si="8"/>
        <v>10</v>
      </c>
      <c r="J127">
        <f t="shared" si="5"/>
        <v>4.5359237000000006</v>
      </c>
      <c r="K127">
        <v>9.9740000000000002</v>
      </c>
      <c r="L127">
        <f t="shared" si="6"/>
        <v>45.241302983800004</v>
      </c>
    </row>
    <row r="128" spans="1:12" x14ac:dyDescent="0.2">
      <c r="A128" s="4">
        <v>43483</v>
      </c>
      <c r="B128" t="s">
        <v>517</v>
      </c>
      <c r="C128">
        <v>2</v>
      </c>
      <c r="D128">
        <v>2</v>
      </c>
      <c r="E128">
        <v>5</v>
      </c>
      <c r="F128" t="s">
        <v>393</v>
      </c>
      <c r="G128" t="s">
        <v>847</v>
      </c>
      <c r="H128" s="6" t="s">
        <v>1073</v>
      </c>
      <c r="I128">
        <f t="shared" si="8"/>
        <v>20</v>
      </c>
      <c r="J128">
        <f t="shared" si="5"/>
        <v>9.0718474000000011</v>
      </c>
      <c r="K128">
        <v>9.9740000000000002</v>
      </c>
      <c r="L128">
        <f t="shared" si="6"/>
        <v>90.482605967600009</v>
      </c>
    </row>
    <row r="129" spans="1:12" x14ac:dyDescent="0.2">
      <c r="A129" s="4">
        <v>43483</v>
      </c>
      <c r="B129" t="s">
        <v>517</v>
      </c>
      <c r="C129">
        <v>1</v>
      </c>
      <c r="D129">
        <v>6</v>
      </c>
      <c r="E129">
        <v>3</v>
      </c>
      <c r="F129" t="s">
        <v>394</v>
      </c>
      <c r="G129" t="s">
        <v>847</v>
      </c>
      <c r="H129" s="6" t="s">
        <v>1073</v>
      </c>
      <c r="I129">
        <f t="shared" si="8"/>
        <v>18</v>
      </c>
      <c r="J129">
        <f t="shared" si="5"/>
        <v>8.1646626599999994</v>
      </c>
      <c r="K129">
        <v>9.9740000000000002</v>
      </c>
      <c r="L129">
        <f t="shared" si="6"/>
        <v>81.434345370839992</v>
      </c>
    </row>
    <row r="130" spans="1:12" x14ac:dyDescent="0.2">
      <c r="A130" s="4">
        <v>43486</v>
      </c>
      <c r="B130" t="s">
        <v>517</v>
      </c>
      <c r="C130">
        <v>1</v>
      </c>
      <c r="D130">
        <v>10</v>
      </c>
      <c r="E130">
        <v>3</v>
      </c>
      <c r="F130" t="s">
        <v>587</v>
      </c>
      <c r="G130" t="s">
        <v>847</v>
      </c>
      <c r="H130" s="6" t="s">
        <v>1073</v>
      </c>
      <c r="I130">
        <f t="shared" si="8"/>
        <v>30</v>
      </c>
      <c r="J130">
        <f t="shared" si="5"/>
        <v>13.607771100000001</v>
      </c>
      <c r="K130">
        <v>9.9740000000000002</v>
      </c>
      <c r="L130">
        <f t="shared" si="6"/>
        <v>135.72390895140001</v>
      </c>
    </row>
    <row r="131" spans="1:12" x14ac:dyDescent="0.2">
      <c r="A131" s="4">
        <v>43486</v>
      </c>
      <c r="B131" t="s">
        <v>517</v>
      </c>
      <c r="C131">
        <v>1</v>
      </c>
      <c r="D131">
        <v>2</v>
      </c>
      <c r="E131">
        <v>5</v>
      </c>
      <c r="F131" t="s">
        <v>389</v>
      </c>
      <c r="G131" t="s">
        <v>847</v>
      </c>
      <c r="H131" s="6" t="s">
        <v>1073</v>
      </c>
      <c r="I131">
        <f t="shared" si="8"/>
        <v>10</v>
      </c>
      <c r="J131">
        <f t="shared" ref="J131:J194" si="9">CONVERT(I131,"lbm","kg")</f>
        <v>4.5359237000000006</v>
      </c>
      <c r="K131">
        <v>9.9740000000000002</v>
      </c>
      <c r="L131">
        <f t="shared" ref="L131:L194" si="10">K131*J131</f>
        <v>45.241302983800004</v>
      </c>
    </row>
    <row r="132" spans="1:12" x14ac:dyDescent="0.2">
      <c r="A132" s="4">
        <v>43486</v>
      </c>
      <c r="B132" t="s">
        <v>517</v>
      </c>
      <c r="C132">
        <v>1</v>
      </c>
      <c r="D132">
        <v>1</v>
      </c>
      <c r="E132">
        <v>23.85</v>
      </c>
      <c r="F132" t="s">
        <v>676</v>
      </c>
      <c r="G132" t="s">
        <v>847</v>
      </c>
      <c r="H132" s="6" t="s">
        <v>1073</v>
      </c>
      <c r="I132">
        <f t="shared" si="8"/>
        <v>23.85</v>
      </c>
      <c r="J132">
        <f t="shared" si="9"/>
        <v>10.818178024500002</v>
      </c>
      <c r="K132">
        <v>9.9740000000000002</v>
      </c>
      <c r="L132">
        <f t="shared" si="10"/>
        <v>107.90050761636302</v>
      </c>
    </row>
    <row r="133" spans="1:12" x14ac:dyDescent="0.2">
      <c r="A133" s="4">
        <v>43486</v>
      </c>
      <c r="B133" t="s">
        <v>517</v>
      </c>
      <c r="C133">
        <v>2</v>
      </c>
      <c r="D133">
        <v>4</v>
      </c>
      <c r="E133">
        <v>5</v>
      </c>
      <c r="F133" t="s">
        <v>391</v>
      </c>
      <c r="G133" t="s">
        <v>847</v>
      </c>
      <c r="H133" s="6" t="s">
        <v>1073</v>
      </c>
      <c r="I133">
        <f t="shared" si="8"/>
        <v>40</v>
      </c>
      <c r="J133">
        <f t="shared" si="9"/>
        <v>18.143694800000002</v>
      </c>
      <c r="K133">
        <v>9.9740000000000002</v>
      </c>
      <c r="L133">
        <f t="shared" si="10"/>
        <v>180.96521193520002</v>
      </c>
    </row>
    <row r="134" spans="1:12" x14ac:dyDescent="0.2">
      <c r="A134" s="4">
        <v>43486</v>
      </c>
      <c r="B134" t="s">
        <v>517</v>
      </c>
      <c r="C134">
        <v>5</v>
      </c>
      <c r="D134">
        <v>4</v>
      </c>
      <c r="E134">
        <v>5</v>
      </c>
      <c r="F134" t="s">
        <v>392</v>
      </c>
      <c r="G134" t="s">
        <v>847</v>
      </c>
      <c r="H134" s="6" t="s">
        <v>1073</v>
      </c>
      <c r="I134">
        <f t="shared" si="8"/>
        <v>100</v>
      </c>
      <c r="J134">
        <f t="shared" si="9"/>
        <v>45.359237</v>
      </c>
      <c r="K134">
        <v>9.9740000000000002</v>
      </c>
      <c r="L134">
        <f t="shared" si="10"/>
        <v>452.413029838</v>
      </c>
    </row>
    <row r="135" spans="1:12" x14ac:dyDescent="0.2">
      <c r="A135" s="4">
        <v>43486</v>
      </c>
      <c r="B135" t="s">
        <v>517</v>
      </c>
      <c r="C135">
        <v>1</v>
      </c>
      <c r="D135">
        <v>8</v>
      </c>
      <c r="E135">
        <v>1.25</v>
      </c>
      <c r="F135" t="s">
        <v>1010</v>
      </c>
      <c r="G135" t="s">
        <v>847</v>
      </c>
      <c r="H135" s="6" t="s">
        <v>1073</v>
      </c>
      <c r="I135">
        <f t="shared" si="8"/>
        <v>10</v>
      </c>
      <c r="J135">
        <f t="shared" si="9"/>
        <v>4.5359237000000006</v>
      </c>
      <c r="K135">
        <v>9.9740000000000002</v>
      </c>
      <c r="L135">
        <f t="shared" si="10"/>
        <v>45.241302983800004</v>
      </c>
    </row>
    <row r="136" spans="1:12" x14ac:dyDescent="0.2">
      <c r="A136" s="4">
        <v>43486</v>
      </c>
      <c r="B136" t="s">
        <v>517</v>
      </c>
      <c r="C136">
        <v>2</v>
      </c>
      <c r="D136">
        <v>2</v>
      </c>
      <c r="E136">
        <v>5</v>
      </c>
      <c r="F136" t="s">
        <v>393</v>
      </c>
      <c r="G136" t="s">
        <v>847</v>
      </c>
      <c r="H136" s="6" t="s">
        <v>1073</v>
      </c>
      <c r="I136">
        <f t="shared" si="8"/>
        <v>20</v>
      </c>
      <c r="J136">
        <f t="shared" si="9"/>
        <v>9.0718474000000011</v>
      </c>
      <c r="K136">
        <v>9.9740000000000002</v>
      </c>
      <c r="L136">
        <f t="shared" si="10"/>
        <v>90.482605967600009</v>
      </c>
    </row>
    <row r="137" spans="1:12" x14ac:dyDescent="0.2">
      <c r="A137" s="4">
        <v>43488</v>
      </c>
      <c r="B137" t="s">
        <v>517</v>
      </c>
      <c r="C137">
        <v>2</v>
      </c>
      <c r="D137">
        <v>4</v>
      </c>
      <c r="E137">
        <v>5</v>
      </c>
      <c r="F137" t="s">
        <v>390</v>
      </c>
      <c r="G137" t="s">
        <v>847</v>
      </c>
      <c r="H137" s="6" t="s">
        <v>1073</v>
      </c>
      <c r="I137">
        <f t="shared" si="8"/>
        <v>40</v>
      </c>
      <c r="J137">
        <f t="shared" si="9"/>
        <v>18.143694800000002</v>
      </c>
      <c r="K137">
        <v>9.9740000000000002</v>
      </c>
      <c r="L137">
        <f t="shared" si="10"/>
        <v>180.96521193520002</v>
      </c>
    </row>
    <row r="138" spans="1:12" x14ac:dyDescent="0.2">
      <c r="A138" s="4">
        <v>43488</v>
      </c>
      <c r="B138" t="s">
        <v>517</v>
      </c>
      <c r="C138">
        <v>1</v>
      </c>
      <c r="D138">
        <v>4</v>
      </c>
      <c r="E138">
        <v>5</v>
      </c>
      <c r="F138" t="s">
        <v>391</v>
      </c>
      <c r="G138" t="s">
        <v>847</v>
      </c>
      <c r="H138" s="6" t="s">
        <v>1073</v>
      </c>
      <c r="I138">
        <f t="shared" si="8"/>
        <v>20</v>
      </c>
      <c r="J138">
        <f t="shared" si="9"/>
        <v>9.0718474000000011</v>
      </c>
      <c r="K138">
        <v>9.9740000000000002</v>
      </c>
      <c r="L138">
        <f t="shared" si="10"/>
        <v>90.482605967600009</v>
      </c>
    </row>
    <row r="139" spans="1:12" x14ac:dyDescent="0.2">
      <c r="A139" s="4">
        <v>43488</v>
      </c>
      <c r="B139" t="s">
        <v>517</v>
      </c>
      <c r="C139">
        <v>4</v>
      </c>
      <c r="D139">
        <v>4</v>
      </c>
      <c r="E139">
        <v>5</v>
      </c>
      <c r="F139" t="s">
        <v>392</v>
      </c>
      <c r="G139" t="s">
        <v>847</v>
      </c>
      <c r="H139" s="6" t="s">
        <v>1073</v>
      </c>
      <c r="I139">
        <f t="shared" si="8"/>
        <v>80</v>
      </c>
      <c r="J139">
        <f t="shared" si="9"/>
        <v>36.287389600000004</v>
      </c>
      <c r="K139">
        <v>9.9740000000000002</v>
      </c>
      <c r="L139">
        <f t="shared" si="10"/>
        <v>361.93042387040003</v>
      </c>
    </row>
    <row r="140" spans="1:12" x14ac:dyDescent="0.2">
      <c r="A140" s="4">
        <v>43488</v>
      </c>
      <c r="B140" t="s">
        <v>517</v>
      </c>
      <c r="C140">
        <v>1</v>
      </c>
      <c r="D140">
        <v>8</v>
      </c>
      <c r="E140">
        <v>1.25</v>
      </c>
      <c r="F140" t="s">
        <v>1010</v>
      </c>
      <c r="G140" t="s">
        <v>847</v>
      </c>
      <c r="H140" s="6" t="s">
        <v>1073</v>
      </c>
      <c r="I140">
        <f t="shared" si="8"/>
        <v>10</v>
      </c>
      <c r="J140">
        <f t="shared" si="9"/>
        <v>4.5359237000000006</v>
      </c>
      <c r="K140">
        <v>9.9740000000000002</v>
      </c>
      <c r="L140">
        <f t="shared" si="10"/>
        <v>45.241302983800004</v>
      </c>
    </row>
    <row r="141" spans="1:12" x14ac:dyDescent="0.2">
      <c r="A141" s="4">
        <v>43488</v>
      </c>
      <c r="B141" t="s">
        <v>517</v>
      </c>
      <c r="C141">
        <v>1</v>
      </c>
      <c r="D141">
        <v>2</v>
      </c>
      <c r="E141">
        <v>5</v>
      </c>
      <c r="F141" t="s">
        <v>393</v>
      </c>
      <c r="G141" t="s">
        <v>847</v>
      </c>
      <c r="H141" s="6" t="s">
        <v>1073</v>
      </c>
      <c r="I141">
        <f t="shared" si="8"/>
        <v>10</v>
      </c>
      <c r="J141">
        <f t="shared" si="9"/>
        <v>4.5359237000000006</v>
      </c>
      <c r="K141">
        <v>9.9740000000000002</v>
      </c>
      <c r="L141">
        <f t="shared" si="10"/>
        <v>45.241302983800004</v>
      </c>
    </row>
    <row r="142" spans="1:12" x14ac:dyDescent="0.2">
      <c r="A142" s="4">
        <v>43483</v>
      </c>
      <c r="B142" t="s">
        <v>531</v>
      </c>
      <c r="C142">
        <v>4</v>
      </c>
      <c r="D142">
        <v>2</v>
      </c>
      <c r="E142">
        <v>4</v>
      </c>
      <c r="F142" t="s">
        <v>652</v>
      </c>
      <c r="G142" t="s">
        <v>847</v>
      </c>
      <c r="H142" s="6" t="s">
        <v>1073</v>
      </c>
      <c r="I142">
        <f t="shared" si="8"/>
        <v>32</v>
      </c>
      <c r="J142">
        <f t="shared" si="9"/>
        <v>14.514955840000001</v>
      </c>
      <c r="K142">
        <v>9.9740000000000002</v>
      </c>
      <c r="L142">
        <f t="shared" si="10"/>
        <v>144.77216954816001</v>
      </c>
    </row>
    <row r="143" spans="1:12" x14ac:dyDescent="0.2">
      <c r="A143" s="13">
        <v>43489</v>
      </c>
      <c r="B143" s="6" t="s">
        <v>175</v>
      </c>
      <c r="C143" s="6">
        <v>1</v>
      </c>
      <c r="D143" s="6">
        <v>1</v>
      </c>
      <c r="E143" s="6">
        <v>80</v>
      </c>
      <c r="F143" s="6" t="s">
        <v>31</v>
      </c>
      <c r="G143" s="6" t="s">
        <v>755</v>
      </c>
      <c r="H143" s="6" t="s">
        <v>1072</v>
      </c>
      <c r="I143">
        <f t="shared" si="8"/>
        <v>80</v>
      </c>
      <c r="J143">
        <f t="shared" si="9"/>
        <v>36.287389600000004</v>
      </c>
      <c r="K143">
        <v>4.1879999999999997</v>
      </c>
      <c r="L143">
        <f t="shared" si="10"/>
        <v>151.9715876448</v>
      </c>
    </row>
    <row r="144" spans="1:12" x14ac:dyDescent="0.2">
      <c r="A144" s="4">
        <v>43488</v>
      </c>
      <c r="B144" t="s">
        <v>615</v>
      </c>
      <c r="C144" s="6">
        <v>1</v>
      </c>
      <c r="D144" s="6">
        <v>1</v>
      </c>
      <c r="E144">
        <v>200</v>
      </c>
      <c r="F144" s="9" t="s">
        <v>51</v>
      </c>
      <c r="G144" s="9" t="s">
        <v>755</v>
      </c>
      <c r="H144" s="6" t="s">
        <v>1072</v>
      </c>
      <c r="I144">
        <f t="shared" si="8"/>
        <v>200</v>
      </c>
      <c r="J144">
        <f t="shared" si="9"/>
        <v>90.718474000000001</v>
      </c>
      <c r="K144">
        <v>4.1879999999999997</v>
      </c>
      <c r="L144">
        <f t="shared" si="10"/>
        <v>379.928969112</v>
      </c>
    </row>
    <row r="145" spans="1:12" x14ac:dyDescent="0.2">
      <c r="A145" s="4">
        <v>43488</v>
      </c>
      <c r="B145" t="s">
        <v>615</v>
      </c>
      <c r="C145" s="6">
        <v>1</v>
      </c>
      <c r="D145" s="6">
        <v>1</v>
      </c>
      <c r="E145">
        <v>20</v>
      </c>
      <c r="F145" s="9" t="s">
        <v>295</v>
      </c>
      <c r="G145" s="9" t="s">
        <v>755</v>
      </c>
      <c r="H145" s="6" t="s">
        <v>1072</v>
      </c>
      <c r="I145">
        <f t="shared" si="8"/>
        <v>20</v>
      </c>
      <c r="J145">
        <f t="shared" si="9"/>
        <v>9.0718474000000011</v>
      </c>
      <c r="K145">
        <v>4.1879999999999997</v>
      </c>
      <c r="L145">
        <f t="shared" si="10"/>
        <v>37.992896911199999</v>
      </c>
    </row>
    <row r="146" spans="1:12" x14ac:dyDescent="0.2">
      <c r="A146" s="4">
        <v>43488</v>
      </c>
      <c r="B146" t="s">
        <v>615</v>
      </c>
      <c r="C146" s="6">
        <v>1</v>
      </c>
      <c r="D146" s="6">
        <v>1</v>
      </c>
      <c r="E146">
        <v>160</v>
      </c>
      <c r="F146" s="9" t="s">
        <v>295</v>
      </c>
      <c r="G146" s="9" t="s">
        <v>755</v>
      </c>
      <c r="H146" s="6" t="s">
        <v>1072</v>
      </c>
      <c r="I146">
        <f t="shared" si="8"/>
        <v>160</v>
      </c>
      <c r="J146">
        <f t="shared" si="9"/>
        <v>72.574779200000009</v>
      </c>
      <c r="K146">
        <v>4.1879999999999997</v>
      </c>
      <c r="L146">
        <f t="shared" si="10"/>
        <v>303.94317528959999</v>
      </c>
    </row>
    <row r="147" spans="1:12" x14ac:dyDescent="0.2">
      <c r="A147" s="4">
        <v>43488</v>
      </c>
      <c r="B147" t="s">
        <v>615</v>
      </c>
      <c r="C147" s="6">
        <v>1</v>
      </c>
      <c r="D147" s="6">
        <v>1</v>
      </c>
      <c r="E147">
        <v>160</v>
      </c>
      <c r="F147" s="9" t="s">
        <v>52</v>
      </c>
      <c r="G147" s="9" t="s">
        <v>755</v>
      </c>
      <c r="H147" s="6" t="s">
        <v>1072</v>
      </c>
      <c r="I147">
        <f t="shared" si="8"/>
        <v>160</v>
      </c>
      <c r="J147">
        <f t="shared" si="9"/>
        <v>72.574779200000009</v>
      </c>
      <c r="K147">
        <v>4.1879999999999997</v>
      </c>
      <c r="L147">
        <f t="shared" si="10"/>
        <v>303.94317528959999</v>
      </c>
    </row>
    <row r="148" spans="1:12" x14ac:dyDescent="0.2">
      <c r="A148" s="4">
        <v>43489</v>
      </c>
      <c r="B148" t="s">
        <v>615</v>
      </c>
      <c r="C148" s="6">
        <v>1</v>
      </c>
      <c r="D148" s="6">
        <v>1</v>
      </c>
      <c r="E148">
        <v>300</v>
      </c>
      <c r="F148" s="9" t="s">
        <v>51</v>
      </c>
      <c r="G148" s="9" t="s">
        <v>755</v>
      </c>
      <c r="H148" s="6" t="s">
        <v>1072</v>
      </c>
      <c r="I148">
        <f t="shared" si="8"/>
        <v>300</v>
      </c>
      <c r="J148">
        <f t="shared" si="9"/>
        <v>136.07771100000002</v>
      </c>
      <c r="K148">
        <v>4.1879999999999997</v>
      </c>
      <c r="L148">
        <f t="shared" si="10"/>
        <v>569.89345366800001</v>
      </c>
    </row>
    <row r="149" spans="1:12" x14ac:dyDescent="0.2">
      <c r="A149" s="4">
        <v>43487</v>
      </c>
      <c r="B149" t="s">
        <v>201</v>
      </c>
      <c r="C149" s="6">
        <v>1</v>
      </c>
      <c r="D149" s="6">
        <v>1</v>
      </c>
      <c r="E149">
        <v>160</v>
      </c>
      <c r="F149" s="9" t="s">
        <v>51</v>
      </c>
      <c r="G149" s="9" t="s">
        <v>755</v>
      </c>
      <c r="H149" s="6" t="s">
        <v>1072</v>
      </c>
      <c r="I149">
        <f t="shared" si="8"/>
        <v>160</v>
      </c>
      <c r="J149">
        <f t="shared" si="9"/>
        <v>72.574779200000009</v>
      </c>
      <c r="K149">
        <v>4.1879999999999997</v>
      </c>
      <c r="L149">
        <f t="shared" si="10"/>
        <v>303.94317528959999</v>
      </c>
    </row>
    <row r="150" spans="1:12" x14ac:dyDescent="0.2">
      <c r="A150" s="4">
        <v>43484</v>
      </c>
      <c r="B150" t="s">
        <v>201</v>
      </c>
      <c r="C150" s="6">
        <v>1</v>
      </c>
      <c r="D150" s="6">
        <v>1</v>
      </c>
      <c r="E150">
        <v>100</v>
      </c>
      <c r="F150" s="9" t="s">
        <v>31</v>
      </c>
      <c r="G150" s="9" t="s">
        <v>755</v>
      </c>
      <c r="H150" s="6" t="s">
        <v>1072</v>
      </c>
      <c r="I150">
        <f t="shared" si="8"/>
        <v>100</v>
      </c>
      <c r="J150">
        <f t="shared" si="9"/>
        <v>45.359237</v>
      </c>
      <c r="K150">
        <v>4.1879999999999997</v>
      </c>
      <c r="L150">
        <f t="shared" si="10"/>
        <v>189.964484556</v>
      </c>
    </row>
    <row r="151" spans="1:12" x14ac:dyDescent="0.2">
      <c r="A151" s="4">
        <v>43484</v>
      </c>
      <c r="B151" t="s">
        <v>201</v>
      </c>
      <c r="C151" s="6">
        <v>1</v>
      </c>
      <c r="D151" s="6">
        <v>1</v>
      </c>
      <c r="E151">
        <v>80</v>
      </c>
      <c r="F151" s="9" t="s">
        <v>295</v>
      </c>
      <c r="G151" s="9" t="s">
        <v>755</v>
      </c>
      <c r="H151" s="6" t="s">
        <v>1072</v>
      </c>
      <c r="I151">
        <f t="shared" si="8"/>
        <v>80</v>
      </c>
      <c r="J151">
        <f t="shared" si="9"/>
        <v>36.287389600000004</v>
      </c>
      <c r="K151">
        <v>4.1879999999999997</v>
      </c>
      <c r="L151">
        <f t="shared" si="10"/>
        <v>151.9715876448</v>
      </c>
    </row>
    <row r="152" spans="1:12" x14ac:dyDescent="0.2">
      <c r="A152" s="4">
        <v>43483</v>
      </c>
      <c r="B152" t="s">
        <v>201</v>
      </c>
      <c r="C152" s="6">
        <v>1</v>
      </c>
      <c r="D152" s="6">
        <v>1</v>
      </c>
      <c r="E152">
        <v>300</v>
      </c>
      <c r="F152" s="9" t="s">
        <v>51</v>
      </c>
      <c r="G152" s="9" t="s">
        <v>755</v>
      </c>
      <c r="H152" s="6" t="s">
        <v>1072</v>
      </c>
      <c r="I152">
        <f t="shared" si="8"/>
        <v>300</v>
      </c>
      <c r="J152">
        <f t="shared" si="9"/>
        <v>136.07771100000002</v>
      </c>
      <c r="K152">
        <v>4.1879999999999997</v>
      </c>
      <c r="L152">
        <f t="shared" si="10"/>
        <v>569.89345366800001</v>
      </c>
    </row>
    <row r="153" spans="1:12" x14ac:dyDescent="0.2">
      <c r="A153" s="4">
        <v>43483</v>
      </c>
      <c r="B153" t="s">
        <v>201</v>
      </c>
      <c r="C153" s="6">
        <v>1</v>
      </c>
      <c r="D153" s="6">
        <v>1</v>
      </c>
      <c r="E153">
        <v>120</v>
      </c>
      <c r="F153" s="9" t="s">
        <v>52</v>
      </c>
      <c r="G153" s="9" t="s">
        <v>755</v>
      </c>
      <c r="H153" s="6" t="s">
        <v>1072</v>
      </c>
      <c r="I153">
        <f t="shared" si="8"/>
        <v>120</v>
      </c>
      <c r="J153">
        <f t="shared" si="9"/>
        <v>54.431084400000003</v>
      </c>
      <c r="K153">
        <v>4.1879999999999997</v>
      </c>
      <c r="L153">
        <f t="shared" si="10"/>
        <v>227.95738146720001</v>
      </c>
    </row>
    <row r="154" spans="1:12" x14ac:dyDescent="0.2">
      <c r="A154" s="4">
        <v>43486</v>
      </c>
      <c r="B154" t="s">
        <v>201</v>
      </c>
      <c r="C154" s="6">
        <v>1</v>
      </c>
      <c r="D154" s="6">
        <v>1</v>
      </c>
      <c r="E154">
        <v>300</v>
      </c>
      <c r="F154" s="9" t="s">
        <v>51</v>
      </c>
      <c r="G154" s="9" t="s">
        <v>755</v>
      </c>
      <c r="H154" s="6" t="s">
        <v>1072</v>
      </c>
      <c r="I154">
        <f t="shared" si="8"/>
        <v>300</v>
      </c>
      <c r="J154">
        <f t="shared" si="9"/>
        <v>136.07771100000002</v>
      </c>
      <c r="K154">
        <v>4.1879999999999997</v>
      </c>
      <c r="L154">
        <f t="shared" si="10"/>
        <v>569.89345366800001</v>
      </c>
    </row>
    <row r="155" spans="1:12" x14ac:dyDescent="0.2">
      <c r="A155" s="4">
        <v>43486</v>
      </c>
      <c r="B155" t="s">
        <v>201</v>
      </c>
      <c r="C155" s="6">
        <v>1</v>
      </c>
      <c r="D155" s="6">
        <v>1</v>
      </c>
      <c r="E155">
        <v>300</v>
      </c>
      <c r="F155" s="9" t="s">
        <v>295</v>
      </c>
      <c r="G155" s="9" t="s">
        <v>755</v>
      </c>
      <c r="H155" s="6" t="s">
        <v>1072</v>
      </c>
      <c r="I155">
        <f t="shared" si="8"/>
        <v>300</v>
      </c>
      <c r="J155">
        <f t="shared" si="9"/>
        <v>136.07771100000002</v>
      </c>
      <c r="K155">
        <v>4.1879999999999997</v>
      </c>
      <c r="L155">
        <f t="shared" si="10"/>
        <v>569.89345366800001</v>
      </c>
    </row>
    <row r="156" spans="1:12" x14ac:dyDescent="0.2">
      <c r="A156" s="4">
        <v>43486</v>
      </c>
      <c r="B156" t="s">
        <v>201</v>
      </c>
      <c r="C156" s="6">
        <v>1</v>
      </c>
      <c r="D156" s="6">
        <v>1</v>
      </c>
      <c r="E156">
        <v>20</v>
      </c>
      <c r="F156" s="9" t="s">
        <v>474</v>
      </c>
      <c r="G156" s="9" t="s">
        <v>755</v>
      </c>
      <c r="H156" s="6" t="s">
        <v>1072</v>
      </c>
      <c r="I156">
        <f t="shared" ref="I156:I163" si="11">C156*D156*E156</f>
        <v>20</v>
      </c>
      <c r="J156">
        <f t="shared" si="9"/>
        <v>9.0718474000000011</v>
      </c>
      <c r="K156">
        <v>4.1879999999999997</v>
      </c>
      <c r="L156">
        <f t="shared" si="10"/>
        <v>37.992896911199999</v>
      </c>
    </row>
    <row r="157" spans="1:12" x14ac:dyDescent="0.2">
      <c r="A157" s="4">
        <v>43486</v>
      </c>
      <c r="B157" t="s">
        <v>201</v>
      </c>
      <c r="C157" s="6">
        <v>1</v>
      </c>
      <c r="D157" s="6">
        <v>1</v>
      </c>
      <c r="E157">
        <v>120</v>
      </c>
      <c r="F157" s="9" t="s">
        <v>52</v>
      </c>
      <c r="G157" s="9" t="s">
        <v>755</v>
      </c>
      <c r="H157" s="6" t="s">
        <v>1072</v>
      </c>
      <c r="I157">
        <f t="shared" si="11"/>
        <v>120</v>
      </c>
      <c r="J157">
        <f t="shared" si="9"/>
        <v>54.431084400000003</v>
      </c>
      <c r="K157">
        <v>4.1879999999999997</v>
      </c>
      <c r="L157">
        <f t="shared" si="10"/>
        <v>227.95738146720001</v>
      </c>
    </row>
    <row r="158" spans="1:12" x14ac:dyDescent="0.2">
      <c r="A158" s="4">
        <v>43483</v>
      </c>
      <c r="B158" t="s">
        <v>530</v>
      </c>
      <c r="C158">
        <v>6</v>
      </c>
      <c r="D158">
        <v>160</v>
      </c>
      <c r="E158">
        <f>1/16</f>
        <v>6.25E-2</v>
      </c>
      <c r="F158" t="s">
        <v>401</v>
      </c>
      <c r="G158" t="s">
        <v>755</v>
      </c>
      <c r="H158" s="6" t="s">
        <v>1072</v>
      </c>
      <c r="I158">
        <f t="shared" si="11"/>
        <v>60</v>
      </c>
      <c r="J158">
        <f t="shared" si="9"/>
        <v>27.215542200000002</v>
      </c>
      <c r="K158">
        <v>4.1879999999999997</v>
      </c>
      <c r="L158">
        <f t="shared" si="10"/>
        <v>113.9786907336</v>
      </c>
    </row>
    <row r="159" spans="1:12" x14ac:dyDescent="0.2">
      <c r="A159" s="4">
        <v>43486</v>
      </c>
      <c r="B159" t="s">
        <v>530</v>
      </c>
      <c r="C159">
        <v>5</v>
      </c>
      <c r="D159">
        <v>160</v>
      </c>
      <c r="E159">
        <f>1/16</f>
        <v>6.25E-2</v>
      </c>
      <c r="F159" t="s">
        <v>401</v>
      </c>
      <c r="G159" t="s">
        <v>755</v>
      </c>
      <c r="H159" s="6" t="s">
        <v>1072</v>
      </c>
      <c r="I159">
        <f t="shared" si="11"/>
        <v>50</v>
      </c>
      <c r="J159">
        <f t="shared" si="9"/>
        <v>22.6796185</v>
      </c>
      <c r="K159">
        <v>4.1879999999999997</v>
      </c>
      <c r="L159">
        <f t="shared" si="10"/>
        <v>94.982242278000001</v>
      </c>
    </row>
    <row r="160" spans="1:12" x14ac:dyDescent="0.2">
      <c r="A160" s="4">
        <v>43483</v>
      </c>
      <c r="B160" t="s">
        <v>538</v>
      </c>
      <c r="C160">
        <v>3</v>
      </c>
      <c r="D160">
        <v>6</v>
      </c>
      <c r="E160">
        <v>10</v>
      </c>
      <c r="F160" t="s">
        <v>539</v>
      </c>
      <c r="G160" t="s">
        <v>896</v>
      </c>
      <c r="H160" s="6" t="s">
        <v>1071</v>
      </c>
      <c r="I160">
        <f t="shared" si="11"/>
        <v>180</v>
      </c>
      <c r="J160">
        <f t="shared" si="9"/>
        <v>81.646626600000005</v>
      </c>
      <c r="K160">
        <v>0.49099999999999999</v>
      </c>
      <c r="L160">
        <f t="shared" si="10"/>
        <v>40.088493660600001</v>
      </c>
    </row>
    <row r="161" spans="1:12" x14ac:dyDescent="0.2">
      <c r="A161" s="4">
        <v>43486</v>
      </c>
      <c r="B161" t="s">
        <v>538</v>
      </c>
      <c r="C161">
        <v>3</v>
      </c>
      <c r="D161">
        <v>6</v>
      </c>
      <c r="E161">
        <v>10</v>
      </c>
      <c r="F161" t="s">
        <v>539</v>
      </c>
      <c r="G161" t="s">
        <v>896</v>
      </c>
      <c r="H161" s="6" t="s">
        <v>1071</v>
      </c>
      <c r="I161">
        <f t="shared" si="11"/>
        <v>180</v>
      </c>
      <c r="J161">
        <f t="shared" si="9"/>
        <v>81.646626600000005</v>
      </c>
      <c r="K161">
        <v>0.49099999999999999</v>
      </c>
      <c r="L161">
        <f t="shared" si="10"/>
        <v>40.088493660600001</v>
      </c>
    </row>
    <row r="162" spans="1:12" x14ac:dyDescent="0.2">
      <c r="A162" s="4">
        <v>43488</v>
      </c>
      <c r="B162" t="s">
        <v>538</v>
      </c>
      <c r="C162">
        <v>3</v>
      </c>
      <c r="D162">
        <v>6</v>
      </c>
      <c r="E162">
        <v>10</v>
      </c>
      <c r="F162" t="s">
        <v>539</v>
      </c>
      <c r="G162" t="s">
        <v>896</v>
      </c>
      <c r="H162" s="6" t="s">
        <v>1071</v>
      </c>
      <c r="I162">
        <f t="shared" si="11"/>
        <v>180</v>
      </c>
      <c r="J162">
        <f t="shared" si="9"/>
        <v>81.646626600000005</v>
      </c>
      <c r="K162">
        <v>0.49099999999999999</v>
      </c>
      <c r="L162">
        <f t="shared" si="10"/>
        <v>40.088493660600001</v>
      </c>
    </row>
    <row r="163" spans="1:12" x14ac:dyDescent="0.2">
      <c r="A163" s="4">
        <v>43483</v>
      </c>
      <c r="B163" t="s">
        <v>48</v>
      </c>
      <c r="C163" s="28">
        <v>2</v>
      </c>
      <c r="D163" s="6">
        <v>1</v>
      </c>
      <c r="E163">
        <f>30*(2.8/16)</f>
        <v>5.25</v>
      </c>
      <c r="F163" t="s">
        <v>300</v>
      </c>
      <c r="G163" t="s">
        <v>300</v>
      </c>
      <c r="H163" s="6" t="s">
        <v>1071</v>
      </c>
      <c r="I163">
        <f t="shared" si="11"/>
        <v>10.5</v>
      </c>
      <c r="J163">
        <f t="shared" si="9"/>
        <v>4.7627198850000001</v>
      </c>
      <c r="K163">
        <v>0.26100000000000001</v>
      </c>
      <c r="L163">
        <f t="shared" si="10"/>
        <v>1.2430698899850001</v>
      </c>
    </row>
    <row r="164" spans="1:12" x14ac:dyDescent="0.2">
      <c r="A164" s="4">
        <v>43483</v>
      </c>
      <c r="B164" t="s">
        <v>538</v>
      </c>
      <c r="C164">
        <v>1</v>
      </c>
      <c r="D164">
        <v>6</v>
      </c>
      <c r="E164" t="s">
        <v>422</v>
      </c>
      <c r="F164" t="s">
        <v>423</v>
      </c>
      <c r="G164" s="14" t="s">
        <v>971</v>
      </c>
      <c r="H164" s="6" t="s">
        <v>1071</v>
      </c>
      <c r="I164">
        <v>0</v>
      </c>
      <c r="J164">
        <f t="shared" si="9"/>
        <v>0</v>
      </c>
      <c r="K164">
        <v>33.646999999999998</v>
      </c>
      <c r="L164">
        <f t="shared" si="10"/>
        <v>0</v>
      </c>
    </row>
    <row r="165" spans="1:12" x14ac:dyDescent="0.2">
      <c r="A165" s="13">
        <v>43487</v>
      </c>
      <c r="B165" s="6" t="s">
        <v>603</v>
      </c>
      <c r="C165" s="6">
        <v>1</v>
      </c>
      <c r="D165" s="6">
        <v>1</v>
      </c>
      <c r="E165" s="6">
        <v>5</v>
      </c>
      <c r="F165" s="6" t="s">
        <v>604</v>
      </c>
      <c r="G165" s="6" t="s">
        <v>809</v>
      </c>
      <c r="H165" s="6" t="s">
        <v>1071</v>
      </c>
      <c r="I165">
        <f t="shared" ref="I165:I182" si="12">C165*D165*E165</f>
        <v>5</v>
      </c>
      <c r="J165">
        <f t="shared" si="9"/>
        <v>2.2679618500000003</v>
      </c>
      <c r="K165">
        <v>6.2789999999999999</v>
      </c>
      <c r="L165">
        <f t="shared" si="10"/>
        <v>14.240532456150001</v>
      </c>
    </row>
    <row r="166" spans="1:12" x14ac:dyDescent="0.2">
      <c r="A166" s="13">
        <v>43487</v>
      </c>
      <c r="B166" s="6" t="s">
        <v>603</v>
      </c>
      <c r="C166" s="6">
        <v>1</v>
      </c>
      <c r="D166" s="6">
        <v>1</v>
      </c>
      <c r="E166" s="6">
        <v>5</v>
      </c>
      <c r="F166" s="6" t="s">
        <v>605</v>
      </c>
      <c r="G166" s="6" t="s">
        <v>809</v>
      </c>
      <c r="H166" s="6" t="s">
        <v>1071</v>
      </c>
      <c r="I166">
        <f t="shared" si="12"/>
        <v>5</v>
      </c>
      <c r="J166">
        <f t="shared" si="9"/>
        <v>2.2679618500000003</v>
      </c>
      <c r="K166">
        <v>6.2789999999999999</v>
      </c>
      <c r="L166">
        <f t="shared" si="10"/>
        <v>14.240532456150001</v>
      </c>
    </row>
    <row r="167" spans="1:12" x14ac:dyDescent="0.2">
      <c r="A167" s="4">
        <v>43488</v>
      </c>
      <c r="B167" t="s">
        <v>48</v>
      </c>
      <c r="C167" s="28">
        <v>4</v>
      </c>
      <c r="D167" s="6">
        <v>1</v>
      </c>
      <c r="E167">
        <v>10</v>
      </c>
      <c r="F167" t="s">
        <v>344</v>
      </c>
      <c r="G167" t="s">
        <v>794</v>
      </c>
      <c r="H167" s="6" t="s">
        <v>1071</v>
      </c>
      <c r="I167">
        <f t="shared" si="12"/>
        <v>40</v>
      </c>
      <c r="J167">
        <f t="shared" si="9"/>
        <v>18.143694800000002</v>
      </c>
      <c r="K167">
        <v>0.20599999999999999</v>
      </c>
      <c r="L167">
        <f t="shared" si="10"/>
        <v>3.7376011288000002</v>
      </c>
    </row>
    <row r="168" spans="1:12" x14ac:dyDescent="0.2">
      <c r="A168" s="4">
        <v>43483</v>
      </c>
      <c r="B168" t="s">
        <v>538</v>
      </c>
      <c r="C168">
        <v>1</v>
      </c>
      <c r="D168">
        <v>12</v>
      </c>
      <c r="E168">
        <f>25/16</f>
        <v>1.5625</v>
      </c>
      <c r="F168" t="s">
        <v>449</v>
      </c>
      <c r="G168" t="s">
        <v>980</v>
      </c>
      <c r="H168" s="6" t="s">
        <v>1071</v>
      </c>
      <c r="I168">
        <f t="shared" si="12"/>
        <v>18.75</v>
      </c>
      <c r="J168">
        <f t="shared" si="9"/>
        <v>8.5048569375000014</v>
      </c>
      <c r="K168" s="9">
        <v>3.33</v>
      </c>
      <c r="L168">
        <f t="shared" si="10"/>
        <v>28.321173601875007</v>
      </c>
    </row>
    <row r="169" spans="1:12" x14ac:dyDescent="0.2">
      <c r="A169" s="4">
        <v>43483</v>
      </c>
      <c r="B169" t="s">
        <v>538</v>
      </c>
      <c r="C169">
        <v>1</v>
      </c>
      <c r="D169">
        <v>4</v>
      </c>
      <c r="E169">
        <v>8.35</v>
      </c>
      <c r="F169" t="s">
        <v>584</v>
      </c>
      <c r="G169" t="s">
        <v>980</v>
      </c>
      <c r="H169" s="6" t="s">
        <v>1071</v>
      </c>
      <c r="I169">
        <f t="shared" si="12"/>
        <v>33.4</v>
      </c>
      <c r="J169">
        <f t="shared" si="9"/>
        <v>15.149985158</v>
      </c>
      <c r="K169" s="9">
        <v>3.33</v>
      </c>
      <c r="L169">
        <f t="shared" si="10"/>
        <v>50.449450576140002</v>
      </c>
    </row>
    <row r="170" spans="1:12" x14ac:dyDescent="0.2">
      <c r="A170" s="4">
        <v>43483</v>
      </c>
      <c r="B170" t="s">
        <v>538</v>
      </c>
      <c r="C170">
        <v>1</v>
      </c>
      <c r="D170">
        <v>12</v>
      </c>
      <c r="E170">
        <f>17/16</f>
        <v>1.0625</v>
      </c>
      <c r="F170" t="s">
        <v>460</v>
      </c>
      <c r="G170" t="s">
        <v>980</v>
      </c>
      <c r="H170" s="6" t="s">
        <v>1071</v>
      </c>
      <c r="I170">
        <f t="shared" si="12"/>
        <v>12.75</v>
      </c>
      <c r="J170">
        <f t="shared" si="9"/>
        <v>5.7833027175000007</v>
      </c>
      <c r="K170" s="9">
        <v>3.33</v>
      </c>
      <c r="L170">
        <f t="shared" si="10"/>
        <v>19.258398049275002</v>
      </c>
    </row>
    <row r="171" spans="1:12" x14ac:dyDescent="0.2">
      <c r="A171" s="4">
        <v>43483</v>
      </c>
      <c r="B171" t="s">
        <v>538</v>
      </c>
      <c r="C171">
        <v>1</v>
      </c>
      <c r="D171">
        <v>6</v>
      </c>
      <c r="E171">
        <f>7+(2/16)</f>
        <v>7.125</v>
      </c>
      <c r="F171" t="s">
        <v>1007</v>
      </c>
      <c r="G171" t="s">
        <v>980</v>
      </c>
      <c r="H171" s="6" t="s">
        <v>1071</v>
      </c>
      <c r="I171">
        <f t="shared" si="12"/>
        <v>42.75</v>
      </c>
      <c r="J171">
        <f t="shared" si="9"/>
        <v>19.391073817500001</v>
      </c>
      <c r="K171" s="9">
        <v>3.33</v>
      </c>
      <c r="L171">
        <f t="shared" si="10"/>
        <v>64.572275812275009</v>
      </c>
    </row>
    <row r="172" spans="1:12" x14ac:dyDescent="0.2">
      <c r="A172" s="4">
        <v>43484</v>
      </c>
      <c r="B172" t="s">
        <v>538</v>
      </c>
      <c r="C172">
        <v>1</v>
      </c>
      <c r="D172">
        <v>24</v>
      </c>
      <c r="E172">
        <f>5/16</f>
        <v>0.3125</v>
      </c>
      <c r="F172" t="s">
        <v>585</v>
      </c>
      <c r="G172" t="s">
        <v>980</v>
      </c>
      <c r="H172" s="6" t="s">
        <v>1071</v>
      </c>
      <c r="I172">
        <f t="shared" si="12"/>
        <v>7.5</v>
      </c>
      <c r="J172">
        <f t="shared" si="9"/>
        <v>3.4019427750000002</v>
      </c>
      <c r="K172" s="9">
        <v>3.33</v>
      </c>
      <c r="L172">
        <f t="shared" si="10"/>
        <v>11.32846944075</v>
      </c>
    </row>
    <row r="173" spans="1:12" x14ac:dyDescent="0.2">
      <c r="A173" s="4">
        <v>43484</v>
      </c>
      <c r="B173" t="s">
        <v>538</v>
      </c>
      <c r="C173">
        <v>1</v>
      </c>
      <c r="D173">
        <v>12</v>
      </c>
      <c r="E173">
        <f>25/16</f>
        <v>1.5625</v>
      </c>
      <c r="F173" t="s">
        <v>449</v>
      </c>
      <c r="G173" t="s">
        <v>980</v>
      </c>
      <c r="H173" s="6" t="s">
        <v>1071</v>
      </c>
      <c r="I173">
        <f t="shared" si="12"/>
        <v>18.75</v>
      </c>
      <c r="J173">
        <f t="shared" si="9"/>
        <v>8.5048569375000014</v>
      </c>
      <c r="K173" s="9">
        <v>3.33</v>
      </c>
      <c r="L173">
        <f t="shared" si="10"/>
        <v>28.321173601875007</v>
      </c>
    </row>
    <row r="174" spans="1:12" x14ac:dyDescent="0.2">
      <c r="A174" s="4">
        <v>43486</v>
      </c>
      <c r="B174" t="s">
        <v>538</v>
      </c>
      <c r="C174">
        <v>1</v>
      </c>
      <c r="D174">
        <v>6</v>
      </c>
      <c r="E174">
        <v>4.1887800000000004</v>
      </c>
      <c r="F174" t="s">
        <v>681</v>
      </c>
      <c r="G174" t="s">
        <v>980</v>
      </c>
      <c r="H174" s="6" t="s">
        <v>1071</v>
      </c>
      <c r="I174">
        <f t="shared" si="12"/>
        <v>25.132680000000001</v>
      </c>
      <c r="J174">
        <f t="shared" si="9"/>
        <v>11.399991885651602</v>
      </c>
      <c r="K174" s="9">
        <v>3.33</v>
      </c>
      <c r="L174">
        <f t="shared" si="10"/>
        <v>37.961972979219837</v>
      </c>
    </row>
    <row r="175" spans="1:12" x14ac:dyDescent="0.2">
      <c r="A175" s="4">
        <v>43486</v>
      </c>
      <c r="B175" t="s">
        <v>538</v>
      </c>
      <c r="C175">
        <v>2</v>
      </c>
      <c r="D175">
        <v>6</v>
      </c>
      <c r="E175">
        <f>7+(2/16)</f>
        <v>7.125</v>
      </c>
      <c r="F175" t="s">
        <v>1007</v>
      </c>
      <c r="G175" t="s">
        <v>980</v>
      </c>
      <c r="H175" s="6" t="s">
        <v>1071</v>
      </c>
      <c r="I175">
        <f t="shared" si="12"/>
        <v>85.5</v>
      </c>
      <c r="J175">
        <f t="shared" si="9"/>
        <v>38.782147635000001</v>
      </c>
      <c r="K175" s="9">
        <v>3.33</v>
      </c>
      <c r="L175">
        <f t="shared" si="10"/>
        <v>129.14455162455002</v>
      </c>
    </row>
    <row r="176" spans="1:12" x14ac:dyDescent="0.2">
      <c r="A176" s="4">
        <v>43486</v>
      </c>
      <c r="B176" t="s">
        <v>538</v>
      </c>
      <c r="C176">
        <v>1</v>
      </c>
      <c r="D176">
        <v>24</v>
      </c>
      <c r="E176">
        <f>6/16</f>
        <v>0.375</v>
      </c>
      <c r="F176" t="s">
        <v>594</v>
      </c>
      <c r="G176" t="s">
        <v>980</v>
      </c>
      <c r="H176" s="6" t="s">
        <v>1071</v>
      </c>
      <c r="I176">
        <f t="shared" si="12"/>
        <v>9</v>
      </c>
      <c r="J176">
        <f t="shared" si="9"/>
        <v>4.0823313299999997</v>
      </c>
      <c r="K176" s="9">
        <v>3.33</v>
      </c>
      <c r="L176">
        <f t="shared" si="10"/>
        <v>13.594163328899999</v>
      </c>
    </row>
    <row r="177" spans="1:12" x14ac:dyDescent="0.2">
      <c r="A177" s="4">
        <v>43488</v>
      </c>
      <c r="B177" t="s">
        <v>538</v>
      </c>
      <c r="C177">
        <v>2</v>
      </c>
      <c r="D177">
        <v>6</v>
      </c>
      <c r="E177">
        <f>7+(2/16)</f>
        <v>7.125</v>
      </c>
      <c r="F177" t="s">
        <v>1007</v>
      </c>
      <c r="G177" t="s">
        <v>980</v>
      </c>
      <c r="H177" s="6" t="s">
        <v>1071</v>
      </c>
      <c r="I177">
        <f t="shared" si="12"/>
        <v>85.5</v>
      </c>
      <c r="J177">
        <f t="shared" si="9"/>
        <v>38.782147635000001</v>
      </c>
      <c r="K177" s="9">
        <v>3.33</v>
      </c>
      <c r="L177">
        <f t="shared" si="10"/>
        <v>129.14455162455002</v>
      </c>
    </row>
    <row r="178" spans="1:12" x14ac:dyDescent="0.2">
      <c r="A178" s="4">
        <v>43488</v>
      </c>
      <c r="B178" t="s">
        <v>538</v>
      </c>
      <c r="C178">
        <v>2</v>
      </c>
      <c r="D178">
        <v>4</v>
      </c>
      <c r="E178">
        <v>7.79</v>
      </c>
      <c r="F178" t="s">
        <v>543</v>
      </c>
      <c r="G178" t="s">
        <v>1089</v>
      </c>
      <c r="H178" s="6" t="s">
        <v>1073</v>
      </c>
      <c r="I178">
        <f t="shared" si="12"/>
        <v>62.32</v>
      </c>
      <c r="J178">
        <f t="shared" si="9"/>
        <v>28.2678764984</v>
      </c>
      <c r="K178" s="9">
        <v>3.33</v>
      </c>
      <c r="L178">
        <f t="shared" si="10"/>
        <v>94.132028739671995</v>
      </c>
    </row>
    <row r="179" spans="1:12" x14ac:dyDescent="0.2">
      <c r="A179" s="4">
        <v>43483</v>
      </c>
      <c r="B179" t="s">
        <v>538</v>
      </c>
      <c r="C179">
        <v>2</v>
      </c>
      <c r="D179">
        <v>4</v>
      </c>
      <c r="E179">
        <v>7.79</v>
      </c>
      <c r="F179" t="s">
        <v>543</v>
      </c>
      <c r="G179" t="s">
        <v>1089</v>
      </c>
      <c r="H179" s="6" t="s">
        <v>1073</v>
      </c>
      <c r="I179">
        <f t="shared" si="12"/>
        <v>62.32</v>
      </c>
      <c r="J179">
        <f t="shared" si="9"/>
        <v>28.2678764984</v>
      </c>
      <c r="K179">
        <v>3.2</v>
      </c>
      <c r="L179">
        <f t="shared" si="10"/>
        <v>90.457204794879999</v>
      </c>
    </row>
    <row r="180" spans="1:12" x14ac:dyDescent="0.2">
      <c r="A180" s="4">
        <v>43486</v>
      </c>
      <c r="B180" t="s">
        <v>538</v>
      </c>
      <c r="C180">
        <v>1</v>
      </c>
      <c r="D180">
        <v>4</v>
      </c>
      <c r="E180">
        <v>2.5</v>
      </c>
      <c r="F180" t="s">
        <v>683</v>
      </c>
      <c r="G180" t="s">
        <v>988</v>
      </c>
      <c r="H180" s="6" t="s">
        <v>1071</v>
      </c>
      <c r="I180">
        <f t="shared" si="12"/>
        <v>10</v>
      </c>
      <c r="J180">
        <f t="shared" si="9"/>
        <v>4.5359237000000006</v>
      </c>
      <c r="K180" s="9">
        <v>2.21</v>
      </c>
      <c r="L180">
        <f t="shared" si="10"/>
        <v>10.024391377000001</v>
      </c>
    </row>
    <row r="181" spans="1:12" x14ac:dyDescent="0.2">
      <c r="A181" s="4">
        <v>43483</v>
      </c>
      <c r="B181" t="s">
        <v>530</v>
      </c>
      <c r="C181">
        <v>7</v>
      </c>
      <c r="D181">
        <v>240</v>
      </c>
      <c r="E181">
        <f>0.67/16</f>
        <v>4.1875000000000002E-2</v>
      </c>
      <c r="F181" t="s">
        <v>649</v>
      </c>
      <c r="G181" s="6" t="s">
        <v>1057</v>
      </c>
      <c r="H181" s="6" t="s">
        <v>1072</v>
      </c>
      <c r="I181">
        <f t="shared" si="12"/>
        <v>70.350000000000009</v>
      </c>
      <c r="J181">
        <f t="shared" si="9"/>
        <v>31.910223229500009</v>
      </c>
      <c r="K181">
        <v>2.5710000000000002</v>
      </c>
      <c r="L181">
        <f t="shared" si="10"/>
        <v>82.041183923044528</v>
      </c>
    </row>
    <row r="182" spans="1:12" x14ac:dyDescent="0.2">
      <c r="A182" s="4">
        <v>43488</v>
      </c>
      <c r="B182" t="s">
        <v>538</v>
      </c>
      <c r="C182">
        <v>1</v>
      </c>
      <c r="D182">
        <v>24</v>
      </c>
      <c r="E182">
        <v>1</v>
      </c>
      <c r="F182" t="s">
        <v>433</v>
      </c>
      <c r="G182" t="s">
        <v>900</v>
      </c>
      <c r="H182" s="6" t="s">
        <v>1071</v>
      </c>
      <c r="I182">
        <f t="shared" si="12"/>
        <v>24</v>
      </c>
      <c r="J182">
        <f t="shared" si="9"/>
        <v>10.886216880000001</v>
      </c>
      <c r="K182">
        <v>0.76</v>
      </c>
      <c r="L182">
        <f t="shared" si="10"/>
        <v>8.2735248288000012</v>
      </c>
    </row>
    <row r="183" spans="1:12" x14ac:dyDescent="0.2">
      <c r="A183" s="4">
        <v>43483</v>
      </c>
      <c r="B183" t="s">
        <v>48</v>
      </c>
      <c r="C183" s="28">
        <v>3</v>
      </c>
      <c r="D183" s="6">
        <v>1</v>
      </c>
      <c r="E183" t="s">
        <v>499</v>
      </c>
      <c r="F183" s="14" t="s">
        <v>500</v>
      </c>
      <c r="G183" s="14" t="s">
        <v>964</v>
      </c>
      <c r="H183" s="6" t="s">
        <v>1071</v>
      </c>
      <c r="I183">
        <v>0</v>
      </c>
      <c r="J183">
        <f t="shared" si="9"/>
        <v>0</v>
      </c>
      <c r="K183">
        <v>0.75700000000000001</v>
      </c>
      <c r="L183">
        <f t="shared" si="10"/>
        <v>0</v>
      </c>
    </row>
    <row r="184" spans="1:12" x14ac:dyDescent="0.2">
      <c r="A184" s="4">
        <v>43486</v>
      </c>
      <c r="B184" t="s">
        <v>538</v>
      </c>
      <c r="C184">
        <v>1</v>
      </c>
      <c r="D184">
        <v>6</v>
      </c>
      <c r="E184">
        <f>31/16</f>
        <v>1.9375</v>
      </c>
      <c r="F184" t="s">
        <v>680</v>
      </c>
      <c r="G184" s="9" t="s">
        <v>986</v>
      </c>
      <c r="H184" s="6" t="s">
        <v>1071</v>
      </c>
      <c r="I184">
        <f>C184*D184*E184</f>
        <v>11.625</v>
      </c>
      <c r="J184">
        <f t="shared" si="9"/>
        <v>5.2730113012500004</v>
      </c>
      <c r="K184" s="6">
        <v>2.5299999999999998</v>
      </c>
      <c r="L184">
        <f t="shared" si="10"/>
        <v>13.340718592162499</v>
      </c>
    </row>
    <row r="185" spans="1:12" x14ac:dyDescent="0.2">
      <c r="A185" s="4">
        <v>43488</v>
      </c>
      <c r="B185" t="s">
        <v>538</v>
      </c>
      <c r="C185">
        <v>1</v>
      </c>
      <c r="D185">
        <v>150</v>
      </c>
      <c r="E185">
        <f>0.5/16</f>
        <v>3.125E-2</v>
      </c>
      <c r="F185" t="s">
        <v>442</v>
      </c>
      <c r="G185" t="s">
        <v>993</v>
      </c>
      <c r="H185" s="6" t="s">
        <v>1071</v>
      </c>
      <c r="I185">
        <f>C185*D185*E185</f>
        <v>4.6875</v>
      </c>
      <c r="J185">
        <f t="shared" si="9"/>
        <v>2.1262142343750003</v>
      </c>
      <c r="K185" s="6">
        <v>2.5299999999999998</v>
      </c>
      <c r="L185">
        <f t="shared" si="10"/>
        <v>5.3793220129687507</v>
      </c>
    </row>
    <row r="186" spans="1:12" x14ac:dyDescent="0.2">
      <c r="A186" s="4">
        <v>43488</v>
      </c>
      <c r="B186" t="s">
        <v>538</v>
      </c>
      <c r="C186">
        <v>1</v>
      </c>
      <c r="D186" s="14">
        <v>500</v>
      </c>
      <c r="E186" s="14" t="s">
        <v>1088</v>
      </c>
      <c r="F186" s="14" t="s">
        <v>430</v>
      </c>
      <c r="G186" s="14" t="s">
        <v>990</v>
      </c>
      <c r="H186" s="6" t="s">
        <v>1071</v>
      </c>
      <c r="I186">
        <v>0</v>
      </c>
      <c r="J186">
        <f t="shared" si="9"/>
        <v>0</v>
      </c>
      <c r="K186" s="6">
        <v>2.5299999999999998</v>
      </c>
      <c r="L186">
        <f t="shared" si="10"/>
        <v>0</v>
      </c>
    </row>
    <row r="187" spans="1:12" x14ac:dyDescent="0.2">
      <c r="A187" s="4">
        <v>43489</v>
      </c>
      <c r="B187" t="s">
        <v>48</v>
      </c>
      <c r="C187" s="28">
        <v>3</v>
      </c>
      <c r="D187" s="6">
        <v>1</v>
      </c>
      <c r="E187">
        <f>24*(12/16)</f>
        <v>18</v>
      </c>
      <c r="F187" t="s">
        <v>634</v>
      </c>
      <c r="G187" t="s">
        <v>924</v>
      </c>
      <c r="H187" s="6" t="s">
        <v>1071</v>
      </c>
      <c r="I187">
        <f t="shared" ref="I187:I250" si="13">C187*D187*E187</f>
        <v>54</v>
      </c>
      <c r="J187">
        <f t="shared" si="9"/>
        <v>24.493987980000004</v>
      </c>
      <c r="K187" s="6">
        <v>1.4179999999999999</v>
      </c>
      <c r="L187">
        <f t="shared" si="10"/>
        <v>34.732474955640001</v>
      </c>
    </row>
    <row r="188" spans="1:12" x14ac:dyDescent="0.2">
      <c r="A188" s="4">
        <v>43483</v>
      </c>
      <c r="B188" t="s">
        <v>538</v>
      </c>
      <c r="C188">
        <v>1</v>
      </c>
      <c r="D188">
        <v>1</v>
      </c>
      <c r="E188">
        <v>10</v>
      </c>
      <c r="F188" t="s">
        <v>454</v>
      </c>
      <c r="G188" t="s">
        <v>1053</v>
      </c>
      <c r="H188" s="6" t="s">
        <v>1071</v>
      </c>
      <c r="I188">
        <f t="shared" si="13"/>
        <v>10</v>
      </c>
      <c r="J188">
        <f t="shared" si="9"/>
        <v>4.5359237000000006</v>
      </c>
      <c r="K188">
        <v>3.8250000000000002</v>
      </c>
      <c r="L188">
        <f t="shared" si="10"/>
        <v>17.349908152500003</v>
      </c>
    </row>
    <row r="189" spans="1:12" x14ac:dyDescent="0.2">
      <c r="A189" s="4">
        <v>43483</v>
      </c>
      <c r="B189" t="s">
        <v>517</v>
      </c>
      <c r="C189">
        <v>1</v>
      </c>
      <c r="D189">
        <v>1</v>
      </c>
      <c r="E189">
        <v>2</v>
      </c>
      <c r="F189" t="s">
        <v>380</v>
      </c>
      <c r="G189" t="s">
        <v>841</v>
      </c>
      <c r="H189" s="6" t="s">
        <v>1073</v>
      </c>
      <c r="I189">
        <f t="shared" si="13"/>
        <v>2</v>
      </c>
      <c r="J189">
        <f t="shared" si="9"/>
        <v>0.90718474000000004</v>
      </c>
      <c r="K189">
        <v>5.32</v>
      </c>
      <c r="L189">
        <f t="shared" si="10"/>
        <v>4.8262228168000005</v>
      </c>
    </row>
    <row r="190" spans="1:12" x14ac:dyDescent="0.2">
      <c r="A190" s="4">
        <v>43483</v>
      </c>
      <c r="B190" t="s">
        <v>517</v>
      </c>
      <c r="C190">
        <v>2</v>
      </c>
      <c r="D190">
        <v>12</v>
      </c>
      <c r="E190">
        <f>2/16</f>
        <v>0.125</v>
      </c>
      <c r="F190" t="s">
        <v>668</v>
      </c>
      <c r="G190" t="s">
        <v>841</v>
      </c>
      <c r="H190" s="6" t="s">
        <v>1073</v>
      </c>
      <c r="I190">
        <f t="shared" si="13"/>
        <v>3</v>
      </c>
      <c r="J190">
        <f t="shared" si="9"/>
        <v>1.3607771100000001</v>
      </c>
      <c r="K190">
        <v>5.32</v>
      </c>
      <c r="L190">
        <f t="shared" si="10"/>
        <v>7.2393342252000012</v>
      </c>
    </row>
    <row r="191" spans="1:12" x14ac:dyDescent="0.2">
      <c r="A191" s="4">
        <v>43486</v>
      </c>
      <c r="B191" t="s">
        <v>531</v>
      </c>
      <c r="C191">
        <v>5</v>
      </c>
      <c r="D191">
        <v>4</v>
      </c>
      <c r="E191">
        <f>12*1.125</f>
        <v>13.5</v>
      </c>
      <c r="F191" t="s">
        <v>1019</v>
      </c>
      <c r="G191" t="s">
        <v>932</v>
      </c>
      <c r="H191" s="6" t="s">
        <v>1071</v>
      </c>
      <c r="I191">
        <f t="shared" si="13"/>
        <v>270</v>
      </c>
      <c r="J191">
        <f t="shared" si="9"/>
        <v>122.4699399</v>
      </c>
      <c r="K191">
        <v>1.28</v>
      </c>
      <c r="L191">
        <f t="shared" si="10"/>
        <v>156.76152307200002</v>
      </c>
    </row>
    <row r="192" spans="1:12" x14ac:dyDescent="0.2">
      <c r="A192" s="4">
        <v>43486</v>
      </c>
      <c r="B192" t="s">
        <v>48</v>
      </c>
      <c r="C192" s="28">
        <v>1</v>
      </c>
      <c r="D192" s="6">
        <v>1</v>
      </c>
      <c r="E192">
        <f t="shared" ref="E192:E197" si="14">10/9*50</f>
        <v>55.555555555555557</v>
      </c>
      <c r="F192" t="s">
        <v>620</v>
      </c>
      <c r="G192" t="s">
        <v>620</v>
      </c>
      <c r="H192" s="6" t="s">
        <v>1071</v>
      </c>
      <c r="I192">
        <f t="shared" si="13"/>
        <v>55.555555555555557</v>
      </c>
      <c r="J192">
        <f t="shared" si="9"/>
        <v>25.199576111111114</v>
      </c>
      <c r="K192" s="6">
        <v>0.40899999999999997</v>
      </c>
      <c r="L192">
        <f t="shared" si="10"/>
        <v>10.306626629444445</v>
      </c>
    </row>
    <row r="193" spans="1:12" x14ac:dyDescent="0.2">
      <c r="A193" s="4">
        <v>43487</v>
      </c>
      <c r="B193" t="s">
        <v>48</v>
      </c>
      <c r="C193" s="28">
        <v>1</v>
      </c>
      <c r="D193" s="6">
        <v>1</v>
      </c>
      <c r="E193">
        <f t="shared" si="14"/>
        <v>55.555555555555557</v>
      </c>
      <c r="F193" t="s">
        <v>620</v>
      </c>
      <c r="G193" t="s">
        <v>620</v>
      </c>
      <c r="H193" s="6" t="s">
        <v>1071</v>
      </c>
      <c r="I193">
        <f t="shared" si="13"/>
        <v>55.555555555555557</v>
      </c>
      <c r="J193">
        <f t="shared" si="9"/>
        <v>25.199576111111114</v>
      </c>
      <c r="K193" s="6">
        <v>0.40899999999999997</v>
      </c>
      <c r="L193">
        <f t="shared" si="10"/>
        <v>10.306626629444445</v>
      </c>
    </row>
    <row r="194" spans="1:12" x14ac:dyDescent="0.2">
      <c r="A194" s="4">
        <v>43489</v>
      </c>
      <c r="B194" t="s">
        <v>48</v>
      </c>
      <c r="C194" s="28">
        <v>1</v>
      </c>
      <c r="D194" s="6">
        <v>1</v>
      </c>
      <c r="E194">
        <f t="shared" si="14"/>
        <v>55.555555555555557</v>
      </c>
      <c r="F194" t="s">
        <v>620</v>
      </c>
      <c r="G194" t="s">
        <v>620</v>
      </c>
      <c r="H194" s="6" t="s">
        <v>1071</v>
      </c>
      <c r="I194">
        <f t="shared" si="13"/>
        <v>55.555555555555557</v>
      </c>
      <c r="J194">
        <f t="shared" si="9"/>
        <v>25.199576111111114</v>
      </c>
      <c r="K194">
        <v>0.40899999999999997</v>
      </c>
      <c r="L194">
        <f t="shared" si="10"/>
        <v>10.306626629444445</v>
      </c>
    </row>
    <row r="195" spans="1:12" x14ac:dyDescent="0.2">
      <c r="A195" s="4">
        <v>43488</v>
      </c>
      <c r="B195" t="s">
        <v>48</v>
      </c>
      <c r="C195" s="28">
        <v>1</v>
      </c>
      <c r="D195" s="6">
        <v>1</v>
      </c>
      <c r="E195">
        <f t="shared" si="14"/>
        <v>55.555555555555557</v>
      </c>
      <c r="F195" t="s">
        <v>620</v>
      </c>
      <c r="G195" t="s">
        <v>620</v>
      </c>
      <c r="H195" s="6" t="s">
        <v>1071</v>
      </c>
      <c r="I195">
        <f t="shared" si="13"/>
        <v>55.555555555555557</v>
      </c>
      <c r="J195">
        <f t="shared" ref="J195:J258" si="15">CONVERT(I195,"lbm","kg")</f>
        <v>25.199576111111114</v>
      </c>
      <c r="K195">
        <v>0.40899999999999997</v>
      </c>
      <c r="L195">
        <f t="shared" ref="L195:L258" si="16">K195*J195</f>
        <v>10.306626629444445</v>
      </c>
    </row>
    <row r="196" spans="1:12" x14ac:dyDescent="0.2">
      <c r="A196" s="4">
        <v>43484</v>
      </c>
      <c r="B196" t="s">
        <v>48</v>
      </c>
      <c r="C196" s="28">
        <v>1</v>
      </c>
      <c r="D196" s="6">
        <v>1</v>
      </c>
      <c r="E196">
        <f t="shared" si="14"/>
        <v>55.555555555555557</v>
      </c>
      <c r="F196" t="s">
        <v>620</v>
      </c>
      <c r="G196" t="s">
        <v>620</v>
      </c>
      <c r="H196" s="6" t="s">
        <v>1071</v>
      </c>
      <c r="I196">
        <f t="shared" si="13"/>
        <v>55.555555555555557</v>
      </c>
      <c r="J196">
        <f t="shared" si="15"/>
        <v>25.199576111111114</v>
      </c>
      <c r="K196">
        <v>0.40899999999999997</v>
      </c>
      <c r="L196">
        <f t="shared" si="16"/>
        <v>10.306626629444445</v>
      </c>
    </row>
    <row r="197" spans="1:12" x14ac:dyDescent="0.2">
      <c r="A197" s="4">
        <v>43483</v>
      </c>
      <c r="B197" t="s">
        <v>48</v>
      </c>
      <c r="C197" s="28">
        <v>2</v>
      </c>
      <c r="D197" s="6">
        <v>1</v>
      </c>
      <c r="E197">
        <f t="shared" si="14"/>
        <v>55.555555555555557</v>
      </c>
      <c r="F197" t="s">
        <v>620</v>
      </c>
      <c r="G197" t="s">
        <v>620</v>
      </c>
      <c r="H197" s="6" t="s">
        <v>1071</v>
      </c>
      <c r="I197">
        <f t="shared" si="13"/>
        <v>111.11111111111111</v>
      </c>
      <c r="J197">
        <f t="shared" si="15"/>
        <v>50.399152222222227</v>
      </c>
      <c r="K197">
        <v>0.40899999999999997</v>
      </c>
      <c r="L197">
        <f t="shared" si="16"/>
        <v>20.613253258888889</v>
      </c>
    </row>
    <row r="198" spans="1:12" x14ac:dyDescent="0.2">
      <c r="A198" s="4">
        <v>43483</v>
      </c>
      <c r="B198" t="s">
        <v>531</v>
      </c>
      <c r="C198">
        <v>3</v>
      </c>
      <c r="D198">
        <v>168</v>
      </c>
      <c r="E198">
        <f>3.17/16</f>
        <v>0.198125</v>
      </c>
      <c r="F198" t="s">
        <v>654</v>
      </c>
      <c r="G198" t="s">
        <v>970</v>
      </c>
      <c r="H198" s="6" t="s">
        <v>1071</v>
      </c>
      <c r="I198">
        <f t="shared" si="13"/>
        <v>99.855000000000004</v>
      </c>
      <c r="J198">
        <f t="shared" si="15"/>
        <v>45.293466106350003</v>
      </c>
      <c r="K198">
        <v>2.2999999999999998</v>
      </c>
      <c r="L198">
        <f t="shared" si="16"/>
        <v>104.174972044605</v>
      </c>
    </row>
    <row r="199" spans="1:12" x14ac:dyDescent="0.2">
      <c r="A199" s="4">
        <v>43488</v>
      </c>
      <c r="B199" t="s">
        <v>531</v>
      </c>
      <c r="C199">
        <v>1</v>
      </c>
      <c r="D199">
        <v>210</v>
      </c>
      <c r="E199">
        <f>1.2/16</f>
        <v>7.4999999999999997E-2</v>
      </c>
      <c r="F199" t="s">
        <v>409</v>
      </c>
      <c r="G199" t="s">
        <v>970</v>
      </c>
      <c r="H199" s="6" t="s">
        <v>1071</v>
      </c>
      <c r="I199">
        <f t="shared" si="13"/>
        <v>15.75</v>
      </c>
      <c r="J199">
        <f t="shared" si="15"/>
        <v>7.1440798275000006</v>
      </c>
      <c r="K199">
        <v>2.2999999999999998</v>
      </c>
      <c r="L199">
        <f t="shared" si="16"/>
        <v>16.431383603250001</v>
      </c>
    </row>
    <row r="200" spans="1:12" x14ac:dyDescent="0.2">
      <c r="A200" s="4">
        <v>43483</v>
      </c>
      <c r="B200" t="s">
        <v>531</v>
      </c>
      <c r="C200">
        <v>1</v>
      </c>
      <c r="D200">
        <v>24</v>
      </c>
      <c r="E200">
        <v>1</v>
      </c>
      <c r="F200" t="s">
        <v>653</v>
      </c>
      <c r="G200" t="s">
        <v>969</v>
      </c>
      <c r="H200" s="6" t="s">
        <v>1071</v>
      </c>
      <c r="I200">
        <f t="shared" si="13"/>
        <v>24</v>
      </c>
      <c r="J200">
        <f t="shared" si="15"/>
        <v>10.886216880000001</v>
      </c>
      <c r="K200">
        <v>1.28</v>
      </c>
      <c r="L200">
        <f t="shared" si="16"/>
        <v>13.934357606400001</v>
      </c>
    </row>
    <row r="201" spans="1:12" x14ac:dyDescent="0.2">
      <c r="A201" s="4">
        <v>43483</v>
      </c>
      <c r="B201" t="s">
        <v>517</v>
      </c>
      <c r="C201">
        <v>22</v>
      </c>
      <c r="D201">
        <v>2</v>
      </c>
      <c r="E201">
        <v>20</v>
      </c>
      <c r="F201" t="s">
        <v>381</v>
      </c>
      <c r="G201" t="s">
        <v>843</v>
      </c>
      <c r="H201" s="6" t="s">
        <v>1073</v>
      </c>
      <c r="I201">
        <f t="shared" si="13"/>
        <v>880</v>
      </c>
      <c r="J201">
        <f t="shared" si="15"/>
        <v>399.16128559999999</v>
      </c>
      <c r="K201">
        <v>3.754</v>
      </c>
      <c r="L201">
        <f t="shared" si="16"/>
        <v>1498.4514661424</v>
      </c>
    </row>
    <row r="202" spans="1:12" x14ac:dyDescent="0.2">
      <c r="A202" s="4">
        <v>43483</v>
      </c>
      <c r="B202" t="s">
        <v>517</v>
      </c>
      <c r="C202">
        <v>1</v>
      </c>
      <c r="D202">
        <v>15</v>
      </c>
      <c r="E202">
        <v>2</v>
      </c>
      <c r="F202" t="s">
        <v>385</v>
      </c>
      <c r="G202" t="s">
        <v>843</v>
      </c>
      <c r="H202" s="6" t="s">
        <v>1073</v>
      </c>
      <c r="I202">
        <f t="shared" si="13"/>
        <v>30</v>
      </c>
      <c r="J202">
        <f t="shared" si="15"/>
        <v>13.607771100000001</v>
      </c>
      <c r="K202">
        <v>3.754</v>
      </c>
      <c r="L202">
        <f t="shared" si="16"/>
        <v>51.083572709400002</v>
      </c>
    </row>
    <row r="203" spans="1:12" x14ac:dyDescent="0.2">
      <c r="A203" s="4">
        <v>43483</v>
      </c>
      <c r="B203" t="s">
        <v>517</v>
      </c>
      <c r="C203">
        <v>2</v>
      </c>
      <c r="D203">
        <v>15</v>
      </c>
      <c r="E203">
        <f>24/16</f>
        <v>1.5</v>
      </c>
      <c r="F203" t="s">
        <v>386</v>
      </c>
      <c r="G203" t="s">
        <v>843</v>
      </c>
      <c r="H203" s="6" t="s">
        <v>1073</v>
      </c>
      <c r="I203">
        <f t="shared" si="13"/>
        <v>45</v>
      </c>
      <c r="J203">
        <f t="shared" si="15"/>
        <v>20.411656650000001</v>
      </c>
      <c r="K203">
        <v>3.754</v>
      </c>
      <c r="L203">
        <f t="shared" si="16"/>
        <v>76.62535906410001</v>
      </c>
    </row>
    <row r="204" spans="1:12" x14ac:dyDescent="0.2">
      <c r="A204" s="4">
        <v>43486</v>
      </c>
      <c r="B204" t="s">
        <v>517</v>
      </c>
      <c r="C204">
        <v>5</v>
      </c>
      <c r="D204">
        <v>2</v>
      </c>
      <c r="E204">
        <v>20</v>
      </c>
      <c r="F204" t="s">
        <v>381</v>
      </c>
      <c r="G204" t="s">
        <v>843</v>
      </c>
      <c r="H204" s="6" t="s">
        <v>1073</v>
      </c>
      <c r="I204">
        <f t="shared" si="13"/>
        <v>200</v>
      </c>
      <c r="J204">
        <f t="shared" si="15"/>
        <v>90.718474000000001</v>
      </c>
      <c r="K204">
        <v>3.754</v>
      </c>
      <c r="L204">
        <f t="shared" si="16"/>
        <v>340.55715139599999</v>
      </c>
    </row>
    <row r="205" spans="1:12" x14ac:dyDescent="0.2">
      <c r="A205" s="4">
        <v>43486</v>
      </c>
      <c r="B205" t="s">
        <v>517</v>
      </c>
      <c r="C205">
        <v>2</v>
      </c>
      <c r="D205">
        <v>15</v>
      </c>
      <c r="E205">
        <v>2</v>
      </c>
      <c r="F205" t="s">
        <v>385</v>
      </c>
      <c r="G205" t="s">
        <v>843</v>
      </c>
      <c r="H205" s="6" t="s">
        <v>1073</v>
      </c>
      <c r="I205">
        <f t="shared" si="13"/>
        <v>60</v>
      </c>
      <c r="J205">
        <f t="shared" si="15"/>
        <v>27.215542200000002</v>
      </c>
      <c r="K205">
        <v>3.754</v>
      </c>
      <c r="L205">
        <f t="shared" si="16"/>
        <v>102.1671454188</v>
      </c>
    </row>
    <row r="206" spans="1:12" x14ac:dyDescent="0.2">
      <c r="A206" s="4">
        <v>43486</v>
      </c>
      <c r="B206" t="s">
        <v>517</v>
      </c>
      <c r="C206">
        <v>3</v>
      </c>
      <c r="D206">
        <v>15</v>
      </c>
      <c r="E206">
        <f>24/16</f>
        <v>1.5</v>
      </c>
      <c r="F206" t="s">
        <v>386</v>
      </c>
      <c r="G206" t="s">
        <v>843</v>
      </c>
      <c r="H206" s="6" t="s">
        <v>1073</v>
      </c>
      <c r="I206">
        <f t="shared" si="13"/>
        <v>67.5</v>
      </c>
      <c r="J206">
        <f t="shared" si="15"/>
        <v>30.617484975</v>
      </c>
      <c r="K206">
        <v>3.754</v>
      </c>
      <c r="L206">
        <f t="shared" si="16"/>
        <v>114.93803859614999</v>
      </c>
    </row>
    <row r="207" spans="1:12" x14ac:dyDescent="0.2">
      <c r="A207" s="4">
        <v>43488</v>
      </c>
      <c r="B207" t="s">
        <v>517</v>
      </c>
      <c r="C207">
        <v>5</v>
      </c>
      <c r="D207">
        <v>2</v>
      </c>
      <c r="E207">
        <v>20</v>
      </c>
      <c r="F207" t="s">
        <v>381</v>
      </c>
      <c r="G207" t="s">
        <v>843</v>
      </c>
      <c r="H207" s="6" t="s">
        <v>1073</v>
      </c>
      <c r="I207">
        <f t="shared" si="13"/>
        <v>200</v>
      </c>
      <c r="J207">
        <f t="shared" si="15"/>
        <v>90.718474000000001</v>
      </c>
      <c r="K207">
        <v>3.754</v>
      </c>
      <c r="L207">
        <f t="shared" si="16"/>
        <v>340.55715139599999</v>
      </c>
    </row>
    <row r="208" spans="1:12" x14ac:dyDescent="0.2">
      <c r="A208" s="4">
        <v>43488</v>
      </c>
      <c r="B208" t="s">
        <v>517</v>
      </c>
      <c r="C208">
        <v>1</v>
      </c>
      <c r="D208">
        <v>15</v>
      </c>
      <c r="E208">
        <v>2</v>
      </c>
      <c r="F208" t="s">
        <v>385</v>
      </c>
      <c r="G208" t="s">
        <v>843</v>
      </c>
      <c r="H208" s="6" t="s">
        <v>1073</v>
      </c>
      <c r="I208">
        <f t="shared" si="13"/>
        <v>30</v>
      </c>
      <c r="J208">
        <f t="shared" si="15"/>
        <v>13.607771100000001</v>
      </c>
      <c r="K208">
        <v>3.754</v>
      </c>
      <c r="L208">
        <f t="shared" si="16"/>
        <v>51.083572709400002</v>
      </c>
    </row>
    <row r="209" spans="1:12" x14ac:dyDescent="0.2">
      <c r="A209" s="4">
        <v>43486</v>
      </c>
      <c r="B209" t="s">
        <v>48</v>
      </c>
      <c r="C209" s="28">
        <v>2</v>
      </c>
      <c r="D209" s="6">
        <v>1</v>
      </c>
      <c r="E209">
        <f>10/9*35</f>
        <v>38.888888888888893</v>
      </c>
      <c r="F209" t="s">
        <v>621</v>
      </c>
      <c r="G209" t="s">
        <v>785</v>
      </c>
      <c r="H209" s="6" t="s">
        <v>1071</v>
      </c>
      <c r="I209">
        <f t="shared" si="13"/>
        <v>77.777777777777786</v>
      </c>
      <c r="J209">
        <f t="shared" si="15"/>
        <v>35.27940655555556</v>
      </c>
      <c r="K209">
        <v>0.52600000000000002</v>
      </c>
      <c r="L209">
        <f t="shared" si="16"/>
        <v>18.556967848222225</v>
      </c>
    </row>
    <row r="210" spans="1:12" x14ac:dyDescent="0.2">
      <c r="A210" s="4">
        <v>43489</v>
      </c>
      <c r="B210" t="s">
        <v>48</v>
      </c>
      <c r="C210" s="28">
        <v>1</v>
      </c>
      <c r="D210" s="6">
        <v>1</v>
      </c>
      <c r="E210">
        <f>10/9*35</f>
        <v>38.888888888888893</v>
      </c>
      <c r="F210" t="s">
        <v>621</v>
      </c>
      <c r="G210" t="s">
        <v>785</v>
      </c>
      <c r="H210" s="6" t="s">
        <v>1071</v>
      </c>
      <c r="I210">
        <f t="shared" si="13"/>
        <v>38.888888888888893</v>
      </c>
      <c r="J210">
        <f t="shared" si="15"/>
        <v>17.63970327777778</v>
      </c>
      <c r="K210">
        <v>0.52600000000000002</v>
      </c>
      <c r="L210">
        <f t="shared" si="16"/>
        <v>9.2784839241111126</v>
      </c>
    </row>
    <row r="211" spans="1:12" x14ac:dyDescent="0.2">
      <c r="A211" s="4">
        <v>43488</v>
      </c>
      <c r="B211" t="s">
        <v>48</v>
      </c>
      <c r="C211" s="28">
        <v>2</v>
      </c>
      <c r="D211" s="6">
        <v>1</v>
      </c>
      <c r="E211">
        <f>10/9*35</f>
        <v>38.888888888888893</v>
      </c>
      <c r="F211" t="s">
        <v>621</v>
      </c>
      <c r="G211" t="s">
        <v>785</v>
      </c>
      <c r="H211" s="6" t="s">
        <v>1071</v>
      </c>
      <c r="I211">
        <f t="shared" si="13"/>
        <v>77.777777777777786</v>
      </c>
      <c r="J211">
        <f t="shared" si="15"/>
        <v>35.27940655555556</v>
      </c>
      <c r="K211">
        <v>0.52600000000000002</v>
      </c>
      <c r="L211">
        <f t="shared" si="16"/>
        <v>18.556967848222225</v>
      </c>
    </row>
    <row r="212" spans="1:12" x14ac:dyDescent="0.2">
      <c r="A212" s="4">
        <v>43483</v>
      </c>
      <c r="B212" t="s">
        <v>48</v>
      </c>
      <c r="C212" s="28">
        <v>2</v>
      </c>
      <c r="D212" s="6">
        <v>1</v>
      </c>
      <c r="E212">
        <f>10/9*35</f>
        <v>38.888888888888893</v>
      </c>
      <c r="F212" t="s">
        <v>621</v>
      </c>
      <c r="G212" t="s">
        <v>785</v>
      </c>
      <c r="H212" s="6" t="s">
        <v>1071</v>
      </c>
      <c r="I212">
        <f t="shared" si="13"/>
        <v>77.777777777777786</v>
      </c>
      <c r="J212">
        <f t="shared" si="15"/>
        <v>35.27940655555556</v>
      </c>
      <c r="K212">
        <v>0.52600000000000002</v>
      </c>
      <c r="L212">
        <f t="shared" si="16"/>
        <v>18.556967848222225</v>
      </c>
    </row>
    <row r="213" spans="1:12" x14ac:dyDescent="0.2">
      <c r="A213" s="4">
        <v>43483</v>
      </c>
      <c r="B213" t="s">
        <v>531</v>
      </c>
      <c r="C213">
        <v>4</v>
      </c>
      <c r="D213">
        <v>6</v>
      </c>
      <c r="E213">
        <f>12*(2/16)</f>
        <v>1.5</v>
      </c>
      <c r="F213" t="s">
        <v>1018</v>
      </c>
      <c r="G213" s="6" t="s">
        <v>968</v>
      </c>
      <c r="H213" s="6" t="s">
        <v>1071</v>
      </c>
      <c r="I213">
        <f t="shared" si="13"/>
        <v>36</v>
      </c>
      <c r="J213">
        <f t="shared" si="15"/>
        <v>16.329325319999999</v>
      </c>
      <c r="K213">
        <v>1.28</v>
      </c>
      <c r="L213">
        <f t="shared" si="16"/>
        <v>20.901536409599998</v>
      </c>
    </row>
    <row r="214" spans="1:12" x14ac:dyDescent="0.2">
      <c r="A214" s="4">
        <v>43483</v>
      </c>
      <c r="B214" t="s">
        <v>538</v>
      </c>
      <c r="C214">
        <v>2</v>
      </c>
      <c r="D214">
        <v>6</v>
      </c>
      <c r="E214">
        <v>2</v>
      </c>
      <c r="F214" t="s">
        <v>664</v>
      </c>
      <c r="G214" s="14" t="s">
        <v>978</v>
      </c>
      <c r="H214" s="6" t="s">
        <v>1071</v>
      </c>
      <c r="I214">
        <f t="shared" si="13"/>
        <v>24</v>
      </c>
      <c r="J214">
        <f t="shared" si="15"/>
        <v>10.886216880000001</v>
      </c>
      <c r="L214">
        <f t="shared" si="16"/>
        <v>0</v>
      </c>
    </row>
    <row r="215" spans="1:12" x14ac:dyDescent="0.2">
      <c r="A215" s="4">
        <v>43483</v>
      </c>
      <c r="B215" t="s">
        <v>538</v>
      </c>
      <c r="C215">
        <v>4</v>
      </c>
      <c r="D215">
        <v>1</v>
      </c>
      <c r="E215">
        <v>50</v>
      </c>
      <c r="F215" t="s">
        <v>431</v>
      </c>
      <c r="G215" t="s">
        <v>863</v>
      </c>
      <c r="H215" s="6" t="s">
        <v>1071</v>
      </c>
      <c r="I215">
        <f t="shared" si="13"/>
        <v>200</v>
      </c>
      <c r="J215">
        <f t="shared" si="15"/>
        <v>90.718474000000001</v>
      </c>
      <c r="K215">
        <v>0.35799999999999998</v>
      </c>
      <c r="L215">
        <f t="shared" si="16"/>
        <v>32.477213691999999</v>
      </c>
    </row>
    <row r="216" spans="1:12" x14ac:dyDescent="0.2">
      <c r="A216" s="4">
        <v>43486</v>
      </c>
      <c r="B216" t="s">
        <v>538</v>
      </c>
      <c r="C216">
        <v>3</v>
      </c>
      <c r="D216">
        <v>1</v>
      </c>
      <c r="E216">
        <v>50</v>
      </c>
      <c r="F216" t="s">
        <v>431</v>
      </c>
      <c r="G216" t="s">
        <v>863</v>
      </c>
      <c r="H216" s="6" t="s">
        <v>1071</v>
      </c>
      <c r="I216">
        <f t="shared" si="13"/>
        <v>150</v>
      </c>
      <c r="J216">
        <f t="shared" si="15"/>
        <v>68.038855500000011</v>
      </c>
      <c r="K216">
        <v>0.35799999999999998</v>
      </c>
      <c r="L216">
        <f t="shared" si="16"/>
        <v>24.357910269000001</v>
      </c>
    </row>
    <row r="217" spans="1:12" x14ac:dyDescent="0.2">
      <c r="A217" s="4">
        <v>43488</v>
      </c>
      <c r="B217" t="s">
        <v>538</v>
      </c>
      <c r="C217">
        <v>2</v>
      </c>
      <c r="D217">
        <v>1</v>
      </c>
      <c r="E217">
        <v>50</v>
      </c>
      <c r="F217" t="s">
        <v>431</v>
      </c>
      <c r="G217" t="s">
        <v>863</v>
      </c>
      <c r="H217" s="6" t="s">
        <v>1071</v>
      </c>
      <c r="I217">
        <f t="shared" si="13"/>
        <v>100</v>
      </c>
      <c r="J217">
        <f t="shared" si="15"/>
        <v>45.359237</v>
      </c>
      <c r="K217">
        <v>0.35799999999999998</v>
      </c>
      <c r="L217">
        <f t="shared" si="16"/>
        <v>16.238606846</v>
      </c>
    </row>
    <row r="218" spans="1:12" x14ac:dyDescent="0.2">
      <c r="A218" s="4">
        <v>43487</v>
      </c>
      <c r="B218" t="s">
        <v>48</v>
      </c>
      <c r="C218" s="28">
        <v>1</v>
      </c>
      <c r="D218" s="6">
        <v>1</v>
      </c>
      <c r="E218">
        <f>4*8.35</f>
        <v>33.4</v>
      </c>
      <c r="F218" t="s">
        <v>303</v>
      </c>
      <c r="G218" t="s">
        <v>811</v>
      </c>
      <c r="H218" s="6" t="s">
        <v>1071</v>
      </c>
      <c r="I218">
        <f t="shared" si="13"/>
        <v>33.4</v>
      </c>
      <c r="J218">
        <f t="shared" si="15"/>
        <v>15.149985158</v>
      </c>
      <c r="K218">
        <v>0.74299999999999999</v>
      </c>
      <c r="L218">
        <f t="shared" si="16"/>
        <v>11.256438972393999</v>
      </c>
    </row>
    <row r="219" spans="1:12" x14ac:dyDescent="0.2">
      <c r="A219" s="4">
        <v>43489</v>
      </c>
      <c r="B219" t="s">
        <v>48</v>
      </c>
      <c r="C219" s="28">
        <v>1</v>
      </c>
      <c r="D219" s="6">
        <v>1</v>
      </c>
      <c r="E219">
        <f>4*8.35</f>
        <v>33.4</v>
      </c>
      <c r="F219" t="s">
        <v>303</v>
      </c>
      <c r="G219" t="s">
        <v>811</v>
      </c>
      <c r="H219" s="6" t="s">
        <v>1071</v>
      </c>
      <c r="I219">
        <f t="shared" si="13"/>
        <v>33.4</v>
      </c>
      <c r="J219">
        <f t="shared" si="15"/>
        <v>15.149985158</v>
      </c>
      <c r="K219">
        <v>0.74299999999999999</v>
      </c>
      <c r="L219">
        <f t="shared" si="16"/>
        <v>11.256438972393999</v>
      </c>
    </row>
    <row r="220" spans="1:12" x14ac:dyDescent="0.2">
      <c r="A220" s="4">
        <v>43488</v>
      </c>
      <c r="B220" t="s">
        <v>48</v>
      </c>
      <c r="C220" s="28">
        <v>1</v>
      </c>
      <c r="D220" s="6">
        <v>1</v>
      </c>
      <c r="E220">
        <f>4*8.35</f>
        <v>33.4</v>
      </c>
      <c r="F220" t="s">
        <v>303</v>
      </c>
      <c r="G220" t="s">
        <v>811</v>
      </c>
      <c r="H220" s="6" t="s">
        <v>1071</v>
      </c>
      <c r="I220">
        <f t="shared" si="13"/>
        <v>33.4</v>
      </c>
      <c r="J220">
        <f t="shared" si="15"/>
        <v>15.149985158</v>
      </c>
      <c r="K220">
        <v>0.74299999999999999</v>
      </c>
      <c r="L220">
        <f t="shared" si="16"/>
        <v>11.256438972393999</v>
      </c>
    </row>
    <row r="221" spans="1:12" x14ac:dyDescent="0.2">
      <c r="A221" s="4">
        <v>43483</v>
      </c>
      <c r="B221" t="s">
        <v>48</v>
      </c>
      <c r="C221" s="28">
        <v>1</v>
      </c>
      <c r="D221" s="6">
        <v>1</v>
      </c>
      <c r="E221">
        <f>4*8.35</f>
        <v>33.4</v>
      </c>
      <c r="F221" t="s">
        <v>303</v>
      </c>
      <c r="G221" t="s">
        <v>811</v>
      </c>
      <c r="H221" s="6" t="s">
        <v>1071</v>
      </c>
      <c r="I221">
        <f t="shared" si="13"/>
        <v>33.4</v>
      </c>
      <c r="J221">
        <f t="shared" si="15"/>
        <v>15.149985158</v>
      </c>
      <c r="K221">
        <v>0.74299999999999999</v>
      </c>
      <c r="L221">
        <f t="shared" si="16"/>
        <v>11.256438972393999</v>
      </c>
    </row>
    <row r="222" spans="1:12" x14ac:dyDescent="0.2">
      <c r="A222" s="4">
        <v>43488</v>
      </c>
      <c r="B222" t="s">
        <v>48</v>
      </c>
      <c r="C222" s="28">
        <v>2</v>
      </c>
      <c r="D222" s="6">
        <v>1</v>
      </c>
      <c r="E222">
        <v>25</v>
      </c>
      <c r="F222" t="s">
        <v>493</v>
      </c>
      <c r="G222" t="s">
        <v>839</v>
      </c>
      <c r="H222" s="6" t="s">
        <v>1071</v>
      </c>
      <c r="I222">
        <f t="shared" si="13"/>
        <v>50</v>
      </c>
      <c r="J222">
        <f t="shared" si="15"/>
        <v>22.6796185</v>
      </c>
      <c r="K222">
        <v>0.95</v>
      </c>
      <c r="L222">
        <f t="shared" si="16"/>
        <v>21.545637575000001</v>
      </c>
    </row>
    <row r="223" spans="1:12" x14ac:dyDescent="0.2">
      <c r="A223" s="4">
        <v>43487</v>
      </c>
      <c r="B223" t="s">
        <v>48</v>
      </c>
      <c r="C223" s="28">
        <v>5</v>
      </c>
      <c r="D223" s="6">
        <v>1</v>
      </c>
      <c r="E223">
        <v>18</v>
      </c>
      <c r="F223" t="s">
        <v>304</v>
      </c>
      <c r="G223" t="s">
        <v>786</v>
      </c>
      <c r="H223" s="6" t="s">
        <v>1071</v>
      </c>
      <c r="I223">
        <f t="shared" si="13"/>
        <v>90</v>
      </c>
      <c r="J223">
        <f t="shared" si="15"/>
        <v>40.823313300000002</v>
      </c>
      <c r="K223">
        <v>0.47799999999999998</v>
      </c>
      <c r="L223">
        <f t="shared" si="16"/>
        <v>19.513543757400001</v>
      </c>
    </row>
    <row r="224" spans="1:12" x14ac:dyDescent="0.2">
      <c r="A224" s="4">
        <v>43488</v>
      </c>
      <c r="B224" t="s">
        <v>48</v>
      </c>
      <c r="C224" s="28">
        <v>4</v>
      </c>
      <c r="D224" s="6">
        <v>1</v>
      </c>
      <c r="E224">
        <v>18</v>
      </c>
      <c r="F224" t="s">
        <v>304</v>
      </c>
      <c r="G224" t="s">
        <v>786</v>
      </c>
      <c r="H224" s="6" t="s">
        <v>1071</v>
      </c>
      <c r="I224">
        <f t="shared" si="13"/>
        <v>72</v>
      </c>
      <c r="J224">
        <f t="shared" si="15"/>
        <v>32.658650639999998</v>
      </c>
      <c r="K224">
        <v>0.47799999999999998</v>
      </c>
      <c r="L224">
        <f t="shared" si="16"/>
        <v>15.610835005919999</v>
      </c>
    </row>
    <row r="225" spans="1:12" x14ac:dyDescent="0.2">
      <c r="A225" s="4">
        <v>43484</v>
      </c>
      <c r="B225" t="s">
        <v>48</v>
      </c>
      <c r="C225" s="28">
        <v>4</v>
      </c>
      <c r="D225" s="6">
        <v>1</v>
      </c>
      <c r="E225">
        <v>18</v>
      </c>
      <c r="F225" t="s">
        <v>304</v>
      </c>
      <c r="G225" t="s">
        <v>786</v>
      </c>
      <c r="H225" s="6" t="s">
        <v>1071</v>
      </c>
      <c r="I225">
        <f t="shared" si="13"/>
        <v>72</v>
      </c>
      <c r="J225">
        <f t="shared" si="15"/>
        <v>32.658650639999998</v>
      </c>
      <c r="K225">
        <v>0.47799999999999998</v>
      </c>
      <c r="L225">
        <f t="shared" si="16"/>
        <v>15.610835005919999</v>
      </c>
    </row>
    <row r="226" spans="1:12" x14ac:dyDescent="0.2">
      <c r="A226" s="4">
        <v>43483</v>
      </c>
      <c r="B226" t="s">
        <v>48</v>
      </c>
      <c r="C226" s="28">
        <v>8</v>
      </c>
      <c r="D226" s="6">
        <v>1</v>
      </c>
      <c r="E226">
        <v>18</v>
      </c>
      <c r="F226" t="s">
        <v>304</v>
      </c>
      <c r="G226" t="s">
        <v>786</v>
      </c>
      <c r="H226" s="6" t="s">
        <v>1071</v>
      </c>
      <c r="I226">
        <f t="shared" si="13"/>
        <v>144</v>
      </c>
      <c r="J226">
        <f t="shared" si="15"/>
        <v>65.317301279999995</v>
      </c>
      <c r="K226">
        <v>0.47799999999999998</v>
      </c>
      <c r="L226">
        <f t="shared" si="16"/>
        <v>31.221670011839997</v>
      </c>
    </row>
    <row r="227" spans="1:12" x14ac:dyDescent="0.2">
      <c r="A227" s="4">
        <v>43487</v>
      </c>
      <c r="B227" t="s">
        <v>48</v>
      </c>
      <c r="C227" s="28">
        <v>2</v>
      </c>
      <c r="D227" s="6">
        <v>1</v>
      </c>
      <c r="E227">
        <f>36*(8.7/16)</f>
        <v>19.574999999999999</v>
      </c>
      <c r="F227" t="s">
        <v>481</v>
      </c>
      <c r="G227" t="s">
        <v>836</v>
      </c>
      <c r="H227" s="6" t="s">
        <v>1071</v>
      </c>
      <c r="I227">
        <f t="shared" si="13"/>
        <v>39.15</v>
      </c>
      <c r="J227">
        <f t="shared" si="15"/>
        <v>17.758141285500002</v>
      </c>
      <c r="K227">
        <v>1.21</v>
      </c>
      <c r="L227">
        <f t="shared" si="16"/>
        <v>21.487350955455003</v>
      </c>
    </row>
    <row r="228" spans="1:12" x14ac:dyDescent="0.2">
      <c r="A228" s="4">
        <v>43488</v>
      </c>
      <c r="B228" t="s">
        <v>38</v>
      </c>
      <c r="C228">
        <v>24</v>
      </c>
      <c r="D228" s="6">
        <v>1</v>
      </c>
      <c r="E228">
        <v>2.0499999999999998</v>
      </c>
      <c r="F228" s="9" t="s">
        <v>610</v>
      </c>
      <c r="G228" s="9" t="s">
        <v>957</v>
      </c>
      <c r="H228" s="6" t="s">
        <v>1073</v>
      </c>
      <c r="I228">
        <f t="shared" si="13"/>
        <v>49.199999999999996</v>
      </c>
      <c r="J228">
        <f t="shared" si="15"/>
        <v>22.316744604</v>
      </c>
      <c r="K228">
        <f>(0.5*1.323)+(0.5*5.2)</f>
        <v>3.2614999999999998</v>
      </c>
      <c r="L228">
        <f t="shared" si="16"/>
        <v>72.786062525945994</v>
      </c>
    </row>
    <row r="229" spans="1:12" x14ac:dyDescent="0.2">
      <c r="A229" s="4">
        <v>43483</v>
      </c>
      <c r="B229" t="s">
        <v>38</v>
      </c>
      <c r="C229">
        <v>2</v>
      </c>
      <c r="D229" s="6">
        <v>1</v>
      </c>
      <c r="E229">
        <v>2.0499999999999998</v>
      </c>
      <c r="F229" s="9" t="s">
        <v>610</v>
      </c>
      <c r="G229" s="9" t="s">
        <v>957</v>
      </c>
      <c r="H229" s="6" t="s">
        <v>1073</v>
      </c>
      <c r="I229">
        <f t="shared" si="13"/>
        <v>4.0999999999999996</v>
      </c>
      <c r="J229">
        <f t="shared" si="15"/>
        <v>1.8597287170000001</v>
      </c>
      <c r="K229">
        <f>(0.5*1.323)+(0.5*5.2)</f>
        <v>3.2614999999999998</v>
      </c>
      <c r="L229">
        <f t="shared" si="16"/>
        <v>6.0655052104955001</v>
      </c>
    </row>
    <row r="230" spans="1:12" x14ac:dyDescent="0.2">
      <c r="A230" s="4">
        <v>43487</v>
      </c>
      <c r="B230" t="s">
        <v>48</v>
      </c>
      <c r="C230" s="28">
        <v>1</v>
      </c>
      <c r="D230" s="6">
        <v>1</v>
      </c>
      <c r="E230">
        <v>1</v>
      </c>
      <c r="F230" t="s">
        <v>307</v>
      </c>
      <c r="G230" t="s">
        <v>812</v>
      </c>
      <c r="H230" s="6" t="s">
        <v>1071</v>
      </c>
      <c r="I230">
        <f t="shared" si="13"/>
        <v>1</v>
      </c>
      <c r="J230">
        <f t="shared" si="15"/>
        <v>0.45359237000000002</v>
      </c>
      <c r="K230">
        <v>0.221</v>
      </c>
      <c r="L230">
        <f t="shared" si="16"/>
        <v>0.10024391377000001</v>
      </c>
    </row>
    <row r="231" spans="1:12" x14ac:dyDescent="0.2">
      <c r="A231" s="4">
        <v>43487</v>
      </c>
      <c r="B231" t="s">
        <v>48</v>
      </c>
      <c r="C231" s="28">
        <v>1</v>
      </c>
      <c r="D231" s="6">
        <v>1</v>
      </c>
      <c r="E231">
        <v>1</v>
      </c>
      <c r="F231" t="s">
        <v>309</v>
      </c>
      <c r="G231" t="s">
        <v>812</v>
      </c>
      <c r="H231" s="6" t="s">
        <v>1071</v>
      </c>
      <c r="I231">
        <f t="shared" si="13"/>
        <v>1</v>
      </c>
      <c r="J231">
        <f t="shared" si="15"/>
        <v>0.45359237000000002</v>
      </c>
      <c r="K231">
        <v>0.221</v>
      </c>
      <c r="L231">
        <f t="shared" si="16"/>
        <v>0.10024391377000001</v>
      </c>
    </row>
    <row r="232" spans="1:12" x14ac:dyDescent="0.2">
      <c r="A232" s="4">
        <v>43489</v>
      </c>
      <c r="B232" t="s">
        <v>48</v>
      </c>
      <c r="C232" s="28">
        <v>1</v>
      </c>
      <c r="D232" s="6">
        <v>1</v>
      </c>
      <c r="E232">
        <v>1</v>
      </c>
      <c r="F232" t="s">
        <v>307</v>
      </c>
      <c r="G232" t="s">
        <v>812</v>
      </c>
      <c r="H232" s="6" t="s">
        <v>1071</v>
      </c>
      <c r="I232">
        <f t="shared" si="13"/>
        <v>1</v>
      </c>
      <c r="J232">
        <f t="shared" si="15"/>
        <v>0.45359237000000002</v>
      </c>
      <c r="K232">
        <v>0.221</v>
      </c>
      <c r="L232">
        <f t="shared" si="16"/>
        <v>0.10024391377000001</v>
      </c>
    </row>
    <row r="233" spans="1:12" x14ac:dyDescent="0.2">
      <c r="A233" s="4">
        <v>43483</v>
      </c>
      <c r="B233" t="s">
        <v>48</v>
      </c>
      <c r="C233" s="28">
        <v>2</v>
      </c>
      <c r="D233" s="6">
        <v>1</v>
      </c>
      <c r="E233">
        <v>1</v>
      </c>
      <c r="F233" t="s">
        <v>307</v>
      </c>
      <c r="G233" t="s">
        <v>812</v>
      </c>
      <c r="H233" s="6" t="s">
        <v>1071</v>
      </c>
      <c r="I233">
        <f t="shared" si="13"/>
        <v>2</v>
      </c>
      <c r="J233">
        <f t="shared" si="15"/>
        <v>0.90718474000000004</v>
      </c>
      <c r="K233">
        <v>0.221</v>
      </c>
      <c r="L233">
        <f t="shared" si="16"/>
        <v>0.20048782754000002</v>
      </c>
    </row>
    <row r="234" spans="1:12" x14ac:dyDescent="0.2">
      <c r="A234" s="4">
        <v>43483</v>
      </c>
      <c r="B234" t="s">
        <v>48</v>
      </c>
      <c r="C234" s="28">
        <v>1</v>
      </c>
      <c r="D234" s="6">
        <v>1</v>
      </c>
      <c r="E234">
        <v>1</v>
      </c>
      <c r="F234" t="s">
        <v>308</v>
      </c>
      <c r="G234" t="s">
        <v>812</v>
      </c>
      <c r="H234" s="6" t="s">
        <v>1071</v>
      </c>
      <c r="I234">
        <f t="shared" si="13"/>
        <v>1</v>
      </c>
      <c r="J234">
        <f t="shared" si="15"/>
        <v>0.45359237000000002</v>
      </c>
      <c r="K234">
        <v>0.221</v>
      </c>
      <c r="L234">
        <f t="shared" si="16"/>
        <v>0.10024391377000001</v>
      </c>
    </row>
    <row r="235" spans="1:12" x14ac:dyDescent="0.2">
      <c r="A235" s="4">
        <v>43483</v>
      </c>
      <c r="B235" t="s">
        <v>48</v>
      </c>
      <c r="C235" s="28">
        <v>1</v>
      </c>
      <c r="D235" s="6">
        <v>1</v>
      </c>
      <c r="E235">
        <v>1</v>
      </c>
      <c r="F235" t="s">
        <v>309</v>
      </c>
      <c r="G235" t="s">
        <v>812</v>
      </c>
      <c r="H235" s="6" t="s">
        <v>1071</v>
      </c>
      <c r="I235">
        <f t="shared" si="13"/>
        <v>1</v>
      </c>
      <c r="J235">
        <f t="shared" si="15"/>
        <v>0.45359237000000002</v>
      </c>
      <c r="K235">
        <v>0.221</v>
      </c>
      <c r="L235">
        <f t="shared" si="16"/>
        <v>0.10024391377000001</v>
      </c>
    </row>
    <row r="236" spans="1:12" x14ac:dyDescent="0.2">
      <c r="A236" s="4">
        <v>43483</v>
      </c>
      <c r="B236" t="s">
        <v>48</v>
      </c>
      <c r="C236" s="35">
        <v>3</v>
      </c>
      <c r="D236" s="9">
        <v>1</v>
      </c>
      <c r="E236" s="8">
        <v>30</v>
      </c>
      <c r="F236" s="8" t="s">
        <v>644</v>
      </c>
      <c r="G236" s="8" t="s">
        <v>782</v>
      </c>
      <c r="H236" s="6" t="s">
        <v>1071</v>
      </c>
      <c r="I236">
        <f t="shared" si="13"/>
        <v>90</v>
      </c>
      <c r="J236">
        <f t="shared" si="15"/>
        <v>40.823313300000002</v>
      </c>
      <c r="K236">
        <v>0.221</v>
      </c>
      <c r="L236">
        <f t="shared" si="16"/>
        <v>9.0219522393000009</v>
      </c>
    </row>
    <row r="237" spans="1:12" x14ac:dyDescent="0.2">
      <c r="A237" s="4">
        <v>43488</v>
      </c>
      <c r="B237" t="s">
        <v>538</v>
      </c>
      <c r="C237">
        <v>1</v>
      </c>
      <c r="D237">
        <v>6</v>
      </c>
      <c r="E237">
        <v>5</v>
      </c>
      <c r="F237" t="s">
        <v>571</v>
      </c>
      <c r="G237" t="s">
        <v>878</v>
      </c>
      <c r="H237" s="6" t="s">
        <v>1071</v>
      </c>
      <c r="I237">
        <f t="shared" si="13"/>
        <v>30</v>
      </c>
      <c r="J237">
        <f t="shared" si="15"/>
        <v>13.607771100000001</v>
      </c>
      <c r="K237">
        <v>2.44</v>
      </c>
      <c r="L237">
        <f t="shared" si="16"/>
        <v>33.202961483999999</v>
      </c>
    </row>
    <row r="238" spans="1:12" x14ac:dyDescent="0.2">
      <c r="A238" s="4">
        <v>43487</v>
      </c>
      <c r="B238" t="s">
        <v>48</v>
      </c>
      <c r="C238" s="28">
        <v>6</v>
      </c>
      <c r="D238" s="6">
        <v>1</v>
      </c>
      <c r="E238">
        <f>8*4</f>
        <v>32</v>
      </c>
      <c r="F238" t="s">
        <v>312</v>
      </c>
      <c r="G238" t="s">
        <v>789</v>
      </c>
      <c r="H238" s="6" t="s">
        <v>1071</v>
      </c>
      <c r="I238">
        <f t="shared" si="13"/>
        <v>192</v>
      </c>
      <c r="J238">
        <f t="shared" si="15"/>
        <v>87.089735040000008</v>
      </c>
      <c r="K238">
        <v>0.28399999999999997</v>
      </c>
      <c r="L238">
        <f t="shared" si="16"/>
        <v>24.733484751359999</v>
      </c>
    </row>
    <row r="239" spans="1:12" x14ac:dyDescent="0.2">
      <c r="A239" s="4">
        <v>43489</v>
      </c>
      <c r="B239" t="s">
        <v>48</v>
      </c>
      <c r="C239" s="28">
        <v>6</v>
      </c>
      <c r="D239" s="6">
        <v>1</v>
      </c>
      <c r="E239">
        <f>6*4</f>
        <v>24</v>
      </c>
      <c r="F239" t="s">
        <v>631</v>
      </c>
      <c r="G239" t="s">
        <v>789</v>
      </c>
      <c r="H239" s="6" t="s">
        <v>1071</v>
      </c>
      <c r="I239">
        <f t="shared" si="13"/>
        <v>144</v>
      </c>
      <c r="J239">
        <f t="shared" si="15"/>
        <v>65.317301279999995</v>
      </c>
      <c r="K239">
        <v>0.28399999999999997</v>
      </c>
      <c r="L239">
        <f t="shared" si="16"/>
        <v>18.550113563519997</v>
      </c>
    </row>
    <row r="240" spans="1:12" x14ac:dyDescent="0.2">
      <c r="A240" s="4">
        <v>43488</v>
      </c>
      <c r="B240" t="s">
        <v>48</v>
      </c>
      <c r="C240" s="28">
        <v>8</v>
      </c>
      <c r="D240" s="6">
        <v>1</v>
      </c>
      <c r="E240">
        <f>8*4</f>
        <v>32</v>
      </c>
      <c r="F240" t="s">
        <v>312</v>
      </c>
      <c r="G240" t="s">
        <v>789</v>
      </c>
      <c r="H240" s="6" t="s">
        <v>1071</v>
      </c>
      <c r="I240">
        <f t="shared" si="13"/>
        <v>256</v>
      </c>
      <c r="J240">
        <f t="shared" si="15"/>
        <v>116.11964672000001</v>
      </c>
      <c r="K240">
        <v>0.28399999999999997</v>
      </c>
      <c r="L240">
        <f t="shared" si="16"/>
        <v>32.977979668479996</v>
      </c>
    </row>
    <row r="241" spans="1:12" x14ac:dyDescent="0.2">
      <c r="A241" s="4">
        <v>43484</v>
      </c>
      <c r="B241" t="s">
        <v>48</v>
      </c>
      <c r="C241" s="28">
        <v>6</v>
      </c>
      <c r="D241" s="6">
        <v>1</v>
      </c>
      <c r="E241">
        <f>8*4</f>
        <v>32</v>
      </c>
      <c r="F241" t="s">
        <v>312</v>
      </c>
      <c r="G241" t="s">
        <v>789</v>
      </c>
      <c r="H241" s="6" t="s">
        <v>1071</v>
      </c>
      <c r="I241">
        <f t="shared" si="13"/>
        <v>192</v>
      </c>
      <c r="J241">
        <f t="shared" si="15"/>
        <v>87.089735040000008</v>
      </c>
      <c r="K241">
        <v>0.28399999999999997</v>
      </c>
      <c r="L241">
        <f t="shared" si="16"/>
        <v>24.733484751359999</v>
      </c>
    </row>
    <row r="242" spans="1:12" x14ac:dyDescent="0.2">
      <c r="A242" s="4">
        <v>43483</v>
      </c>
      <c r="B242" t="s">
        <v>48</v>
      </c>
      <c r="C242" s="28">
        <v>8</v>
      </c>
      <c r="D242" s="6">
        <v>1</v>
      </c>
      <c r="E242">
        <f>8*4</f>
        <v>32</v>
      </c>
      <c r="F242" t="s">
        <v>312</v>
      </c>
      <c r="G242" t="s">
        <v>789</v>
      </c>
      <c r="H242" s="6" t="s">
        <v>1071</v>
      </c>
      <c r="I242">
        <f t="shared" si="13"/>
        <v>256</v>
      </c>
      <c r="J242">
        <f t="shared" si="15"/>
        <v>116.11964672000001</v>
      </c>
      <c r="K242">
        <v>0.28399999999999997</v>
      </c>
      <c r="L242">
        <f t="shared" si="16"/>
        <v>32.977979668479996</v>
      </c>
    </row>
    <row r="243" spans="1:12" x14ac:dyDescent="0.2">
      <c r="A243" s="10">
        <v>43483</v>
      </c>
      <c r="B243" s="8" t="s">
        <v>946</v>
      </c>
      <c r="C243" s="6">
        <v>1</v>
      </c>
      <c r="D243" s="9">
        <v>1</v>
      </c>
      <c r="E243" s="8">
        <v>50</v>
      </c>
      <c r="F243" s="9" t="s">
        <v>947</v>
      </c>
      <c r="G243" s="9" t="s">
        <v>950</v>
      </c>
      <c r="H243" s="6" t="s">
        <v>1073</v>
      </c>
      <c r="I243">
        <f t="shared" si="13"/>
        <v>50</v>
      </c>
      <c r="J243">
        <f t="shared" si="15"/>
        <v>22.6796185</v>
      </c>
      <c r="K243">
        <v>3.84</v>
      </c>
      <c r="L243">
        <f t="shared" si="16"/>
        <v>87.089735039999994</v>
      </c>
    </row>
    <row r="244" spans="1:12" x14ac:dyDescent="0.2">
      <c r="A244" s="10">
        <v>43483</v>
      </c>
      <c r="B244" s="8" t="s">
        <v>946</v>
      </c>
      <c r="C244" s="6">
        <v>1</v>
      </c>
      <c r="D244" s="9">
        <v>1</v>
      </c>
      <c r="E244" s="8">
        <v>50</v>
      </c>
      <c r="F244" s="9" t="s">
        <v>953</v>
      </c>
      <c r="G244" s="9" t="s">
        <v>950</v>
      </c>
      <c r="H244" s="6" t="s">
        <v>1073</v>
      </c>
      <c r="I244">
        <f t="shared" si="13"/>
        <v>50</v>
      </c>
      <c r="J244">
        <f t="shared" si="15"/>
        <v>22.6796185</v>
      </c>
      <c r="K244">
        <v>3.84</v>
      </c>
      <c r="L244">
        <f t="shared" si="16"/>
        <v>87.089735039999994</v>
      </c>
    </row>
    <row r="245" spans="1:12" x14ac:dyDescent="0.2">
      <c r="A245" s="10">
        <v>43483</v>
      </c>
      <c r="B245" s="8" t="s">
        <v>946</v>
      </c>
      <c r="C245" s="6">
        <v>1</v>
      </c>
      <c r="D245" s="9">
        <v>1</v>
      </c>
      <c r="E245" s="9">
        <v>25</v>
      </c>
      <c r="F245" s="9" t="s">
        <v>955</v>
      </c>
      <c r="G245" s="9" t="s">
        <v>950</v>
      </c>
      <c r="H245" s="6" t="s">
        <v>1073</v>
      </c>
      <c r="I245">
        <f t="shared" si="13"/>
        <v>25</v>
      </c>
      <c r="J245">
        <f t="shared" si="15"/>
        <v>11.33980925</v>
      </c>
      <c r="K245">
        <v>3.84</v>
      </c>
      <c r="L245">
        <f t="shared" si="16"/>
        <v>43.544867519999997</v>
      </c>
    </row>
    <row r="246" spans="1:12" x14ac:dyDescent="0.2">
      <c r="A246" s="10">
        <v>43483</v>
      </c>
      <c r="B246" s="8" t="s">
        <v>946</v>
      </c>
      <c r="C246" s="6">
        <v>1</v>
      </c>
      <c r="D246" s="9">
        <v>1</v>
      </c>
      <c r="E246" s="9">
        <v>25</v>
      </c>
      <c r="F246" s="9" t="s">
        <v>956</v>
      </c>
      <c r="G246" s="9" t="s">
        <v>950</v>
      </c>
      <c r="H246" s="6" t="s">
        <v>1073</v>
      </c>
      <c r="I246">
        <f t="shared" si="13"/>
        <v>25</v>
      </c>
      <c r="J246">
        <f t="shared" si="15"/>
        <v>11.33980925</v>
      </c>
      <c r="K246">
        <v>3.84</v>
      </c>
      <c r="L246">
        <f t="shared" si="16"/>
        <v>43.544867519999997</v>
      </c>
    </row>
    <row r="247" spans="1:12" x14ac:dyDescent="0.2">
      <c r="A247" s="4">
        <v>43486</v>
      </c>
      <c r="B247" t="s">
        <v>517</v>
      </c>
      <c r="C247">
        <v>1</v>
      </c>
      <c r="D247">
        <v>1</v>
      </c>
      <c r="E247">
        <f>3*6.07</f>
        <v>18.21</v>
      </c>
      <c r="F247" t="s">
        <v>466</v>
      </c>
      <c r="G247" t="s">
        <v>888</v>
      </c>
      <c r="H247" s="6" t="s">
        <v>1073</v>
      </c>
      <c r="I247">
        <f t="shared" si="13"/>
        <v>18.21</v>
      </c>
      <c r="J247">
        <f t="shared" si="15"/>
        <v>8.259917057700001</v>
      </c>
      <c r="K247">
        <v>3.84</v>
      </c>
      <c r="L247">
        <f t="shared" si="16"/>
        <v>31.718081501568001</v>
      </c>
    </row>
    <row r="248" spans="1:12" x14ac:dyDescent="0.2">
      <c r="A248" s="4">
        <v>43486</v>
      </c>
      <c r="B248" t="s">
        <v>517</v>
      </c>
      <c r="C248">
        <v>2</v>
      </c>
      <c r="D248">
        <v>1</v>
      </c>
      <c r="E248">
        <f>3*6.07</f>
        <v>18.21</v>
      </c>
      <c r="F248" t="s">
        <v>467</v>
      </c>
      <c r="G248" t="s">
        <v>888</v>
      </c>
      <c r="H248" s="6" t="s">
        <v>1073</v>
      </c>
      <c r="I248">
        <f t="shared" si="13"/>
        <v>36.42</v>
      </c>
      <c r="J248">
        <f t="shared" si="15"/>
        <v>16.519834115400002</v>
      </c>
      <c r="K248">
        <v>3.84</v>
      </c>
      <c r="L248">
        <f t="shared" si="16"/>
        <v>63.436163003136002</v>
      </c>
    </row>
    <row r="249" spans="1:12" x14ac:dyDescent="0.2">
      <c r="A249" s="4">
        <v>43486</v>
      </c>
      <c r="B249" t="s">
        <v>517</v>
      </c>
      <c r="C249">
        <v>2</v>
      </c>
      <c r="D249">
        <v>1</v>
      </c>
      <c r="E249">
        <f>3*6.07</f>
        <v>18.21</v>
      </c>
      <c r="F249" t="s">
        <v>468</v>
      </c>
      <c r="G249" t="s">
        <v>888</v>
      </c>
      <c r="H249" s="6" t="s">
        <v>1073</v>
      </c>
      <c r="I249">
        <f t="shared" si="13"/>
        <v>36.42</v>
      </c>
      <c r="J249">
        <f t="shared" si="15"/>
        <v>16.519834115400002</v>
      </c>
      <c r="K249">
        <v>3.84</v>
      </c>
      <c r="L249">
        <f t="shared" si="16"/>
        <v>63.436163003136002</v>
      </c>
    </row>
    <row r="250" spans="1:12" x14ac:dyDescent="0.2">
      <c r="A250" s="4">
        <v>43486</v>
      </c>
      <c r="B250" t="s">
        <v>517</v>
      </c>
      <c r="C250">
        <v>3</v>
      </c>
      <c r="D250">
        <v>1</v>
      </c>
      <c r="E250">
        <f>3*6.07</f>
        <v>18.21</v>
      </c>
      <c r="F250" t="s">
        <v>469</v>
      </c>
      <c r="G250" t="s">
        <v>888</v>
      </c>
      <c r="H250" s="6" t="s">
        <v>1073</v>
      </c>
      <c r="I250">
        <f t="shared" si="13"/>
        <v>54.63</v>
      </c>
      <c r="J250">
        <f t="shared" si="15"/>
        <v>24.779751173100003</v>
      </c>
      <c r="K250">
        <v>3.84</v>
      </c>
      <c r="L250">
        <f t="shared" si="16"/>
        <v>95.15424450470401</v>
      </c>
    </row>
    <row r="251" spans="1:12" x14ac:dyDescent="0.2">
      <c r="A251" s="4">
        <v>43486</v>
      </c>
      <c r="B251" t="s">
        <v>517</v>
      </c>
      <c r="C251">
        <v>1</v>
      </c>
      <c r="D251">
        <v>1</v>
      </c>
      <c r="E251">
        <f>3*6.07</f>
        <v>18.21</v>
      </c>
      <c r="F251" t="s">
        <v>524</v>
      </c>
      <c r="G251" t="s">
        <v>888</v>
      </c>
      <c r="H251" s="6" t="s">
        <v>1073</v>
      </c>
      <c r="I251">
        <f t="shared" ref="I251:I314" si="17">C251*D251*E251</f>
        <v>18.21</v>
      </c>
      <c r="J251">
        <f t="shared" si="15"/>
        <v>8.259917057700001</v>
      </c>
      <c r="K251">
        <v>3.84</v>
      </c>
      <c r="L251">
        <f t="shared" si="16"/>
        <v>31.718081501568001</v>
      </c>
    </row>
    <row r="252" spans="1:12" x14ac:dyDescent="0.2">
      <c r="A252" s="4">
        <v>43488</v>
      </c>
      <c r="B252" t="s">
        <v>538</v>
      </c>
      <c r="C252">
        <v>1</v>
      </c>
      <c r="D252">
        <v>6</v>
      </c>
      <c r="E252">
        <v>4</v>
      </c>
      <c r="F252" t="s">
        <v>438</v>
      </c>
      <c r="G252" t="s">
        <v>992</v>
      </c>
      <c r="H252" s="6" t="s">
        <v>1071</v>
      </c>
      <c r="I252">
        <f t="shared" si="17"/>
        <v>24</v>
      </c>
      <c r="J252">
        <f t="shared" si="15"/>
        <v>10.886216880000001</v>
      </c>
      <c r="K252">
        <v>3.1</v>
      </c>
      <c r="L252">
        <f t="shared" si="16"/>
        <v>33.747272328000001</v>
      </c>
    </row>
    <row r="253" spans="1:12" x14ac:dyDescent="0.2">
      <c r="A253" s="4">
        <v>43484</v>
      </c>
      <c r="B253" t="s">
        <v>538</v>
      </c>
      <c r="C253">
        <v>1</v>
      </c>
      <c r="D253">
        <v>6</v>
      </c>
      <c r="E253">
        <v>4</v>
      </c>
      <c r="F253" t="s">
        <v>438</v>
      </c>
      <c r="G253" t="s">
        <v>866</v>
      </c>
      <c r="H253" s="6" t="s">
        <v>1071</v>
      </c>
      <c r="I253">
        <f t="shared" si="17"/>
        <v>24</v>
      </c>
      <c r="J253">
        <f t="shared" si="15"/>
        <v>10.886216880000001</v>
      </c>
      <c r="K253">
        <v>3.1</v>
      </c>
      <c r="L253">
        <f t="shared" si="16"/>
        <v>33.747272328000001</v>
      </c>
    </row>
    <row r="254" spans="1:12" x14ac:dyDescent="0.2">
      <c r="A254" s="4">
        <v>43489</v>
      </c>
      <c r="B254" t="s">
        <v>48</v>
      </c>
      <c r="C254" s="28">
        <v>1</v>
      </c>
      <c r="D254" s="6">
        <v>1</v>
      </c>
      <c r="E254">
        <v>10</v>
      </c>
      <c r="F254" t="s">
        <v>632</v>
      </c>
      <c r="G254" t="s">
        <v>819</v>
      </c>
      <c r="H254" s="6" t="s">
        <v>1071</v>
      </c>
      <c r="I254">
        <f t="shared" si="17"/>
        <v>10</v>
      </c>
      <c r="J254">
        <f t="shared" si="15"/>
        <v>4.5359237000000006</v>
      </c>
      <c r="K254">
        <v>0.193</v>
      </c>
      <c r="L254">
        <f t="shared" si="16"/>
        <v>0.87543327410000016</v>
      </c>
    </row>
    <row r="255" spans="1:12" x14ac:dyDescent="0.2">
      <c r="A255" s="4">
        <v>43488</v>
      </c>
      <c r="B255" t="s">
        <v>48</v>
      </c>
      <c r="C255" s="28">
        <v>3</v>
      </c>
      <c r="D255" s="6">
        <v>1</v>
      </c>
      <c r="E255">
        <v>10</v>
      </c>
      <c r="F255" t="s">
        <v>632</v>
      </c>
      <c r="G255" t="s">
        <v>819</v>
      </c>
      <c r="H255" s="6" t="s">
        <v>1071</v>
      </c>
      <c r="I255">
        <f t="shared" si="17"/>
        <v>30</v>
      </c>
      <c r="J255">
        <f t="shared" si="15"/>
        <v>13.607771100000001</v>
      </c>
      <c r="K255">
        <v>0.193</v>
      </c>
      <c r="L255">
        <f t="shared" si="16"/>
        <v>2.6262998223</v>
      </c>
    </row>
    <row r="256" spans="1:12" x14ac:dyDescent="0.2">
      <c r="A256" s="4">
        <v>43484</v>
      </c>
      <c r="B256" t="s">
        <v>48</v>
      </c>
      <c r="C256" s="28">
        <v>2</v>
      </c>
      <c r="D256" s="6">
        <v>1</v>
      </c>
      <c r="E256">
        <v>10</v>
      </c>
      <c r="F256" t="s">
        <v>632</v>
      </c>
      <c r="G256" t="s">
        <v>819</v>
      </c>
      <c r="H256" s="6" t="s">
        <v>1071</v>
      </c>
      <c r="I256">
        <f t="shared" si="17"/>
        <v>20</v>
      </c>
      <c r="J256">
        <f t="shared" si="15"/>
        <v>9.0718474000000011</v>
      </c>
      <c r="K256">
        <v>0.193</v>
      </c>
      <c r="L256">
        <f t="shared" si="16"/>
        <v>1.7508665482000003</v>
      </c>
    </row>
    <row r="257" spans="1:12" x14ac:dyDescent="0.2">
      <c r="A257" s="4">
        <v>43483</v>
      </c>
      <c r="B257" t="s">
        <v>538</v>
      </c>
      <c r="C257">
        <v>4</v>
      </c>
      <c r="D257">
        <v>6</v>
      </c>
      <c r="E257">
        <f>7+(2/16)</f>
        <v>7.125</v>
      </c>
      <c r="F257" t="s">
        <v>1007</v>
      </c>
      <c r="G257" t="s">
        <v>874</v>
      </c>
      <c r="H257" s="6" t="s">
        <v>1071</v>
      </c>
      <c r="I257">
        <f t="shared" si="17"/>
        <v>171</v>
      </c>
      <c r="J257">
        <f t="shared" si="15"/>
        <v>77.564295270000002</v>
      </c>
      <c r="K257">
        <v>3.2</v>
      </c>
      <c r="L257">
        <f t="shared" si="16"/>
        <v>248.20574486400002</v>
      </c>
    </row>
    <row r="258" spans="1:12" x14ac:dyDescent="0.2">
      <c r="A258" s="4">
        <v>43487</v>
      </c>
      <c r="B258" t="s">
        <v>48</v>
      </c>
      <c r="C258" s="28">
        <v>1</v>
      </c>
      <c r="D258" s="6">
        <v>1</v>
      </c>
      <c r="E258">
        <f>12*4</f>
        <v>48</v>
      </c>
      <c r="F258" t="s">
        <v>336</v>
      </c>
      <c r="G258" t="s">
        <v>185</v>
      </c>
      <c r="H258" s="6" t="s">
        <v>1071</v>
      </c>
      <c r="I258">
        <f t="shared" si="17"/>
        <v>48</v>
      </c>
      <c r="J258">
        <f t="shared" si="15"/>
        <v>21.772433760000002</v>
      </c>
      <c r="K258">
        <v>0.33200000000000002</v>
      </c>
      <c r="L258">
        <f t="shared" si="16"/>
        <v>7.2284480083200009</v>
      </c>
    </row>
    <row r="259" spans="1:12" x14ac:dyDescent="0.2">
      <c r="A259" s="4">
        <v>43483</v>
      </c>
      <c r="B259" t="s">
        <v>538</v>
      </c>
      <c r="C259">
        <v>1</v>
      </c>
      <c r="D259">
        <v>1</v>
      </c>
      <c r="E259">
        <v>20</v>
      </c>
      <c r="F259" t="s">
        <v>656</v>
      </c>
      <c r="G259" t="s">
        <v>973</v>
      </c>
      <c r="H259" s="6" t="s">
        <v>1071</v>
      </c>
      <c r="I259">
        <f t="shared" si="17"/>
        <v>20</v>
      </c>
      <c r="J259">
        <f t="shared" ref="J259:J322" si="18">CONVERT(I259,"lbm","kg")</f>
        <v>9.0718474000000011</v>
      </c>
      <c r="K259">
        <v>1.88</v>
      </c>
      <c r="L259">
        <f t="shared" ref="L259:L322" si="19">K259*J259</f>
        <v>17.055073112000002</v>
      </c>
    </row>
    <row r="260" spans="1:12" x14ac:dyDescent="0.2">
      <c r="A260" s="4">
        <v>43486</v>
      </c>
      <c r="B260" t="s">
        <v>48</v>
      </c>
      <c r="C260" s="28">
        <v>1</v>
      </c>
      <c r="D260" s="6">
        <v>1</v>
      </c>
      <c r="E260">
        <v>12</v>
      </c>
      <c r="F260" t="s">
        <v>488</v>
      </c>
      <c r="G260" t="s">
        <v>787</v>
      </c>
      <c r="H260" s="6" t="s">
        <v>1071</v>
      </c>
      <c r="I260">
        <f t="shared" si="17"/>
        <v>12</v>
      </c>
      <c r="J260">
        <f t="shared" si="18"/>
        <v>5.4431084400000005</v>
      </c>
      <c r="K260">
        <v>0.22</v>
      </c>
      <c r="L260">
        <f t="shared" si="19"/>
        <v>1.1974838568000001</v>
      </c>
    </row>
    <row r="261" spans="1:12" x14ac:dyDescent="0.2">
      <c r="A261" s="4">
        <v>43487</v>
      </c>
      <c r="B261" t="s">
        <v>48</v>
      </c>
      <c r="C261" s="28">
        <v>2</v>
      </c>
      <c r="D261" s="6">
        <v>1</v>
      </c>
      <c r="E261">
        <v>12</v>
      </c>
      <c r="F261" t="s">
        <v>488</v>
      </c>
      <c r="G261" t="s">
        <v>787</v>
      </c>
      <c r="H261" s="6" t="s">
        <v>1071</v>
      </c>
      <c r="I261">
        <f t="shared" si="17"/>
        <v>24</v>
      </c>
      <c r="J261">
        <f t="shared" si="18"/>
        <v>10.886216880000001</v>
      </c>
      <c r="K261">
        <v>0.22</v>
      </c>
      <c r="L261">
        <f t="shared" si="19"/>
        <v>2.3949677136000003</v>
      </c>
    </row>
    <row r="262" spans="1:12" x14ac:dyDescent="0.2">
      <c r="A262" s="4">
        <v>43489</v>
      </c>
      <c r="B262" t="s">
        <v>48</v>
      </c>
      <c r="C262" s="28">
        <v>2</v>
      </c>
      <c r="D262" s="6">
        <v>1</v>
      </c>
      <c r="E262">
        <v>12</v>
      </c>
      <c r="F262" t="s">
        <v>488</v>
      </c>
      <c r="G262" t="s">
        <v>787</v>
      </c>
      <c r="H262" s="6" t="s">
        <v>1071</v>
      </c>
      <c r="I262">
        <f t="shared" si="17"/>
        <v>24</v>
      </c>
      <c r="J262">
        <f t="shared" si="18"/>
        <v>10.886216880000001</v>
      </c>
      <c r="K262">
        <v>0.22</v>
      </c>
      <c r="L262">
        <f t="shared" si="19"/>
        <v>2.3949677136000003</v>
      </c>
    </row>
    <row r="263" spans="1:12" x14ac:dyDescent="0.2">
      <c r="A263" s="4">
        <v>43488</v>
      </c>
      <c r="B263" t="s">
        <v>48</v>
      </c>
      <c r="C263" s="28">
        <v>2</v>
      </c>
      <c r="D263" s="6">
        <v>1</v>
      </c>
      <c r="E263">
        <v>12</v>
      </c>
      <c r="F263" t="s">
        <v>488</v>
      </c>
      <c r="G263" t="s">
        <v>787</v>
      </c>
      <c r="H263" s="6" t="s">
        <v>1071</v>
      </c>
      <c r="I263">
        <f t="shared" si="17"/>
        <v>24</v>
      </c>
      <c r="J263">
        <f t="shared" si="18"/>
        <v>10.886216880000001</v>
      </c>
      <c r="K263">
        <v>0.22</v>
      </c>
      <c r="L263">
        <f t="shared" si="19"/>
        <v>2.3949677136000003</v>
      </c>
    </row>
    <row r="264" spans="1:12" x14ac:dyDescent="0.2">
      <c r="A264" s="4">
        <v>43488</v>
      </c>
      <c r="B264" t="s">
        <v>48</v>
      </c>
      <c r="C264" s="28">
        <v>1</v>
      </c>
      <c r="D264" s="6">
        <v>1</v>
      </c>
      <c r="E264">
        <v>10</v>
      </c>
      <c r="F264" t="s">
        <v>310</v>
      </c>
      <c r="G264" t="s">
        <v>787</v>
      </c>
      <c r="H264" s="6" t="s">
        <v>1071</v>
      </c>
      <c r="I264">
        <f t="shared" si="17"/>
        <v>10</v>
      </c>
      <c r="J264">
        <f t="shared" si="18"/>
        <v>4.5359237000000006</v>
      </c>
      <c r="K264">
        <v>0.22</v>
      </c>
      <c r="L264">
        <f t="shared" si="19"/>
        <v>0.99790321400000015</v>
      </c>
    </row>
    <row r="265" spans="1:12" x14ac:dyDescent="0.2">
      <c r="A265" s="4">
        <v>43484</v>
      </c>
      <c r="B265" t="s">
        <v>48</v>
      </c>
      <c r="C265" s="28">
        <v>1</v>
      </c>
      <c r="D265" s="6">
        <v>1</v>
      </c>
      <c r="E265">
        <v>10</v>
      </c>
      <c r="F265" t="s">
        <v>310</v>
      </c>
      <c r="G265" t="s">
        <v>787</v>
      </c>
      <c r="H265" s="6" t="s">
        <v>1071</v>
      </c>
      <c r="I265">
        <f t="shared" si="17"/>
        <v>10</v>
      </c>
      <c r="J265">
        <f t="shared" si="18"/>
        <v>4.5359237000000006</v>
      </c>
      <c r="K265">
        <v>0.22</v>
      </c>
      <c r="L265">
        <f t="shared" si="19"/>
        <v>0.99790321400000015</v>
      </c>
    </row>
    <row r="266" spans="1:12" x14ac:dyDescent="0.2">
      <c r="A266" s="4">
        <v>43483</v>
      </c>
      <c r="B266" t="s">
        <v>48</v>
      </c>
      <c r="C266" s="28">
        <v>2</v>
      </c>
      <c r="D266" s="6">
        <v>1</v>
      </c>
      <c r="E266">
        <v>12</v>
      </c>
      <c r="F266" t="s">
        <v>488</v>
      </c>
      <c r="G266" t="s">
        <v>787</v>
      </c>
      <c r="H266" s="6" t="s">
        <v>1071</v>
      </c>
      <c r="I266">
        <f t="shared" si="17"/>
        <v>24</v>
      </c>
      <c r="J266">
        <f t="shared" si="18"/>
        <v>10.886216880000001</v>
      </c>
      <c r="K266">
        <v>0.22</v>
      </c>
      <c r="L266">
        <f t="shared" si="19"/>
        <v>2.3949677136000003</v>
      </c>
    </row>
    <row r="267" spans="1:12" x14ac:dyDescent="0.2">
      <c r="A267" s="4">
        <v>43483</v>
      </c>
      <c r="B267" t="s">
        <v>48</v>
      </c>
      <c r="C267" s="28">
        <v>1</v>
      </c>
      <c r="D267" s="6">
        <v>1</v>
      </c>
      <c r="E267">
        <v>10</v>
      </c>
      <c r="F267" t="s">
        <v>310</v>
      </c>
      <c r="G267" t="s">
        <v>787</v>
      </c>
      <c r="H267" s="6" t="s">
        <v>1071</v>
      </c>
      <c r="I267">
        <f t="shared" si="17"/>
        <v>10</v>
      </c>
      <c r="J267">
        <f t="shared" si="18"/>
        <v>4.5359237000000006</v>
      </c>
      <c r="K267">
        <v>0.22</v>
      </c>
      <c r="L267">
        <f t="shared" si="19"/>
        <v>0.99790321400000015</v>
      </c>
    </row>
    <row r="268" spans="1:12" x14ac:dyDescent="0.2">
      <c r="A268" s="4">
        <v>43486</v>
      </c>
      <c r="B268" t="s">
        <v>48</v>
      </c>
      <c r="C268" s="28">
        <v>1</v>
      </c>
      <c r="D268" s="6">
        <v>1</v>
      </c>
      <c r="E268">
        <f>12*4</f>
        <v>48</v>
      </c>
      <c r="F268" t="s">
        <v>622</v>
      </c>
      <c r="G268" t="s">
        <v>101</v>
      </c>
      <c r="H268" s="6" t="s">
        <v>1071</v>
      </c>
      <c r="I268">
        <f t="shared" si="17"/>
        <v>48</v>
      </c>
      <c r="J268">
        <f t="shared" si="18"/>
        <v>21.772433760000002</v>
      </c>
      <c r="K268">
        <v>1.9430000000000001</v>
      </c>
      <c r="L268">
        <f t="shared" si="19"/>
        <v>42.303838795680008</v>
      </c>
    </row>
    <row r="269" spans="1:12" x14ac:dyDescent="0.2">
      <c r="A269" s="4">
        <v>43483</v>
      </c>
      <c r="B269" t="s">
        <v>517</v>
      </c>
      <c r="C269">
        <v>1</v>
      </c>
      <c r="D269">
        <v>6</v>
      </c>
      <c r="E269">
        <v>5</v>
      </c>
      <c r="F269" t="s">
        <v>646</v>
      </c>
      <c r="G269" s="14" t="s">
        <v>926</v>
      </c>
      <c r="H269" s="6" t="s">
        <v>1071</v>
      </c>
      <c r="I269">
        <f t="shared" si="17"/>
        <v>30</v>
      </c>
      <c r="J269">
        <f t="shared" si="18"/>
        <v>13.607771100000001</v>
      </c>
      <c r="L269">
        <f t="shared" si="19"/>
        <v>0</v>
      </c>
    </row>
    <row r="270" spans="1:12" x14ac:dyDescent="0.2">
      <c r="A270" s="4">
        <v>43488</v>
      </c>
      <c r="B270" t="s">
        <v>38</v>
      </c>
      <c r="C270">
        <v>2</v>
      </c>
      <c r="D270" s="6">
        <v>1</v>
      </c>
      <c r="E270">
        <f t="shared" ref="E270:E278" si="20">8.6*5</f>
        <v>43</v>
      </c>
      <c r="F270" s="9" t="s">
        <v>608</v>
      </c>
      <c r="G270" s="9" t="s">
        <v>774</v>
      </c>
      <c r="H270" s="6" t="s">
        <v>1073</v>
      </c>
      <c r="I270">
        <f t="shared" si="17"/>
        <v>86</v>
      </c>
      <c r="J270">
        <f t="shared" si="18"/>
        <v>39.008943819999999</v>
      </c>
      <c r="K270">
        <v>1.23</v>
      </c>
      <c r="L270">
        <f t="shared" si="19"/>
        <v>47.981000898600001</v>
      </c>
    </row>
    <row r="271" spans="1:12" x14ac:dyDescent="0.2">
      <c r="A271" s="4">
        <v>43488</v>
      </c>
      <c r="B271" t="s">
        <v>38</v>
      </c>
      <c r="C271">
        <v>5</v>
      </c>
      <c r="D271" s="6">
        <v>1</v>
      </c>
      <c r="E271">
        <f t="shared" si="20"/>
        <v>43</v>
      </c>
      <c r="F271" s="9" t="s">
        <v>609</v>
      </c>
      <c r="G271" s="9" t="s">
        <v>774</v>
      </c>
      <c r="H271" s="6" t="s">
        <v>1073</v>
      </c>
      <c r="I271">
        <f t="shared" si="17"/>
        <v>215</v>
      </c>
      <c r="J271">
        <f t="shared" si="18"/>
        <v>97.522359550000004</v>
      </c>
      <c r="K271">
        <v>1.23</v>
      </c>
      <c r="L271">
        <f t="shared" si="19"/>
        <v>119.9525022465</v>
      </c>
    </row>
    <row r="272" spans="1:12" x14ac:dyDescent="0.2">
      <c r="A272" s="4">
        <v>43489</v>
      </c>
      <c r="B272" t="s">
        <v>38</v>
      </c>
      <c r="C272">
        <v>5</v>
      </c>
      <c r="D272" s="6">
        <v>1</v>
      </c>
      <c r="E272">
        <f t="shared" si="20"/>
        <v>43</v>
      </c>
      <c r="F272" s="9" t="s">
        <v>608</v>
      </c>
      <c r="G272" s="9" t="s">
        <v>774</v>
      </c>
      <c r="H272" s="6" t="s">
        <v>1073</v>
      </c>
      <c r="I272">
        <f t="shared" si="17"/>
        <v>215</v>
      </c>
      <c r="J272">
        <f t="shared" si="18"/>
        <v>97.522359550000004</v>
      </c>
      <c r="K272">
        <v>1.23</v>
      </c>
      <c r="L272">
        <f t="shared" si="19"/>
        <v>119.9525022465</v>
      </c>
    </row>
    <row r="273" spans="1:13" x14ac:dyDescent="0.2">
      <c r="A273" s="4">
        <v>43489</v>
      </c>
      <c r="B273" t="s">
        <v>38</v>
      </c>
      <c r="C273">
        <v>4</v>
      </c>
      <c r="D273" s="6">
        <v>1</v>
      </c>
      <c r="E273">
        <f t="shared" si="20"/>
        <v>43</v>
      </c>
      <c r="F273" s="9" t="s">
        <v>609</v>
      </c>
      <c r="G273" s="9" t="s">
        <v>774</v>
      </c>
      <c r="H273" s="6" t="s">
        <v>1073</v>
      </c>
      <c r="I273">
        <f t="shared" si="17"/>
        <v>172</v>
      </c>
      <c r="J273">
        <f t="shared" si="18"/>
        <v>78.017887639999998</v>
      </c>
      <c r="K273">
        <v>1.23</v>
      </c>
      <c r="L273">
        <f t="shared" si="19"/>
        <v>95.962001797200003</v>
      </c>
    </row>
    <row r="274" spans="1:13" x14ac:dyDescent="0.2">
      <c r="A274" s="4">
        <v>43489</v>
      </c>
      <c r="B274" t="s">
        <v>38</v>
      </c>
      <c r="C274">
        <v>2</v>
      </c>
      <c r="D274" s="6">
        <v>1</v>
      </c>
      <c r="E274">
        <f t="shared" si="20"/>
        <v>43</v>
      </c>
      <c r="F274" s="9" t="s">
        <v>611</v>
      </c>
      <c r="G274" s="9" t="s">
        <v>774</v>
      </c>
      <c r="H274" s="6" t="s">
        <v>1073</v>
      </c>
      <c r="I274">
        <f t="shared" si="17"/>
        <v>86</v>
      </c>
      <c r="J274">
        <f t="shared" si="18"/>
        <v>39.008943819999999</v>
      </c>
      <c r="K274">
        <v>1.23</v>
      </c>
      <c r="L274">
        <f t="shared" si="19"/>
        <v>47.981000898600001</v>
      </c>
    </row>
    <row r="275" spans="1:13" x14ac:dyDescent="0.2">
      <c r="A275" s="4">
        <v>43489</v>
      </c>
      <c r="B275" t="s">
        <v>38</v>
      </c>
      <c r="C275">
        <v>8</v>
      </c>
      <c r="D275" s="6">
        <v>1</v>
      </c>
      <c r="E275">
        <f t="shared" si="20"/>
        <v>43</v>
      </c>
      <c r="F275" s="9" t="s">
        <v>612</v>
      </c>
      <c r="G275" s="9" t="s">
        <v>774</v>
      </c>
      <c r="H275" s="6" t="s">
        <v>1073</v>
      </c>
      <c r="I275">
        <f t="shared" si="17"/>
        <v>344</v>
      </c>
      <c r="J275">
        <f t="shared" si="18"/>
        <v>156.03577528</v>
      </c>
      <c r="K275">
        <v>1.23</v>
      </c>
      <c r="L275">
        <f t="shared" si="19"/>
        <v>191.92400359440001</v>
      </c>
    </row>
    <row r="276" spans="1:13" x14ac:dyDescent="0.2">
      <c r="A276" s="4">
        <v>43483</v>
      </c>
      <c r="B276" t="s">
        <v>38</v>
      </c>
      <c r="C276">
        <v>4</v>
      </c>
      <c r="D276" s="6">
        <v>1</v>
      </c>
      <c r="E276">
        <f t="shared" si="20"/>
        <v>43</v>
      </c>
      <c r="F276" s="9" t="s">
        <v>608</v>
      </c>
      <c r="G276" s="9" t="s">
        <v>774</v>
      </c>
      <c r="H276" s="6" t="s">
        <v>1073</v>
      </c>
      <c r="I276">
        <f t="shared" si="17"/>
        <v>172</v>
      </c>
      <c r="J276">
        <f t="shared" si="18"/>
        <v>78.017887639999998</v>
      </c>
      <c r="K276">
        <v>1.23</v>
      </c>
      <c r="L276">
        <f t="shared" si="19"/>
        <v>95.962001797200003</v>
      </c>
    </row>
    <row r="277" spans="1:13" x14ac:dyDescent="0.2">
      <c r="A277" s="4">
        <v>43483</v>
      </c>
      <c r="B277" t="s">
        <v>38</v>
      </c>
      <c r="C277">
        <v>5</v>
      </c>
      <c r="D277" s="6">
        <v>1</v>
      </c>
      <c r="E277">
        <f t="shared" si="20"/>
        <v>43</v>
      </c>
      <c r="F277" s="9" t="s">
        <v>609</v>
      </c>
      <c r="G277" s="9" t="s">
        <v>774</v>
      </c>
      <c r="H277" s="6" t="s">
        <v>1073</v>
      </c>
      <c r="I277">
        <f t="shared" si="17"/>
        <v>215</v>
      </c>
      <c r="J277">
        <f t="shared" si="18"/>
        <v>97.522359550000004</v>
      </c>
      <c r="K277">
        <v>1.23</v>
      </c>
      <c r="L277">
        <f t="shared" si="19"/>
        <v>119.9525022465</v>
      </c>
    </row>
    <row r="278" spans="1:13" x14ac:dyDescent="0.2">
      <c r="A278" s="4">
        <v>43483</v>
      </c>
      <c r="B278" t="s">
        <v>38</v>
      </c>
      <c r="C278">
        <v>2</v>
      </c>
      <c r="D278" s="6">
        <v>1</v>
      </c>
      <c r="E278">
        <f t="shared" si="20"/>
        <v>43</v>
      </c>
      <c r="F278" s="9" t="s">
        <v>611</v>
      </c>
      <c r="G278" s="9" t="s">
        <v>774</v>
      </c>
      <c r="H278" s="6" t="s">
        <v>1073</v>
      </c>
      <c r="I278">
        <f t="shared" si="17"/>
        <v>86</v>
      </c>
      <c r="J278">
        <f t="shared" si="18"/>
        <v>39.008943819999999</v>
      </c>
      <c r="K278">
        <v>1.23</v>
      </c>
      <c r="L278">
        <f t="shared" si="19"/>
        <v>47.981000898600001</v>
      </c>
      <c r="M278" s="6"/>
    </row>
    <row r="279" spans="1:13" x14ac:dyDescent="0.2">
      <c r="A279" s="4">
        <v>43483</v>
      </c>
      <c r="B279" t="s">
        <v>38</v>
      </c>
      <c r="C279">
        <v>2</v>
      </c>
      <c r="D279" s="6">
        <v>1</v>
      </c>
      <c r="E279">
        <f>8.6</f>
        <v>8.6</v>
      </c>
      <c r="F279" s="9" t="s">
        <v>613</v>
      </c>
      <c r="G279" s="9" t="s">
        <v>774</v>
      </c>
      <c r="H279" s="6" t="s">
        <v>1073</v>
      </c>
      <c r="I279">
        <f t="shared" si="17"/>
        <v>17.2</v>
      </c>
      <c r="J279">
        <f t="shared" si="18"/>
        <v>7.8017887640000003</v>
      </c>
      <c r="K279">
        <v>1.23</v>
      </c>
      <c r="L279">
        <f t="shared" si="19"/>
        <v>9.5962001797200003</v>
      </c>
    </row>
    <row r="280" spans="1:13" x14ac:dyDescent="0.2">
      <c r="A280" s="4">
        <v>43483</v>
      </c>
      <c r="B280" t="s">
        <v>517</v>
      </c>
      <c r="C280">
        <v>1</v>
      </c>
      <c r="D280">
        <v>20</v>
      </c>
      <c r="E280">
        <f>8/16</f>
        <v>0.5</v>
      </c>
      <c r="F280" t="s">
        <v>465</v>
      </c>
      <c r="G280" t="s">
        <v>842</v>
      </c>
      <c r="H280" s="6" t="s">
        <v>1073</v>
      </c>
      <c r="I280">
        <f t="shared" si="17"/>
        <v>10</v>
      </c>
      <c r="J280">
        <f t="shared" si="18"/>
        <v>4.5359237000000006</v>
      </c>
      <c r="K280">
        <v>1.23</v>
      </c>
      <c r="L280">
        <f t="shared" si="19"/>
        <v>5.5791861510000009</v>
      </c>
    </row>
    <row r="281" spans="1:13" x14ac:dyDescent="0.2">
      <c r="A281" s="4">
        <v>43486</v>
      </c>
      <c r="B281" t="s">
        <v>517</v>
      </c>
      <c r="C281">
        <v>2</v>
      </c>
      <c r="D281">
        <v>20</v>
      </c>
      <c r="E281">
        <f>8/16</f>
        <v>0.5</v>
      </c>
      <c r="F281" t="s">
        <v>465</v>
      </c>
      <c r="G281" t="s">
        <v>842</v>
      </c>
      <c r="H281" s="6" t="s">
        <v>1073</v>
      </c>
      <c r="I281">
        <f t="shared" si="17"/>
        <v>20</v>
      </c>
      <c r="J281">
        <f t="shared" si="18"/>
        <v>9.0718474000000011</v>
      </c>
      <c r="K281">
        <v>1.23</v>
      </c>
      <c r="L281">
        <f t="shared" si="19"/>
        <v>11.158372302000002</v>
      </c>
    </row>
    <row r="282" spans="1:13" x14ac:dyDescent="0.2">
      <c r="A282" s="4">
        <v>43488</v>
      </c>
      <c r="B282" t="s">
        <v>517</v>
      </c>
      <c r="C282">
        <v>2</v>
      </c>
      <c r="D282">
        <v>20</v>
      </c>
      <c r="E282">
        <f>8/16</f>
        <v>0.5</v>
      </c>
      <c r="F282" t="s">
        <v>465</v>
      </c>
      <c r="G282" t="s">
        <v>842</v>
      </c>
      <c r="H282" s="6" t="s">
        <v>1073</v>
      </c>
      <c r="I282">
        <f t="shared" si="17"/>
        <v>20</v>
      </c>
      <c r="J282">
        <f t="shared" si="18"/>
        <v>9.0718474000000011</v>
      </c>
      <c r="K282">
        <v>1.23</v>
      </c>
      <c r="L282">
        <f t="shared" si="19"/>
        <v>11.158372302000002</v>
      </c>
    </row>
    <row r="283" spans="1:13" x14ac:dyDescent="0.2">
      <c r="A283" s="4">
        <v>43483</v>
      </c>
      <c r="B283" t="s">
        <v>538</v>
      </c>
      <c r="C283">
        <v>1</v>
      </c>
      <c r="D283">
        <v>4</v>
      </c>
      <c r="E283">
        <f>11.89</f>
        <v>11.89</v>
      </c>
      <c r="F283" t="s">
        <v>547</v>
      </c>
      <c r="G283" t="s">
        <v>975</v>
      </c>
      <c r="H283" s="6" t="s">
        <v>1071</v>
      </c>
      <c r="I283">
        <f t="shared" si="17"/>
        <v>47.56</v>
      </c>
      <c r="J283">
        <f t="shared" si="18"/>
        <v>21.572853117200001</v>
      </c>
      <c r="K283">
        <v>0.48799999999999999</v>
      </c>
      <c r="L283">
        <f t="shared" si="19"/>
        <v>10.5275523211936</v>
      </c>
    </row>
    <row r="284" spans="1:13" x14ac:dyDescent="0.2">
      <c r="A284" s="4">
        <v>43486</v>
      </c>
      <c r="B284" t="s">
        <v>538</v>
      </c>
      <c r="C284">
        <v>1</v>
      </c>
      <c r="D284">
        <v>4</v>
      </c>
      <c r="E284">
        <f>11.89</f>
        <v>11.89</v>
      </c>
      <c r="F284" t="s">
        <v>547</v>
      </c>
      <c r="G284" t="s">
        <v>975</v>
      </c>
      <c r="H284" s="6" t="s">
        <v>1071</v>
      </c>
      <c r="I284">
        <f t="shared" si="17"/>
        <v>47.56</v>
      </c>
      <c r="J284">
        <f t="shared" si="18"/>
        <v>21.572853117200001</v>
      </c>
      <c r="K284">
        <v>0.48799999999999999</v>
      </c>
      <c r="L284">
        <f t="shared" si="19"/>
        <v>10.5275523211936</v>
      </c>
    </row>
    <row r="285" spans="1:13" x14ac:dyDescent="0.2">
      <c r="A285" s="4">
        <v>43486</v>
      </c>
      <c r="B285" t="s">
        <v>48</v>
      </c>
      <c r="C285" s="28">
        <v>5</v>
      </c>
      <c r="D285" s="6">
        <v>1</v>
      </c>
      <c r="E285">
        <v>5</v>
      </c>
      <c r="F285" t="s">
        <v>313</v>
      </c>
      <c r="G285" t="s">
        <v>313</v>
      </c>
      <c r="H285" s="6" t="s">
        <v>1071</v>
      </c>
      <c r="I285">
        <f t="shared" si="17"/>
        <v>25</v>
      </c>
      <c r="J285">
        <f t="shared" si="18"/>
        <v>11.33980925</v>
      </c>
      <c r="K285">
        <v>3.093</v>
      </c>
      <c r="L285">
        <f t="shared" si="19"/>
        <v>35.074030010249999</v>
      </c>
    </row>
    <row r="286" spans="1:13" x14ac:dyDescent="0.2">
      <c r="A286" s="4">
        <v>43487</v>
      </c>
      <c r="B286" t="s">
        <v>48</v>
      </c>
      <c r="C286" s="28">
        <v>4</v>
      </c>
      <c r="D286" s="6">
        <v>1</v>
      </c>
      <c r="E286">
        <v>5</v>
      </c>
      <c r="F286" t="s">
        <v>626</v>
      </c>
      <c r="G286" t="s">
        <v>313</v>
      </c>
      <c r="H286" s="6" t="s">
        <v>1071</v>
      </c>
      <c r="I286">
        <f t="shared" si="17"/>
        <v>20</v>
      </c>
      <c r="J286">
        <f t="shared" si="18"/>
        <v>9.0718474000000011</v>
      </c>
      <c r="K286">
        <v>3.093</v>
      </c>
      <c r="L286">
        <f t="shared" si="19"/>
        <v>28.059224008200005</v>
      </c>
    </row>
    <row r="287" spans="1:13" x14ac:dyDescent="0.2">
      <c r="A287" s="4">
        <v>43489</v>
      </c>
      <c r="B287" t="s">
        <v>48</v>
      </c>
      <c r="C287" s="28">
        <v>2</v>
      </c>
      <c r="D287" s="6">
        <v>1</v>
      </c>
      <c r="E287">
        <v>10</v>
      </c>
      <c r="F287" t="s">
        <v>313</v>
      </c>
      <c r="G287" t="s">
        <v>313</v>
      </c>
      <c r="H287" s="6" t="s">
        <v>1071</v>
      </c>
      <c r="I287">
        <f t="shared" si="17"/>
        <v>20</v>
      </c>
      <c r="J287">
        <f t="shared" si="18"/>
        <v>9.0718474000000011</v>
      </c>
      <c r="K287">
        <v>3.093</v>
      </c>
      <c r="L287">
        <f t="shared" si="19"/>
        <v>28.059224008200005</v>
      </c>
    </row>
    <row r="288" spans="1:13" x14ac:dyDescent="0.2">
      <c r="A288" s="4">
        <v>43488</v>
      </c>
      <c r="B288" t="s">
        <v>48</v>
      </c>
      <c r="C288" s="28">
        <v>8</v>
      </c>
      <c r="D288" s="6">
        <v>1</v>
      </c>
      <c r="E288">
        <v>5</v>
      </c>
      <c r="F288" t="s">
        <v>313</v>
      </c>
      <c r="G288" t="s">
        <v>313</v>
      </c>
      <c r="H288" s="6" t="s">
        <v>1071</v>
      </c>
      <c r="I288">
        <f t="shared" si="17"/>
        <v>40</v>
      </c>
      <c r="J288">
        <f t="shared" si="18"/>
        <v>18.143694800000002</v>
      </c>
      <c r="K288">
        <v>3.093</v>
      </c>
      <c r="L288">
        <f t="shared" si="19"/>
        <v>56.118448016400009</v>
      </c>
    </row>
    <row r="289" spans="1:12" x14ac:dyDescent="0.2">
      <c r="A289" s="4">
        <v>43484</v>
      </c>
      <c r="B289" t="s">
        <v>48</v>
      </c>
      <c r="C289" s="28">
        <v>4</v>
      </c>
      <c r="D289" s="6">
        <v>1</v>
      </c>
      <c r="E289">
        <v>5</v>
      </c>
      <c r="F289" t="s">
        <v>313</v>
      </c>
      <c r="G289" t="s">
        <v>313</v>
      </c>
      <c r="H289" s="6" t="s">
        <v>1071</v>
      </c>
      <c r="I289">
        <f t="shared" si="17"/>
        <v>20</v>
      </c>
      <c r="J289">
        <f t="shared" si="18"/>
        <v>9.0718474000000011</v>
      </c>
      <c r="K289">
        <v>3.093</v>
      </c>
      <c r="L289">
        <f t="shared" si="19"/>
        <v>28.059224008200005</v>
      </c>
    </row>
    <row r="290" spans="1:12" x14ac:dyDescent="0.2">
      <c r="A290" s="4">
        <v>43484</v>
      </c>
      <c r="B290" t="s">
        <v>48</v>
      </c>
      <c r="C290" s="28">
        <v>6</v>
      </c>
      <c r="D290" s="6">
        <v>1</v>
      </c>
      <c r="E290">
        <v>5</v>
      </c>
      <c r="F290" t="s">
        <v>313</v>
      </c>
      <c r="G290" t="s">
        <v>313</v>
      </c>
      <c r="H290" s="6" t="s">
        <v>1071</v>
      </c>
      <c r="I290">
        <f t="shared" si="17"/>
        <v>30</v>
      </c>
      <c r="J290">
        <f t="shared" si="18"/>
        <v>13.607771100000001</v>
      </c>
      <c r="K290">
        <v>3.093</v>
      </c>
      <c r="L290">
        <f t="shared" si="19"/>
        <v>42.0888360123</v>
      </c>
    </row>
    <row r="291" spans="1:12" x14ac:dyDescent="0.2">
      <c r="A291" s="4">
        <v>43484</v>
      </c>
      <c r="B291" t="s">
        <v>48</v>
      </c>
      <c r="C291" s="28">
        <v>5</v>
      </c>
      <c r="D291" s="6">
        <v>1</v>
      </c>
      <c r="E291">
        <v>5</v>
      </c>
      <c r="F291" t="s">
        <v>626</v>
      </c>
      <c r="G291" t="s">
        <v>313</v>
      </c>
      <c r="H291" s="6" t="s">
        <v>1071</v>
      </c>
      <c r="I291">
        <f t="shared" si="17"/>
        <v>25</v>
      </c>
      <c r="J291">
        <f t="shared" si="18"/>
        <v>11.33980925</v>
      </c>
      <c r="K291">
        <v>3.093</v>
      </c>
      <c r="L291">
        <f t="shared" si="19"/>
        <v>35.074030010249999</v>
      </c>
    </row>
    <row r="292" spans="1:12" x14ac:dyDescent="0.2">
      <c r="A292" s="4">
        <v>43483</v>
      </c>
      <c r="B292" t="s">
        <v>48</v>
      </c>
      <c r="C292" s="28">
        <v>4</v>
      </c>
      <c r="D292" s="6">
        <v>1</v>
      </c>
      <c r="E292">
        <v>5</v>
      </c>
      <c r="F292" t="s">
        <v>313</v>
      </c>
      <c r="G292" t="s">
        <v>313</v>
      </c>
      <c r="H292" s="6" t="s">
        <v>1071</v>
      </c>
      <c r="I292">
        <f t="shared" si="17"/>
        <v>20</v>
      </c>
      <c r="J292">
        <f t="shared" si="18"/>
        <v>9.0718474000000011</v>
      </c>
      <c r="K292">
        <v>3.093</v>
      </c>
      <c r="L292">
        <f t="shared" si="19"/>
        <v>28.059224008200005</v>
      </c>
    </row>
    <row r="293" spans="1:12" x14ac:dyDescent="0.2">
      <c r="A293" s="4">
        <v>43483</v>
      </c>
      <c r="B293" t="s">
        <v>48</v>
      </c>
      <c r="C293" s="28">
        <v>10</v>
      </c>
      <c r="D293" s="6">
        <v>1</v>
      </c>
      <c r="E293">
        <v>5</v>
      </c>
      <c r="F293" t="s">
        <v>313</v>
      </c>
      <c r="G293" t="s">
        <v>313</v>
      </c>
      <c r="H293" s="6" t="s">
        <v>1071</v>
      </c>
      <c r="I293">
        <f t="shared" si="17"/>
        <v>50</v>
      </c>
      <c r="J293">
        <f t="shared" si="18"/>
        <v>22.6796185</v>
      </c>
      <c r="K293">
        <v>3.093</v>
      </c>
      <c r="L293">
        <f t="shared" si="19"/>
        <v>70.148060020499997</v>
      </c>
    </row>
    <row r="294" spans="1:12" x14ac:dyDescent="0.2">
      <c r="A294" s="4">
        <v>43486</v>
      </c>
      <c r="B294" t="s">
        <v>538</v>
      </c>
      <c r="C294">
        <v>6</v>
      </c>
      <c r="D294">
        <v>6</v>
      </c>
      <c r="E294">
        <v>10</v>
      </c>
      <c r="F294" t="s">
        <v>682</v>
      </c>
      <c r="G294" t="s">
        <v>876</v>
      </c>
      <c r="H294" s="6" t="s">
        <v>1071</v>
      </c>
      <c r="I294">
        <f t="shared" si="17"/>
        <v>360</v>
      </c>
      <c r="J294">
        <f t="shared" si="18"/>
        <v>163.29325320000001</v>
      </c>
      <c r="K294" s="6">
        <v>5.99</v>
      </c>
      <c r="L294">
        <f t="shared" si="19"/>
        <v>978.12658666800007</v>
      </c>
    </row>
    <row r="295" spans="1:12" x14ac:dyDescent="0.2">
      <c r="A295" s="4">
        <v>43486</v>
      </c>
      <c r="B295" t="s">
        <v>538</v>
      </c>
      <c r="C295">
        <v>3</v>
      </c>
      <c r="D295">
        <v>4</v>
      </c>
      <c r="E295">
        <v>5</v>
      </c>
      <c r="F295" t="s">
        <v>586</v>
      </c>
      <c r="G295" t="s">
        <v>876</v>
      </c>
      <c r="H295" s="6" t="s">
        <v>1071</v>
      </c>
      <c r="I295">
        <f t="shared" si="17"/>
        <v>60</v>
      </c>
      <c r="J295">
        <f t="shared" si="18"/>
        <v>27.215542200000002</v>
      </c>
      <c r="K295" s="6">
        <v>5.99</v>
      </c>
      <c r="L295">
        <f t="shared" si="19"/>
        <v>163.02109777800001</v>
      </c>
    </row>
    <row r="296" spans="1:12" x14ac:dyDescent="0.2">
      <c r="A296" s="4">
        <v>43486</v>
      </c>
      <c r="B296" t="s">
        <v>538</v>
      </c>
      <c r="C296">
        <v>1</v>
      </c>
      <c r="D296">
        <v>6</v>
      </c>
      <c r="E296">
        <v>10</v>
      </c>
      <c r="F296" t="s">
        <v>445</v>
      </c>
      <c r="G296" t="s">
        <v>883</v>
      </c>
      <c r="H296" s="6" t="s">
        <v>1071</v>
      </c>
      <c r="I296">
        <f t="shared" si="17"/>
        <v>60</v>
      </c>
      <c r="J296">
        <f t="shared" si="18"/>
        <v>27.215542200000002</v>
      </c>
      <c r="K296">
        <v>0.48199999999999998</v>
      </c>
      <c r="L296">
        <f t="shared" si="19"/>
        <v>13.1178913404</v>
      </c>
    </row>
    <row r="297" spans="1:12" x14ac:dyDescent="0.2">
      <c r="A297" s="4">
        <v>43488</v>
      </c>
      <c r="B297" t="s">
        <v>538</v>
      </c>
      <c r="C297">
        <v>1</v>
      </c>
      <c r="D297">
        <v>6</v>
      </c>
      <c r="E297">
        <v>10</v>
      </c>
      <c r="F297" t="s">
        <v>445</v>
      </c>
      <c r="G297" t="s">
        <v>883</v>
      </c>
      <c r="H297" s="6" t="s">
        <v>1071</v>
      </c>
      <c r="I297">
        <f t="shared" si="17"/>
        <v>60</v>
      </c>
      <c r="J297">
        <f t="shared" si="18"/>
        <v>27.215542200000002</v>
      </c>
      <c r="K297">
        <v>0.48199999999999998</v>
      </c>
      <c r="L297">
        <f t="shared" si="19"/>
        <v>13.1178913404</v>
      </c>
    </row>
    <row r="298" spans="1:12" x14ac:dyDescent="0.2">
      <c r="A298" s="4">
        <v>43486</v>
      </c>
      <c r="B298" t="s">
        <v>48</v>
      </c>
      <c r="C298" s="28">
        <v>1</v>
      </c>
      <c r="D298" s="6">
        <v>1</v>
      </c>
      <c r="E298">
        <v>25</v>
      </c>
      <c r="F298" t="s">
        <v>340</v>
      </c>
      <c r="G298" t="s">
        <v>790</v>
      </c>
      <c r="H298" s="6" t="s">
        <v>1071</v>
      </c>
      <c r="I298">
        <f t="shared" si="17"/>
        <v>25</v>
      </c>
      <c r="J298">
        <f t="shared" si="18"/>
        <v>11.33980925</v>
      </c>
      <c r="K298">
        <v>0.26900000000000002</v>
      </c>
      <c r="L298">
        <f t="shared" si="19"/>
        <v>3.0504086882500001</v>
      </c>
    </row>
    <row r="299" spans="1:12" x14ac:dyDescent="0.2">
      <c r="A299" s="4">
        <v>43486</v>
      </c>
      <c r="B299" t="s">
        <v>48</v>
      </c>
      <c r="C299" s="28">
        <v>1</v>
      </c>
      <c r="D299" s="6">
        <v>1</v>
      </c>
      <c r="E299">
        <v>50</v>
      </c>
      <c r="F299" t="s">
        <v>315</v>
      </c>
      <c r="G299" t="s">
        <v>790</v>
      </c>
      <c r="H299" s="6" t="s">
        <v>1071</v>
      </c>
      <c r="I299">
        <f t="shared" si="17"/>
        <v>50</v>
      </c>
      <c r="J299">
        <f t="shared" si="18"/>
        <v>22.6796185</v>
      </c>
      <c r="K299">
        <v>0.26900000000000002</v>
      </c>
      <c r="L299">
        <f t="shared" si="19"/>
        <v>6.1008173765000002</v>
      </c>
    </row>
    <row r="300" spans="1:12" x14ac:dyDescent="0.2">
      <c r="A300" s="4">
        <v>43486</v>
      </c>
      <c r="B300" t="s">
        <v>48</v>
      </c>
      <c r="C300" s="28">
        <v>1</v>
      </c>
      <c r="D300" s="6">
        <v>1</v>
      </c>
      <c r="E300">
        <v>20</v>
      </c>
      <c r="F300" t="s">
        <v>326</v>
      </c>
      <c r="G300" t="s">
        <v>790</v>
      </c>
      <c r="H300" s="6" t="s">
        <v>1071</v>
      </c>
      <c r="I300">
        <f t="shared" si="17"/>
        <v>20</v>
      </c>
      <c r="J300">
        <f t="shared" si="18"/>
        <v>9.0718474000000011</v>
      </c>
      <c r="K300">
        <v>0.26900000000000002</v>
      </c>
      <c r="L300">
        <f t="shared" si="19"/>
        <v>2.4403269506000003</v>
      </c>
    </row>
    <row r="301" spans="1:12" x14ac:dyDescent="0.2">
      <c r="A301" s="4">
        <v>43489</v>
      </c>
      <c r="B301" t="s">
        <v>48</v>
      </c>
      <c r="C301" s="28">
        <v>1</v>
      </c>
      <c r="D301" s="6">
        <v>1</v>
      </c>
      <c r="E301">
        <v>50</v>
      </c>
      <c r="F301" t="s">
        <v>315</v>
      </c>
      <c r="G301" t="s">
        <v>790</v>
      </c>
      <c r="H301" s="6" t="s">
        <v>1071</v>
      </c>
      <c r="I301">
        <f t="shared" si="17"/>
        <v>50</v>
      </c>
      <c r="J301">
        <f t="shared" si="18"/>
        <v>22.6796185</v>
      </c>
      <c r="K301">
        <v>0.26900000000000002</v>
      </c>
      <c r="L301">
        <f t="shared" si="19"/>
        <v>6.1008173765000002</v>
      </c>
    </row>
    <row r="302" spans="1:12" x14ac:dyDescent="0.2">
      <c r="A302" s="4">
        <v>43489</v>
      </c>
      <c r="B302" t="s">
        <v>48</v>
      </c>
      <c r="C302" s="28">
        <v>1</v>
      </c>
      <c r="D302" s="6">
        <v>1</v>
      </c>
      <c r="E302">
        <v>20</v>
      </c>
      <c r="F302" t="s">
        <v>326</v>
      </c>
      <c r="G302" t="s">
        <v>790</v>
      </c>
      <c r="H302" s="6" t="s">
        <v>1071</v>
      </c>
      <c r="I302">
        <f t="shared" si="17"/>
        <v>20</v>
      </c>
      <c r="J302">
        <f t="shared" si="18"/>
        <v>9.0718474000000011</v>
      </c>
      <c r="K302">
        <v>0.26900000000000002</v>
      </c>
      <c r="L302">
        <f t="shared" si="19"/>
        <v>2.4403269506000003</v>
      </c>
    </row>
    <row r="303" spans="1:12" x14ac:dyDescent="0.2">
      <c r="A303" s="4">
        <v>43489</v>
      </c>
      <c r="B303" t="s">
        <v>48</v>
      </c>
      <c r="C303" s="28">
        <v>1</v>
      </c>
      <c r="D303" s="6">
        <v>1</v>
      </c>
      <c r="E303">
        <v>20</v>
      </c>
      <c r="F303" t="s">
        <v>326</v>
      </c>
      <c r="G303" t="s">
        <v>790</v>
      </c>
      <c r="H303" s="6" t="s">
        <v>1071</v>
      </c>
      <c r="I303">
        <f t="shared" si="17"/>
        <v>20</v>
      </c>
      <c r="J303">
        <f t="shared" si="18"/>
        <v>9.0718474000000011</v>
      </c>
      <c r="K303">
        <v>0.26900000000000002</v>
      </c>
      <c r="L303">
        <f t="shared" si="19"/>
        <v>2.4403269506000003</v>
      </c>
    </row>
    <row r="304" spans="1:12" x14ac:dyDescent="0.2">
      <c r="A304" s="4">
        <v>43488</v>
      </c>
      <c r="B304" t="s">
        <v>48</v>
      </c>
      <c r="C304" s="28">
        <v>2</v>
      </c>
      <c r="D304" s="6">
        <v>1</v>
      </c>
      <c r="E304">
        <v>25</v>
      </c>
      <c r="F304" t="s">
        <v>340</v>
      </c>
      <c r="G304" t="s">
        <v>790</v>
      </c>
      <c r="H304" s="6" t="s">
        <v>1071</v>
      </c>
      <c r="I304">
        <f t="shared" si="17"/>
        <v>50</v>
      </c>
      <c r="J304">
        <f t="shared" si="18"/>
        <v>22.6796185</v>
      </c>
      <c r="K304">
        <v>0.26900000000000002</v>
      </c>
      <c r="L304">
        <f t="shared" si="19"/>
        <v>6.1008173765000002</v>
      </c>
    </row>
    <row r="305" spans="1:12" x14ac:dyDescent="0.2">
      <c r="A305" s="4">
        <v>43488</v>
      </c>
      <c r="B305" t="s">
        <v>48</v>
      </c>
      <c r="C305" s="28">
        <v>2</v>
      </c>
      <c r="D305" s="6">
        <v>1</v>
      </c>
      <c r="E305">
        <v>50</v>
      </c>
      <c r="F305" t="s">
        <v>315</v>
      </c>
      <c r="G305" t="s">
        <v>790</v>
      </c>
      <c r="H305" s="6" t="s">
        <v>1071</v>
      </c>
      <c r="I305">
        <f t="shared" si="17"/>
        <v>100</v>
      </c>
      <c r="J305">
        <f t="shared" si="18"/>
        <v>45.359237</v>
      </c>
      <c r="K305">
        <v>0.26900000000000002</v>
      </c>
      <c r="L305">
        <f t="shared" si="19"/>
        <v>12.201634753</v>
      </c>
    </row>
    <row r="306" spans="1:12" x14ac:dyDescent="0.2">
      <c r="A306" s="4">
        <v>43488</v>
      </c>
      <c r="B306" t="s">
        <v>48</v>
      </c>
      <c r="C306" s="28">
        <v>1</v>
      </c>
      <c r="D306" s="6">
        <v>1</v>
      </c>
      <c r="E306">
        <v>20</v>
      </c>
      <c r="F306" t="s">
        <v>326</v>
      </c>
      <c r="G306" t="s">
        <v>790</v>
      </c>
      <c r="H306" s="6" t="s">
        <v>1071</v>
      </c>
      <c r="I306">
        <f t="shared" si="17"/>
        <v>20</v>
      </c>
      <c r="J306">
        <f t="shared" si="18"/>
        <v>9.0718474000000011</v>
      </c>
      <c r="K306">
        <v>0.26900000000000002</v>
      </c>
      <c r="L306">
        <f t="shared" si="19"/>
        <v>2.4403269506000003</v>
      </c>
    </row>
    <row r="307" spans="1:12" x14ac:dyDescent="0.2">
      <c r="A307" s="4">
        <v>43484</v>
      </c>
      <c r="B307" t="s">
        <v>48</v>
      </c>
      <c r="C307" s="28">
        <v>3</v>
      </c>
      <c r="D307" s="6">
        <v>1</v>
      </c>
      <c r="E307">
        <v>20</v>
      </c>
      <c r="F307" t="s">
        <v>326</v>
      </c>
      <c r="G307" t="s">
        <v>790</v>
      </c>
      <c r="H307" s="6" t="s">
        <v>1071</v>
      </c>
      <c r="I307">
        <f t="shared" si="17"/>
        <v>60</v>
      </c>
      <c r="J307">
        <f t="shared" si="18"/>
        <v>27.215542200000002</v>
      </c>
      <c r="K307">
        <v>0.26900000000000002</v>
      </c>
      <c r="L307">
        <f t="shared" si="19"/>
        <v>7.3209808518000008</v>
      </c>
    </row>
    <row r="308" spans="1:12" x14ac:dyDescent="0.2">
      <c r="A308" s="4">
        <v>43483</v>
      </c>
      <c r="B308" t="s">
        <v>48</v>
      </c>
      <c r="C308" s="28">
        <v>1</v>
      </c>
      <c r="D308" s="6">
        <v>1</v>
      </c>
      <c r="E308">
        <v>25</v>
      </c>
      <c r="F308" t="s">
        <v>340</v>
      </c>
      <c r="G308" t="s">
        <v>790</v>
      </c>
      <c r="H308" s="6" t="s">
        <v>1071</v>
      </c>
      <c r="I308">
        <f t="shared" si="17"/>
        <v>25</v>
      </c>
      <c r="J308">
        <f t="shared" si="18"/>
        <v>11.33980925</v>
      </c>
      <c r="K308">
        <v>0.26900000000000002</v>
      </c>
      <c r="L308">
        <f t="shared" si="19"/>
        <v>3.0504086882500001</v>
      </c>
    </row>
    <row r="309" spans="1:12" x14ac:dyDescent="0.2">
      <c r="A309" s="4">
        <v>43483</v>
      </c>
      <c r="B309" t="s">
        <v>48</v>
      </c>
      <c r="C309" s="28">
        <v>1</v>
      </c>
      <c r="D309" s="6">
        <v>1</v>
      </c>
      <c r="E309">
        <v>50</v>
      </c>
      <c r="F309" t="s">
        <v>315</v>
      </c>
      <c r="G309" t="s">
        <v>790</v>
      </c>
      <c r="H309" s="6" t="s">
        <v>1071</v>
      </c>
      <c r="I309">
        <f t="shared" si="17"/>
        <v>50</v>
      </c>
      <c r="J309">
        <f t="shared" si="18"/>
        <v>22.6796185</v>
      </c>
      <c r="K309">
        <v>0.26900000000000002</v>
      </c>
      <c r="L309">
        <f t="shared" si="19"/>
        <v>6.1008173765000002</v>
      </c>
    </row>
    <row r="310" spans="1:12" x14ac:dyDescent="0.2">
      <c r="A310" s="4">
        <v>43483</v>
      </c>
      <c r="B310" t="s">
        <v>48</v>
      </c>
      <c r="C310" s="28">
        <v>2</v>
      </c>
      <c r="D310" s="6">
        <v>1</v>
      </c>
      <c r="E310">
        <v>20</v>
      </c>
      <c r="F310" t="s">
        <v>326</v>
      </c>
      <c r="G310" t="s">
        <v>790</v>
      </c>
      <c r="H310" s="6" t="s">
        <v>1071</v>
      </c>
      <c r="I310">
        <f t="shared" si="17"/>
        <v>40</v>
      </c>
      <c r="J310">
        <f t="shared" si="18"/>
        <v>18.143694800000002</v>
      </c>
      <c r="K310">
        <v>0.26900000000000002</v>
      </c>
      <c r="L310">
        <f t="shared" si="19"/>
        <v>4.8806539012000005</v>
      </c>
    </row>
    <row r="311" spans="1:12" x14ac:dyDescent="0.2">
      <c r="A311" s="4">
        <v>43488</v>
      </c>
      <c r="B311" t="s">
        <v>48</v>
      </c>
      <c r="C311" s="28">
        <v>1</v>
      </c>
      <c r="D311" s="6">
        <v>1</v>
      </c>
      <c r="E311">
        <f>24/16</f>
        <v>1.5</v>
      </c>
      <c r="F311" t="s">
        <v>314</v>
      </c>
      <c r="G311" t="s">
        <v>824</v>
      </c>
      <c r="H311" s="6" t="s">
        <v>1071</v>
      </c>
      <c r="I311">
        <f t="shared" si="17"/>
        <v>1.5</v>
      </c>
      <c r="J311">
        <f t="shared" si="18"/>
        <v>0.68038855500000006</v>
      </c>
      <c r="K311">
        <v>8.5000000000000006E-2</v>
      </c>
      <c r="L311">
        <f t="shared" si="19"/>
        <v>5.783302717500001E-2</v>
      </c>
    </row>
    <row r="312" spans="1:12" x14ac:dyDescent="0.2">
      <c r="A312" s="4">
        <v>43483</v>
      </c>
      <c r="B312" t="s">
        <v>48</v>
      </c>
      <c r="C312" s="28">
        <v>2</v>
      </c>
      <c r="D312" s="6">
        <v>1</v>
      </c>
      <c r="E312">
        <f>24/16</f>
        <v>1.5</v>
      </c>
      <c r="F312" t="s">
        <v>314</v>
      </c>
      <c r="G312" t="s">
        <v>824</v>
      </c>
      <c r="H312" s="6" t="s">
        <v>1071</v>
      </c>
      <c r="I312">
        <f t="shared" si="17"/>
        <v>3</v>
      </c>
      <c r="J312">
        <f t="shared" si="18"/>
        <v>1.3607771100000001</v>
      </c>
      <c r="K312">
        <v>8.5000000000000006E-2</v>
      </c>
      <c r="L312">
        <f t="shared" si="19"/>
        <v>0.11566605435000002</v>
      </c>
    </row>
    <row r="313" spans="1:12" x14ac:dyDescent="0.2">
      <c r="A313" s="13">
        <v>43483</v>
      </c>
      <c r="B313" s="6" t="s">
        <v>22</v>
      </c>
      <c r="C313" s="6">
        <v>1</v>
      </c>
      <c r="D313" s="6">
        <v>1</v>
      </c>
      <c r="E313" s="6">
        <v>79.2</v>
      </c>
      <c r="F313" s="6" t="s">
        <v>606</v>
      </c>
      <c r="G313" s="6" t="s">
        <v>923</v>
      </c>
      <c r="H313" s="6" t="s">
        <v>1071</v>
      </c>
      <c r="I313">
        <f t="shared" si="17"/>
        <v>79.2</v>
      </c>
      <c r="J313">
        <f t="shared" si="18"/>
        <v>35.924515704000008</v>
      </c>
      <c r="K313">
        <v>0.29399999999999998</v>
      </c>
      <c r="L313">
        <f t="shared" si="19"/>
        <v>10.561807616976001</v>
      </c>
    </row>
    <row r="314" spans="1:12" x14ac:dyDescent="0.2">
      <c r="A314" s="13">
        <v>43487</v>
      </c>
      <c r="B314" s="6" t="s">
        <v>22</v>
      </c>
      <c r="C314" s="6">
        <v>1</v>
      </c>
      <c r="D314" s="6">
        <v>1</v>
      </c>
      <c r="E314" s="6">
        <v>79.2</v>
      </c>
      <c r="F314" s="6" t="s">
        <v>606</v>
      </c>
      <c r="G314" s="6" t="s">
        <v>55</v>
      </c>
      <c r="H314" s="6" t="s">
        <v>1071</v>
      </c>
      <c r="I314">
        <f t="shared" si="17"/>
        <v>79.2</v>
      </c>
      <c r="J314">
        <f t="shared" si="18"/>
        <v>35.924515704000008</v>
      </c>
      <c r="K314">
        <v>0.29399999999999998</v>
      </c>
      <c r="L314">
        <f t="shared" si="19"/>
        <v>10.561807616976001</v>
      </c>
    </row>
    <row r="315" spans="1:12" x14ac:dyDescent="0.2">
      <c r="A315" s="4">
        <v>43486</v>
      </c>
      <c r="B315" t="s">
        <v>48</v>
      </c>
      <c r="C315" s="28">
        <v>20</v>
      </c>
      <c r="D315" s="6">
        <v>1</v>
      </c>
      <c r="E315">
        <f t="shared" ref="E315:E320" si="21">113*0.288806</f>
        <v>32.635078</v>
      </c>
      <c r="F315" t="s">
        <v>55</v>
      </c>
      <c r="G315" t="s">
        <v>55</v>
      </c>
      <c r="H315" s="6" t="s">
        <v>1071</v>
      </c>
      <c r="I315">
        <f t="shared" ref="I315:I378" si="22">C315*D315*E315</f>
        <v>652.70155999999997</v>
      </c>
      <c r="J315">
        <f t="shared" si="18"/>
        <v>296.06044750309718</v>
      </c>
      <c r="K315">
        <v>0.29399999999999998</v>
      </c>
      <c r="L315">
        <f t="shared" si="19"/>
        <v>87.041771565910565</v>
      </c>
    </row>
    <row r="316" spans="1:12" x14ac:dyDescent="0.2">
      <c r="A316" s="4">
        <v>43487</v>
      </c>
      <c r="B316" t="s">
        <v>48</v>
      </c>
      <c r="C316" s="28">
        <v>20</v>
      </c>
      <c r="D316" s="6">
        <v>1</v>
      </c>
      <c r="E316">
        <f t="shared" si="21"/>
        <v>32.635078</v>
      </c>
      <c r="F316" t="s">
        <v>55</v>
      </c>
      <c r="G316" t="s">
        <v>55</v>
      </c>
      <c r="H316" s="6" t="s">
        <v>1071</v>
      </c>
      <c r="I316">
        <f t="shared" si="22"/>
        <v>652.70155999999997</v>
      </c>
      <c r="J316">
        <f t="shared" si="18"/>
        <v>296.06044750309718</v>
      </c>
      <c r="K316">
        <v>0.29399999999999998</v>
      </c>
      <c r="L316">
        <f t="shared" si="19"/>
        <v>87.041771565910565</v>
      </c>
    </row>
    <row r="317" spans="1:12" x14ac:dyDescent="0.2">
      <c r="A317" s="4">
        <v>43488</v>
      </c>
      <c r="B317" t="s">
        <v>48</v>
      </c>
      <c r="C317" s="28">
        <v>20</v>
      </c>
      <c r="D317" s="6">
        <v>1</v>
      </c>
      <c r="E317">
        <f t="shared" si="21"/>
        <v>32.635078</v>
      </c>
      <c r="F317" t="s">
        <v>55</v>
      </c>
      <c r="G317" t="s">
        <v>55</v>
      </c>
      <c r="H317" s="6" t="s">
        <v>1071</v>
      </c>
      <c r="I317">
        <f t="shared" si="22"/>
        <v>652.70155999999997</v>
      </c>
      <c r="J317">
        <f t="shared" si="18"/>
        <v>296.06044750309718</v>
      </c>
      <c r="K317">
        <v>0.29399999999999998</v>
      </c>
      <c r="L317">
        <f t="shared" si="19"/>
        <v>87.041771565910565</v>
      </c>
    </row>
    <row r="318" spans="1:12" x14ac:dyDescent="0.2">
      <c r="A318" s="4">
        <v>43489</v>
      </c>
      <c r="B318" t="s">
        <v>48</v>
      </c>
      <c r="C318" s="28">
        <v>17</v>
      </c>
      <c r="D318" s="6">
        <v>1</v>
      </c>
      <c r="E318">
        <f t="shared" si="21"/>
        <v>32.635078</v>
      </c>
      <c r="F318" t="s">
        <v>55</v>
      </c>
      <c r="G318" t="s">
        <v>55</v>
      </c>
      <c r="H318" s="6" t="s">
        <v>1071</v>
      </c>
      <c r="I318">
        <f t="shared" si="22"/>
        <v>554.79632600000002</v>
      </c>
      <c r="J318">
        <f t="shared" si="18"/>
        <v>251.65138037763265</v>
      </c>
      <c r="K318">
        <v>0.29399999999999998</v>
      </c>
      <c r="L318">
        <f t="shared" si="19"/>
        <v>73.985505831024</v>
      </c>
    </row>
    <row r="319" spans="1:12" x14ac:dyDescent="0.2">
      <c r="A319" s="4">
        <v>43483</v>
      </c>
      <c r="B319" t="s">
        <v>48</v>
      </c>
      <c r="C319" s="28">
        <v>20</v>
      </c>
      <c r="D319" s="6">
        <v>1</v>
      </c>
      <c r="E319">
        <f t="shared" si="21"/>
        <v>32.635078</v>
      </c>
      <c r="F319" t="s">
        <v>55</v>
      </c>
      <c r="G319" t="s">
        <v>55</v>
      </c>
      <c r="H319" s="6" t="s">
        <v>1071</v>
      </c>
      <c r="I319">
        <f t="shared" si="22"/>
        <v>652.70155999999997</v>
      </c>
      <c r="J319">
        <f t="shared" si="18"/>
        <v>296.06044750309718</v>
      </c>
      <c r="K319">
        <v>0.29399999999999998</v>
      </c>
      <c r="L319">
        <f t="shared" si="19"/>
        <v>87.041771565910565</v>
      </c>
    </row>
    <row r="320" spans="1:12" x14ac:dyDescent="0.2">
      <c r="A320" s="4">
        <v>43484</v>
      </c>
      <c r="B320" t="s">
        <v>48</v>
      </c>
      <c r="C320" s="28">
        <v>30</v>
      </c>
      <c r="D320" s="6">
        <v>1</v>
      </c>
      <c r="E320">
        <f t="shared" si="21"/>
        <v>32.635078</v>
      </c>
      <c r="F320" t="s">
        <v>55</v>
      </c>
      <c r="G320" t="s">
        <v>55</v>
      </c>
      <c r="H320" s="6" t="s">
        <v>1071</v>
      </c>
      <c r="I320">
        <f t="shared" si="22"/>
        <v>979.05233999999996</v>
      </c>
      <c r="J320">
        <f t="shared" si="18"/>
        <v>444.09067125464583</v>
      </c>
      <c r="K320">
        <v>0.29399999999999998</v>
      </c>
      <c r="L320">
        <f t="shared" si="19"/>
        <v>130.56265734886586</v>
      </c>
    </row>
    <row r="321" spans="1:12" x14ac:dyDescent="0.2">
      <c r="A321" s="4">
        <v>43483</v>
      </c>
      <c r="B321" t="s">
        <v>538</v>
      </c>
      <c r="C321">
        <v>2</v>
      </c>
      <c r="D321">
        <v>6</v>
      </c>
      <c r="E321">
        <v>5</v>
      </c>
      <c r="F321" t="s">
        <v>439</v>
      </c>
      <c r="G321" s="14" t="s">
        <v>976</v>
      </c>
      <c r="H321" s="6" t="s">
        <v>1071</v>
      </c>
      <c r="I321">
        <f t="shared" si="22"/>
        <v>60</v>
      </c>
      <c r="J321">
        <f t="shared" si="18"/>
        <v>27.215542200000002</v>
      </c>
      <c r="L321">
        <f t="shared" si="19"/>
        <v>0</v>
      </c>
    </row>
    <row r="322" spans="1:12" x14ac:dyDescent="0.2">
      <c r="A322" s="4">
        <v>43488</v>
      </c>
      <c r="B322" t="s">
        <v>538</v>
      </c>
      <c r="C322">
        <v>2</v>
      </c>
      <c r="D322">
        <v>6</v>
      </c>
      <c r="E322">
        <v>5</v>
      </c>
      <c r="F322" t="s">
        <v>439</v>
      </c>
      <c r="G322" s="14" t="s">
        <v>976</v>
      </c>
      <c r="H322" s="6" t="s">
        <v>1071</v>
      </c>
      <c r="I322">
        <f t="shared" si="22"/>
        <v>60</v>
      </c>
      <c r="J322">
        <f t="shared" si="18"/>
        <v>27.215542200000002</v>
      </c>
      <c r="L322">
        <f t="shared" si="19"/>
        <v>0</v>
      </c>
    </row>
    <row r="323" spans="1:12" x14ac:dyDescent="0.2">
      <c r="A323" s="4">
        <v>43486</v>
      </c>
      <c r="B323" t="s">
        <v>48</v>
      </c>
      <c r="C323" s="28">
        <v>1</v>
      </c>
      <c r="D323" s="6">
        <v>1</v>
      </c>
      <c r="E323">
        <f>30*(1/8)</f>
        <v>3.75</v>
      </c>
      <c r="F323" t="s">
        <v>316</v>
      </c>
      <c r="G323" t="s">
        <v>814</v>
      </c>
      <c r="H323" s="6" t="s">
        <v>1071</v>
      </c>
      <c r="I323">
        <f t="shared" si="22"/>
        <v>3.75</v>
      </c>
      <c r="J323">
        <f t="shared" ref="J323:J386" si="23">CONVERT(I323,"lbm","kg")</f>
        <v>1.7009713875000001</v>
      </c>
      <c r="K323">
        <v>0.23200000000000001</v>
      </c>
      <c r="L323">
        <f t="shared" ref="L323:L386" si="24">K323*J323</f>
        <v>0.39462536190000003</v>
      </c>
    </row>
    <row r="324" spans="1:12" x14ac:dyDescent="0.2">
      <c r="A324" s="4">
        <v>43488</v>
      </c>
      <c r="B324" t="s">
        <v>48</v>
      </c>
      <c r="C324" s="28">
        <v>1</v>
      </c>
      <c r="D324" s="6">
        <v>1</v>
      </c>
      <c r="E324">
        <f>30*(1/8)</f>
        <v>3.75</v>
      </c>
      <c r="F324" t="s">
        <v>316</v>
      </c>
      <c r="G324" t="s">
        <v>814</v>
      </c>
      <c r="H324" s="6" t="s">
        <v>1071</v>
      </c>
      <c r="I324">
        <f t="shared" si="22"/>
        <v>3.75</v>
      </c>
      <c r="J324">
        <f t="shared" si="23"/>
        <v>1.7009713875000001</v>
      </c>
      <c r="K324">
        <v>0.23200000000000001</v>
      </c>
      <c r="L324">
        <f t="shared" si="24"/>
        <v>0.39462536190000003</v>
      </c>
    </row>
    <row r="325" spans="1:12" x14ac:dyDescent="0.2">
      <c r="A325" s="4">
        <v>43483</v>
      </c>
      <c r="B325" t="s">
        <v>48</v>
      </c>
      <c r="C325" s="28">
        <v>2</v>
      </c>
      <c r="D325" s="6">
        <v>1</v>
      </c>
      <c r="E325">
        <f>30*(1/8)</f>
        <v>3.75</v>
      </c>
      <c r="F325" t="s">
        <v>316</v>
      </c>
      <c r="G325" t="s">
        <v>814</v>
      </c>
      <c r="H325" s="6" t="s">
        <v>1071</v>
      </c>
      <c r="I325">
        <f t="shared" si="22"/>
        <v>7.5</v>
      </c>
      <c r="J325">
        <f t="shared" si="23"/>
        <v>3.4019427750000002</v>
      </c>
      <c r="K325">
        <v>0.23200000000000001</v>
      </c>
      <c r="L325">
        <f t="shared" si="24"/>
        <v>0.78925072380000005</v>
      </c>
    </row>
    <row r="326" spans="1:12" x14ac:dyDescent="0.2">
      <c r="A326" s="4">
        <v>43483</v>
      </c>
      <c r="B326" t="s">
        <v>538</v>
      </c>
      <c r="C326">
        <v>4</v>
      </c>
      <c r="D326">
        <v>2</v>
      </c>
      <c r="E326">
        <v>10</v>
      </c>
      <c r="F326" t="s">
        <v>462</v>
      </c>
      <c r="G326" t="s">
        <v>875</v>
      </c>
      <c r="H326" s="6" t="s">
        <v>1071</v>
      </c>
      <c r="I326">
        <f t="shared" si="22"/>
        <v>80</v>
      </c>
      <c r="J326">
        <f t="shared" si="23"/>
        <v>36.287389600000004</v>
      </c>
      <c r="K326" s="6">
        <v>5.99</v>
      </c>
      <c r="L326">
        <f t="shared" si="24"/>
        <v>217.36146370400004</v>
      </c>
    </row>
    <row r="327" spans="1:12" x14ac:dyDescent="0.2">
      <c r="A327" s="4">
        <v>43483</v>
      </c>
      <c r="B327" t="s">
        <v>538</v>
      </c>
      <c r="C327">
        <v>3</v>
      </c>
      <c r="D327">
        <v>2</v>
      </c>
      <c r="E327">
        <v>10</v>
      </c>
      <c r="F327" t="s">
        <v>566</v>
      </c>
      <c r="G327" t="s">
        <v>875</v>
      </c>
      <c r="H327" s="6" t="s">
        <v>1071</v>
      </c>
      <c r="I327">
        <f t="shared" si="22"/>
        <v>60</v>
      </c>
      <c r="J327">
        <f t="shared" si="23"/>
        <v>27.215542200000002</v>
      </c>
      <c r="K327" s="6">
        <v>5.99</v>
      </c>
      <c r="L327">
        <f t="shared" si="24"/>
        <v>163.02109777800001</v>
      </c>
    </row>
    <row r="328" spans="1:12" x14ac:dyDescent="0.2">
      <c r="A328" s="4">
        <v>43483</v>
      </c>
      <c r="B328" t="s">
        <v>538</v>
      </c>
      <c r="C328">
        <v>3</v>
      </c>
      <c r="D328">
        <v>2</v>
      </c>
      <c r="E328">
        <v>10</v>
      </c>
      <c r="F328" t="s">
        <v>669</v>
      </c>
      <c r="G328" t="s">
        <v>875</v>
      </c>
      <c r="H328" s="6" t="s">
        <v>1071</v>
      </c>
      <c r="I328">
        <f t="shared" si="22"/>
        <v>60</v>
      </c>
      <c r="J328">
        <f t="shared" si="23"/>
        <v>27.215542200000002</v>
      </c>
      <c r="K328" s="6">
        <v>5.99</v>
      </c>
      <c r="L328">
        <f t="shared" si="24"/>
        <v>163.02109777800001</v>
      </c>
    </row>
    <row r="329" spans="1:12" x14ac:dyDescent="0.2">
      <c r="A329" s="4">
        <v>43483</v>
      </c>
      <c r="B329" t="s">
        <v>538</v>
      </c>
      <c r="C329">
        <v>2</v>
      </c>
      <c r="D329">
        <v>8</v>
      </c>
      <c r="E329">
        <f>12/16</f>
        <v>0.75</v>
      </c>
      <c r="F329" t="s">
        <v>670</v>
      </c>
      <c r="G329" t="s">
        <v>875</v>
      </c>
      <c r="H329" s="6" t="s">
        <v>1071</v>
      </c>
      <c r="I329">
        <f t="shared" si="22"/>
        <v>12</v>
      </c>
      <c r="J329">
        <f t="shared" si="23"/>
        <v>5.4431084400000005</v>
      </c>
      <c r="K329" s="6">
        <v>5.99</v>
      </c>
      <c r="L329">
        <f t="shared" si="24"/>
        <v>32.604219555600004</v>
      </c>
    </row>
    <row r="330" spans="1:12" x14ac:dyDescent="0.2">
      <c r="A330" s="4">
        <v>43486</v>
      </c>
      <c r="B330" t="s">
        <v>538</v>
      </c>
      <c r="C330">
        <v>3</v>
      </c>
      <c r="D330">
        <v>2</v>
      </c>
      <c r="E330">
        <v>10</v>
      </c>
      <c r="F330" t="s">
        <v>679</v>
      </c>
      <c r="G330" t="s">
        <v>875</v>
      </c>
      <c r="H330" s="6" t="s">
        <v>1071</v>
      </c>
      <c r="I330">
        <f t="shared" si="22"/>
        <v>60</v>
      </c>
      <c r="J330">
        <f t="shared" si="23"/>
        <v>27.215542200000002</v>
      </c>
      <c r="K330" s="6">
        <v>5.99</v>
      </c>
      <c r="L330">
        <f t="shared" si="24"/>
        <v>163.02109777800001</v>
      </c>
    </row>
    <row r="331" spans="1:12" x14ac:dyDescent="0.2">
      <c r="A331" s="4">
        <v>43486</v>
      </c>
      <c r="B331" t="s">
        <v>538</v>
      </c>
      <c r="C331">
        <v>2</v>
      </c>
      <c r="D331">
        <v>2</v>
      </c>
      <c r="E331">
        <v>10</v>
      </c>
      <c r="F331" t="s">
        <v>685</v>
      </c>
      <c r="G331" t="s">
        <v>875</v>
      </c>
      <c r="H331" s="6" t="s">
        <v>1071</v>
      </c>
      <c r="I331">
        <f t="shared" si="22"/>
        <v>40</v>
      </c>
      <c r="J331">
        <f t="shared" si="23"/>
        <v>18.143694800000002</v>
      </c>
      <c r="K331" s="6">
        <v>5.99</v>
      </c>
      <c r="L331">
        <f t="shared" si="24"/>
        <v>108.68073185200002</v>
      </c>
    </row>
    <row r="332" spans="1:12" x14ac:dyDescent="0.2">
      <c r="A332" s="4">
        <v>43486</v>
      </c>
      <c r="B332" t="s">
        <v>538</v>
      </c>
      <c r="C332">
        <v>4</v>
      </c>
      <c r="D332">
        <v>2</v>
      </c>
      <c r="E332">
        <v>10</v>
      </c>
      <c r="F332" t="s">
        <v>458</v>
      </c>
      <c r="G332" t="s">
        <v>875</v>
      </c>
      <c r="H332" s="6" t="s">
        <v>1071</v>
      </c>
      <c r="I332">
        <f t="shared" si="22"/>
        <v>80</v>
      </c>
      <c r="J332">
        <f t="shared" si="23"/>
        <v>36.287389600000004</v>
      </c>
      <c r="K332" s="6">
        <v>5.99</v>
      </c>
      <c r="L332">
        <f t="shared" si="24"/>
        <v>217.36146370400004</v>
      </c>
    </row>
    <row r="333" spans="1:12" x14ac:dyDescent="0.2">
      <c r="A333" s="4">
        <v>43486</v>
      </c>
      <c r="B333" t="s">
        <v>538</v>
      </c>
      <c r="C333">
        <v>3</v>
      </c>
      <c r="D333">
        <v>2</v>
      </c>
      <c r="E333">
        <v>10</v>
      </c>
      <c r="F333" t="s">
        <v>461</v>
      </c>
      <c r="G333" t="s">
        <v>875</v>
      </c>
      <c r="H333" s="6" t="s">
        <v>1071</v>
      </c>
      <c r="I333">
        <f t="shared" si="22"/>
        <v>60</v>
      </c>
      <c r="J333">
        <f t="shared" si="23"/>
        <v>27.215542200000002</v>
      </c>
      <c r="K333" s="6">
        <v>5.99</v>
      </c>
      <c r="L333">
        <f t="shared" si="24"/>
        <v>163.02109777800001</v>
      </c>
    </row>
    <row r="334" spans="1:12" x14ac:dyDescent="0.2">
      <c r="A334" s="4">
        <v>43486</v>
      </c>
      <c r="B334" t="s">
        <v>538</v>
      </c>
      <c r="C334">
        <v>4</v>
      </c>
      <c r="D334">
        <v>2</v>
      </c>
      <c r="E334">
        <v>10</v>
      </c>
      <c r="F334" t="s">
        <v>462</v>
      </c>
      <c r="G334" t="s">
        <v>875</v>
      </c>
      <c r="H334" s="6" t="s">
        <v>1071</v>
      </c>
      <c r="I334">
        <f t="shared" si="22"/>
        <v>80</v>
      </c>
      <c r="J334">
        <f t="shared" si="23"/>
        <v>36.287389600000004</v>
      </c>
      <c r="K334" s="6">
        <v>5.99</v>
      </c>
      <c r="L334">
        <f t="shared" si="24"/>
        <v>217.36146370400004</v>
      </c>
    </row>
    <row r="335" spans="1:12" x14ac:dyDescent="0.2">
      <c r="A335" s="4">
        <v>43486</v>
      </c>
      <c r="B335" t="s">
        <v>538</v>
      </c>
      <c r="C335">
        <v>4</v>
      </c>
      <c r="D335">
        <v>2</v>
      </c>
      <c r="E335">
        <v>10</v>
      </c>
      <c r="F335" t="s">
        <v>566</v>
      </c>
      <c r="G335" t="s">
        <v>875</v>
      </c>
      <c r="H335" s="6" t="s">
        <v>1071</v>
      </c>
      <c r="I335">
        <f t="shared" si="22"/>
        <v>80</v>
      </c>
      <c r="J335">
        <f t="shared" si="23"/>
        <v>36.287389600000004</v>
      </c>
      <c r="K335" s="6">
        <v>5.99</v>
      </c>
      <c r="L335">
        <f t="shared" si="24"/>
        <v>217.36146370400004</v>
      </c>
    </row>
    <row r="336" spans="1:12" x14ac:dyDescent="0.2">
      <c r="A336" s="4">
        <v>43488</v>
      </c>
      <c r="B336" t="s">
        <v>538</v>
      </c>
      <c r="C336">
        <v>1</v>
      </c>
      <c r="D336">
        <v>2</v>
      </c>
      <c r="E336">
        <v>5</v>
      </c>
      <c r="F336" t="s">
        <v>666</v>
      </c>
      <c r="G336" t="s">
        <v>994</v>
      </c>
      <c r="H336" s="6" t="s">
        <v>1071</v>
      </c>
      <c r="I336">
        <f t="shared" si="22"/>
        <v>10</v>
      </c>
      <c r="J336">
        <f t="shared" si="23"/>
        <v>4.5359237000000006</v>
      </c>
      <c r="K336">
        <v>1.1319999999999999</v>
      </c>
      <c r="L336">
        <f t="shared" si="24"/>
        <v>5.1346656284000005</v>
      </c>
    </row>
    <row r="337" spans="1:12" x14ac:dyDescent="0.2">
      <c r="A337" s="4">
        <v>43487</v>
      </c>
      <c r="B337" t="s">
        <v>48</v>
      </c>
      <c r="C337" s="28">
        <v>2</v>
      </c>
      <c r="D337" s="6">
        <v>1</v>
      </c>
      <c r="E337">
        <f>120*0.39</f>
        <v>46.800000000000004</v>
      </c>
      <c r="F337" t="s">
        <v>317</v>
      </c>
      <c r="G337" t="s">
        <v>791</v>
      </c>
      <c r="H337" s="6" t="s">
        <v>1071</v>
      </c>
      <c r="I337">
        <f t="shared" si="22"/>
        <v>93.600000000000009</v>
      </c>
      <c r="J337">
        <f t="shared" si="23"/>
        <v>42.456245832000008</v>
      </c>
      <c r="K337">
        <v>0.249</v>
      </c>
      <c r="L337">
        <f t="shared" si="24"/>
        <v>10.571605212168002</v>
      </c>
    </row>
    <row r="338" spans="1:12" x14ac:dyDescent="0.2">
      <c r="A338" s="4">
        <v>43486</v>
      </c>
      <c r="B338" t="s">
        <v>48</v>
      </c>
      <c r="C338" s="28">
        <v>2</v>
      </c>
      <c r="D338" s="6">
        <v>1</v>
      </c>
      <c r="E338">
        <f t="shared" ref="E338:E345" si="25">10/9*30</f>
        <v>33.333333333333336</v>
      </c>
      <c r="F338" t="s">
        <v>320</v>
      </c>
      <c r="G338" t="s">
        <v>792</v>
      </c>
      <c r="H338" s="6" t="s">
        <v>1071</v>
      </c>
      <c r="I338">
        <f t="shared" si="22"/>
        <v>66.666666666666671</v>
      </c>
      <c r="J338">
        <f t="shared" si="23"/>
        <v>30.239491333333337</v>
      </c>
      <c r="K338">
        <v>0.52500000000000002</v>
      </c>
      <c r="L338">
        <f t="shared" si="24"/>
        <v>15.875732950000003</v>
      </c>
    </row>
    <row r="339" spans="1:12" x14ac:dyDescent="0.2">
      <c r="A339" s="4">
        <v>43486</v>
      </c>
      <c r="B339" t="s">
        <v>48</v>
      </c>
      <c r="C339" s="28">
        <v>1</v>
      </c>
      <c r="D339" s="6">
        <v>1</v>
      </c>
      <c r="E339">
        <f t="shared" si="25"/>
        <v>33.333333333333336</v>
      </c>
      <c r="F339" t="s">
        <v>321</v>
      </c>
      <c r="G339" t="s">
        <v>792</v>
      </c>
      <c r="H339" s="6" t="s">
        <v>1071</v>
      </c>
      <c r="I339">
        <f t="shared" si="22"/>
        <v>33.333333333333336</v>
      </c>
      <c r="J339">
        <f t="shared" si="23"/>
        <v>15.119745666666669</v>
      </c>
      <c r="K339">
        <v>0.52500000000000002</v>
      </c>
      <c r="L339">
        <f t="shared" si="24"/>
        <v>7.9378664750000016</v>
      </c>
    </row>
    <row r="340" spans="1:12" x14ac:dyDescent="0.2">
      <c r="A340" s="4">
        <v>43489</v>
      </c>
      <c r="B340" t="s">
        <v>48</v>
      </c>
      <c r="C340" s="28">
        <v>1</v>
      </c>
      <c r="D340" s="6">
        <v>1</v>
      </c>
      <c r="E340">
        <f t="shared" si="25"/>
        <v>33.333333333333336</v>
      </c>
      <c r="F340" t="s">
        <v>320</v>
      </c>
      <c r="G340" t="s">
        <v>792</v>
      </c>
      <c r="H340" s="6" t="s">
        <v>1071</v>
      </c>
      <c r="I340">
        <f t="shared" si="22"/>
        <v>33.333333333333336</v>
      </c>
      <c r="J340">
        <f t="shared" si="23"/>
        <v>15.119745666666669</v>
      </c>
      <c r="K340">
        <v>0.52500000000000002</v>
      </c>
      <c r="L340">
        <f t="shared" si="24"/>
        <v>7.9378664750000016</v>
      </c>
    </row>
    <row r="341" spans="1:12" x14ac:dyDescent="0.2">
      <c r="A341" s="4">
        <v>43489</v>
      </c>
      <c r="B341" t="s">
        <v>48</v>
      </c>
      <c r="C341" s="28">
        <v>1</v>
      </c>
      <c r="D341" s="6">
        <v>1</v>
      </c>
      <c r="E341">
        <f t="shared" si="25"/>
        <v>33.333333333333336</v>
      </c>
      <c r="F341" t="s">
        <v>321</v>
      </c>
      <c r="G341" t="s">
        <v>792</v>
      </c>
      <c r="H341" s="6" t="s">
        <v>1071</v>
      </c>
      <c r="I341">
        <f t="shared" si="22"/>
        <v>33.333333333333336</v>
      </c>
      <c r="J341">
        <f t="shared" si="23"/>
        <v>15.119745666666669</v>
      </c>
      <c r="K341">
        <v>0.52500000000000002</v>
      </c>
      <c r="L341">
        <f t="shared" si="24"/>
        <v>7.9378664750000016</v>
      </c>
    </row>
    <row r="342" spans="1:12" x14ac:dyDescent="0.2">
      <c r="A342" s="4">
        <v>43488</v>
      </c>
      <c r="B342" t="s">
        <v>48</v>
      </c>
      <c r="C342" s="28">
        <v>4</v>
      </c>
      <c r="D342" s="6">
        <v>1</v>
      </c>
      <c r="E342">
        <f t="shared" si="25"/>
        <v>33.333333333333336</v>
      </c>
      <c r="F342" t="s">
        <v>320</v>
      </c>
      <c r="G342" t="s">
        <v>792</v>
      </c>
      <c r="H342" s="6" t="s">
        <v>1071</v>
      </c>
      <c r="I342">
        <f t="shared" si="22"/>
        <v>133.33333333333334</v>
      </c>
      <c r="J342">
        <f t="shared" si="23"/>
        <v>60.478982666666674</v>
      </c>
      <c r="K342">
        <v>0.52500000000000002</v>
      </c>
      <c r="L342">
        <f t="shared" si="24"/>
        <v>31.751465900000007</v>
      </c>
    </row>
    <row r="343" spans="1:12" x14ac:dyDescent="0.2">
      <c r="A343" s="4">
        <v>43488</v>
      </c>
      <c r="B343" t="s">
        <v>48</v>
      </c>
      <c r="C343" s="28">
        <v>1</v>
      </c>
      <c r="D343" s="6">
        <v>1</v>
      </c>
      <c r="E343">
        <f t="shared" si="25"/>
        <v>33.333333333333336</v>
      </c>
      <c r="F343" t="s">
        <v>321</v>
      </c>
      <c r="G343" t="s">
        <v>792</v>
      </c>
      <c r="H343" s="6" t="s">
        <v>1071</v>
      </c>
      <c r="I343">
        <f t="shared" si="22"/>
        <v>33.333333333333336</v>
      </c>
      <c r="J343">
        <f t="shared" si="23"/>
        <v>15.119745666666669</v>
      </c>
      <c r="K343">
        <v>0.52500000000000002</v>
      </c>
      <c r="L343">
        <f t="shared" si="24"/>
        <v>7.9378664750000016</v>
      </c>
    </row>
    <row r="344" spans="1:12" x14ac:dyDescent="0.2">
      <c r="A344" s="4">
        <v>43484</v>
      </c>
      <c r="B344" t="s">
        <v>48</v>
      </c>
      <c r="C344" s="28">
        <v>1</v>
      </c>
      <c r="D344" s="6">
        <v>1</v>
      </c>
      <c r="E344">
        <f t="shared" si="25"/>
        <v>33.333333333333336</v>
      </c>
      <c r="F344" t="s">
        <v>320</v>
      </c>
      <c r="G344" t="s">
        <v>792</v>
      </c>
      <c r="H344" s="6" t="s">
        <v>1071</v>
      </c>
      <c r="I344">
        <f t="shared" si="22"/>
        <v>33.333333333333336</v>
      </c>
      <c r="J344">
        <f t="shared" si="23"/>
        <v>15.119745666666669</v>
      </c>
      <c r="K344">
        <v>0.52500000000000002</v>
      </c>
      <c r="L344">
        <f t="shared" si="24"/>
        <v>7.9378664750000016</v>
      </c>
    </row>
    <row r="345" spans="1:12" x14ac:dyDescent="0.2">
      <c r="A345" s="4">
        <v>43484</v>
      </c>
      <c r="B345" t="s">
        <v>48</v>
      </c>
      <c r="C345" s="28">
        <v>1</v>
      </c>
      <c r="D345" s="6">
        <v>1</v>
      </c>
      <c r="E345">
        <f t="shared" si="25"/>
        <v>33.333333333333336</v>
      </c>
      <c r="F345" t="s">
        <v>321</v>
      </c>
      <c r="G345" t="s">
        <v>792</v>
      </c>
      <c r="H345" s="6" t="s">
        <v>1071</v>
      </c>
      <c r="I345">
        <f t="shared" si="22"/>
        <v>33.333333333333336</v>
      </c>
      <c r="J345">
        <f t="shared" si="23"/>
        <v>15.119745666666669</v>
      </c>
      <c r="K345">
        <v>0.52500000000000002</v>
      </c>
      <c r="L345">
        <f t="shared" si="24"/>
        <v>7.9378664750000016</v>
      </c>
    </row>
    <row r="346" spans="1:12" x14ac:dyDescent="0.2">
      <c r="A346" s="4">
        <v>43484</v>
      </c>
      <c r="B346" t="s">
        <v>48</v>
      </c>
      <c r="C346" s="28">
        <v>3</v>
      </c>
      <c r="D346" s="6">
        <v>1</v>
      </c>
      <c r="E346">
        <v>20</v>
      </c>
      <c r="F346" t="s">
        <v>485</v>
      </c>
      <c r="G346" t="s">
        <v>792</v>
      </c>
      <c r="H346" s="6" t="s">
        <v>1071</v>
      </c>
      <c r="I346">
        <f t="shared" si="22"/>
        <v>60</v>
      </c>
      <c r="J346">
        <f t="shared" si="23"/>
        <v>27.215542200000002</v>
      </c>
      <c r="K346">
        <v>0.52500000000000002</v>
      </c>
      <c r="L346">
        <f t="shared" si="24"/>
        <v>14.288159655000001</v>
      </c>
    </row>
    <row r="347" spans="1:12" x14ac:dyDescent="0.2">
      <c r="A347" s="4">
        <v>43483</v>
      </c>
      <c r="B347" t="s">
        <v>48</v>
      </c>
      <c r="C347" s="28">
        <v>2</v>
      </c>
      <c r="D347" s="6">
        <v>1</v>
      </c>
      <c r="E347">
        <f>10/9*30</f>
        <v>33.333333333333336</v>
      </c>
      <c r="F347" t="s">
        <v>639</v>
      </c>
      <c r="G347" t="s">
        <v>792</v>
      </c>
      <c r="H347" s="6" t="s">
        <v>1071</v>
      </c>
      <c r="I347">
        <f t="shared" si="22"/>
        <v>66.666666666666671</v>
      </c>
      <c r="J347">
        <f t="shared" si="23"/>
        <v>30.239491333333337</v>
      </c>
      <c r="K347">
        <v>0.52500000000000002</v>
      </c>
      <c r="L347">
        <f t="shared" si="24"/>
        <v>15.875732950000003</v>
      </c>
    </row>
    <row r="348" spans="1:12" x14ac:dyDescent="0.2">
      <c r="A348" s="4">
        <v>43483</v>
      </c>
      <c r="B348" t="s">
        <v>48</v>
      </c>
      <c r="C348" s="28">
        <v>2</v>
      </c>
      <c r="D348" s="6">
        <v>1</v>
      </c>
      <c r="E348">
        <f>10/9*30</f>
        <v>33.333333333333336</v>
      </c>
      <c r="F348" t="s">
        <v>321</v>
      </c>
      <c r="G348" t="s">
        <v>792</v>
      </c>
      <c r="H348" s="6" t="s">
        <v>1071</v>
      </c>
      <c r="I348">
        <f t="shared" si="22"/>
        <v>66.666666666666671</v>
      </c>
      <c r="J348">
        <f t="shared" si="23"/>
        <v>30.239491333333337</v>
      </c>
      <c r="K348">
        <v>0.52500000000000002</v>
      </c>
      <c r="L348">
        <f t="shared" si="24"/>
        <v>15.875732950000003</v>
      </c>
    </row>
    <row r="349" spans="1:12" x14ac:dyDescent="0.2">
      <c r="A349" s="4">
        <v>43486</v>
      </c>
      <c r="B349" t="s">
        <v>538</v>
      </c>
      <c r="C349">
        <v>1</v>
      </c>
      <c r="D349">
        <v>3</v>
      </c>
      <c r="E349">
        <v>5</v>
      </c>
      <c r="F349" t="s">
        <v>556</v>
      </c>
      <c r="G349" t="s">
        <v>909</v>
      </c>
      <c r="H349" s="6" t="s">
        <v>1071</v>
      </c>
      <c r="I349">
        <f t="shared" si="22"/>
        <v>15</v>
      </c>
      <c r="J349">
        <f t="shared" si="23"/>
        <v>6.8038855500000004</v>
      </c>
      <c r="K349">
        <v>0.87</v>
      </c>
      <c r="L349">
        <f t="shared" si="24"/>
        <v>5.9193804285000002</v>
      </c>
    </row>
    <row r="350" spans="1:12" x14ac:dyDescent="0.2">
      <c r="A350" s="4">
        <v>43486</v>
      </c>
      <c r="B350" t="s">
        <v>48</v>
      </c>
      <c r="C350" s="28">
        <v>2</v>
      </c>
      <c r="D350" s="6">
        <v>1</v>
      </c>
      <c r="E350">
        <f>10/9*30</f>
        <v>33.333333333333336</v>
      </c>
      <c r="F350" t="s">
        <v>624</v>
      </c>
      <c r="G350" t="s">
        <v>961</v>
      </c>
      <c r="H350" s="6" t="s">
        <v>1071</v>
      </c>
      <c r="I350">
        <f t="shared" si="22"/>
        <v>66.666666666666671</v>
      </c>
      <c r="J350">
        <f t="shared" si="23"/>
        <v>30.239491333333337</v>
      </c>
      <c r="K350">
        <v>0.79900000000000004</v>
      </c>
      <c r="L350">
        <f t="shared" si="24"/>
        <v>24.161353575333337</v>
      </c>
    </row>
    <row r="351" spans="1:12" x14ac:dyDescent="0.2">
      <c r="A351" s="4">
        <v>43486</v>
      </c>
      <c r="B351" t="s">
        <v>538</v>
      </c>
      <c r="C351">
        <v>1</v>
      </c>
      <c r="D351">
        <v>4</v>
      </c>
      <c r="E351">
        <v>4.54</v>
      </c>
      <c r="F351" t="s">
        <v>684</v>
      </c>
      <c r="G351" t="s">
        <v>937</v>
      </c>
      <c r="H351" s="6" t="s">
        <v>1071</v>
      </c>
      <c r="I351">
        <f t="shared" si="22"/>
        <v>18.16</v>
      </c>
      <c r="J351">
        <f t="shared" si="23"/>
        <v>8.2372374392000012</v>
      </c>
      <c r="K351">
        <v>0.79900000000000004</v>
      </c>
      <c r="L351">
        <f t="shared" si="24"/>
        <v>6.581552713920801</v>
      </c>
    </row>
    <row r="352" spans="1:12" x14ac:dyDescent="0.2">
      <c r="A352" s="4">
        <v>43486</v>
      </c>
      <c r="B352" t="s">
        <v>538</v>
      </c>
      <c r="C352">
        <v>1</v>
      </c>
      <c r="D352">
        <v>4</v>
      </c>
      <c r="E352">
        <v>8.35</v>
      </c>
      <c r="F352" t="s">
        <v>541</v>
      </c>
      <c r="G352" t="s">
        <v>937</v>
      </c>
      <c r="H352" s="6" t="s">
        <v>1071</v>
      </c>
      <c r="I352">
        <f t="shared" si="22"/>
        <v>33.4</v>
      </c>
      <c r="J352">
        <f t="shared" si="23"/>
        <v>15.149985158</v>
      </c>
      <c r="K352">
        <v>0.79900000000000004</v>
      </c>
      <c r="L352">
        <f t="shared" si="24"/>
        <v>12.104838141242</v>
      </c>
    </row>
    <row r="353" spans="1:12" x14ac:dyDescent="0.2">
      <c r="A353" s="4">
        <v>43486</v>
      </c>
      <c r="B353" t="s">
        <v>525</v>
      </c>
      <c r="C353">
        <v>2</v>
      </c>
      <c r="D353">
        <v>2</v>
      </c>
      <c r="E353">
        <v>5</v>
      </c>
      <c r="F353" t="s">
        <v>398</v>
      </c>
      <c r="G353" t="s">
        <v>851</v>
      </c>
      <c r="H353" s="6" t="s">
        <v>1072</v>
      </c>
      <c r="I353">
        <f t="shared" si="22"/>
        <v>20</v>
      </c>
      <c r="J353">
        <f t="shared" si="23"/>
        <v>9.0718474000000011</v>
      </c>
      <c r="K353">
        <f>(0.5*32.846)+(0.5*5.56)</f>
        <v>19.202999999999999</v>
      </c>
      <c r="L353">
        <f t="shared" si="24"/>
        <v>174.20668562220001</v>
      </c>
    </row>
    <row r="354" spans="1:12" x14ac:dyDescent="0.2">
      <c r="A354" s="4">
        <v>43486</v>
      </c>
      <c r="B354" t="s">
        <v>48</v>
      </c>
      <c r="C354" s="28">
        <v>2</v>
      </c>
      <c r="D354" s="6">
        <v>1</v>
      </c>
      <c r="E354">
        <v>20</v>
      </c>
      <c r="F354" t="s">
        <v>341</v>
      </c>
      <c r="G354" t="s">
        <v>793</v>
      </c>
      <c r="H354" s="6" t="s">
        <v>1071</v>
      </c>
      <c r="I354">
        <f t="shared" si="22"/>
        <v>40</v>
      </c>
      <c r="J354">
        <f t="shared" si="23"/>
        <v>18.143694800000002</v>
      </c>
      <c r="K354">
        <v>0.91400000000000003</v>
      </c>
      <c r="L354">
        <f t="shared" si="24"/>
        <v>16.583337047200004</v>
      </c>
    </row>
    <row r="355" spans="1:12" x14ac:dyDescent="0.2">
      <c r="A355" s="4">
        <v>43487</v>
      </c>
      <c r="B355" t="s">
        <v>48</v>
      </c>
      <c r="C355" s="28">
        <v>6</v>
      </c>
      <c r="D355" s="6">
        <v>1</v>
      </c>
      <c r="E355">
        <v>20</v>
      </c>
      <c r="F355" t="s">
        <v>341</v>
      </c>
      <c r="G355" t="s">
        <v>793</v>
      </c>
      <c r="H355" s="6" t="s">
        <v>1071</v>
      </c>
      <c r="I355">
        <f t="shared" si="22"/>
        <v>120</v>
      </c>
      <c r="J355">
        <f t="shared" si="23"/>
        <v>54.431084400000003</v>
      </c>
      <c r="K355">
        <v>0.91400000000000003</v>
      </c>
      <c r="L355">
        <f t="shared" si="24"/>
        <v>49.750011141600005</v>
      </c>
    </row>
    <row r="356" spans="1:12" x14ac:dyDescent="0.2">
      <c r="A356" s="4">
        <v>43489</v>
      </c>
      <c r="B356" t="s">
        <v>48</v>
      </c>
      <c r="C356" s="28">
        <v>6</v>
      </c>
      <c r="D356" s="6">
        <v>1</v>
      </c>
      <c r="E356">
        <v>20</v>
      </c>
      <c r="F356" t="s">
        <v>341</v>
      </c>
      <c r="G356" t="s">
        <v>793</v>
      </c>
      <c r="H356" s="6" t="s">
        <v>1071</v>
      </c>
      <c r="I356">
        <f t="shared" si="22"/>
        <v>120</v>
      </c>
      <c r="J356">
        <f t="shared" si="23"/>
        <v>54.431084400000003</v>
      </c>
      <c r="K356">
        <v>0.91400000000000003</v>
      </c>
      <c r="L356">
        <f t="shared" si="24"/>
        <v>49.750011141600005</v>
      </c>
    </row>
    <row r="357" spans="1:12" x14ac:dyDescent="0.2">
      <c r="A357" s="4">
        <v>43488</v>
      </c>
      <c r="B357" t="s">
        <v>48</v>
      </c>
      <c r="C357" s="28">
        <v>6</v>
      </c>
      <c r="D357" s="6">
        <v>1</v>
      </c>
      <c r="E357">
        <v>20</v>
      </c>
      <c r="F357" t="s">
        <v>341</v>
      </c>
      <c r="G357" t="s">
        <v>793</v>
      </c>
      <c r="H357" s="6" t="s">
        <v>1071</v>
      </c>
      <c r="I357">
        <f t="shared" si="22"/>
        <v>120</v>
      </c>
      <c r="J357">
        <f t="shared" si="23"/>
        <v>54.431084400000003</v>
      </c>
      <c r="K357">
        <v>0.91400000000000003</v>
      </c>
      <c r="L357">
        <f t="shared" si="24"/>
        <v>49.750011141600005</v>
      </c>
    </row>
    <row r="358" spans="1:12" x14ac:dyDescent="0.2">
      <c r="A358" s="4">
        <v>43483</v>
      </c>
      <c r="B358" t="s">
        <v>48</v>
      </c>
      <c r="C358" s="28">
        <v>8</v>
      </c>
      <c r="D358" s="6">
        <v>1</v>
      </c>
      <c r="E358">
        <v>20</v>
      </c>
      <c r="F358" t="s">
        <v>341</v>
      </c>
      <c r="G358" t="s">
        <v>793</v>
      </c>
      <c r="H358" s="6" t="s">
        <v>1071</v>
      </c>
      <c r="I358">
        <f t="shared" si="22"/>
        <v>160</v>
      </c>
      <c r="J358">
        <f t="shared" si="23"/>
        <v>72.574779200000009</v>
      </c>
      <c r="K358">
        <v>0.91400000000000003</v>
      </c>
      <c r="L358">
        <f t="shared" si="24"/>
        <v>66.333348188800016</v>
      </c>
    </row>
    <row r="359" spans="1:12" x14ac:dyDescent="0.2">
      <c r="A359" s="13">
        <v>43483</v>
      </c>
      <c r="B359" s="6" t="s">
        <v>13</v>
      </c>
      <c r="C359" s="6">
        <v>1</v>
      </c>
      <c r="D359" s="6">
        <v>1</v>
      </c>
      <c r="E359" s="6">
        <v>100</v>
      </c>
      <c r="F359" s="6" t="s">
        <v>14</v>
      </c>
      <c r="G359" s="6" t="s">
        <v>15</v>
      </c>
      <c r="H359" s="6" t="s">
        <v>1072</v>
      </c>
      <c r="I359">
        <f t="shared" si="22"/>
        <v>100</v>
      </c>
      <c r="J359">
        <f t="shared" si="23"/>
        <v>45.359237</v>
      </c>
      <c r="K359">
        <v>5.56</v>
      </c>
      <c r="L359">
        <f t="shared" si="24"/>
        <v>252.19735771999999</v>
      </c>
    </row>
    <row r="360" spans="1:12" x14ac:dyDescent="0.2">
      <c r="A360" s="13">
        <v>43483</v>
      </c>
      <c r="B360" s="6" t="s">
        <v>13</v>
      </c>
      <c r="C360" s="6">
        <v>1</v>
      </c>
      <c r="D360" s="6">
        <v>1</v>
      </c>
      <c r="E360" s="6">
        <v>180</v>
      </c>
      <c r="F360" s="6" t="s">
        <v>20</v>
      </c>
      <c r="G360" s="6" t="s">
        <v>15</v>
      </c>
      <c r="H360" s="6" t="s">
        <v>1072</v>
      </c>
      <c r="I360">
        <f t="shared" si="22"/>
        <v>180</v>
      </c>
      <c r="J360">
        <f t="shared" si="23"/>
        <v>81.646626600000005</v>
      </c>
      <c r="K360">
        <v>5.56</v>
      </c>
      <c r="L360">
        <f t="shared" si="24"/>
        <v>453.95524389600001</v>
      </c>
    </row>
    <row r="361" spans="1:12" x14ac:dyDescent="0.2">
      <c r="A361" s="13">
        <v>43483</v>
      </c>
      <c r="B361" s="6" t="s">
        <v>13</v>
      </c>
      <c r="C361" s="6">
        <v>1</v>
      </c>
      <c r="D361" s="6">
        <v>1</v>
      </c>
      <c r="E361" s="6">
        <v>120</v>
      </c>
      <c r="F361" s="6" t="s">
        <v>19</v>
      </c>
      <c r="G361" s="6" t="s">
        <v>15</v>
      </c>
      <c r="H361" s="6" t="s">
        <v>1072</v>
      </c>
      <c r="I361">
        <f t="shared" si="22"/>
        <v>120</v>
      </c>
      <c r="J361">
        <f t="shared" si="23"/>
        <v>54.431084400000003</v>
      </c>
      <c r="K361">
        <v>5.56</v>
      </c>
      <c r="L361">
        <f t="shared" si="24"/>
        <v>302.63682926399997</v>
      </c>
    </row>
    <row r="362" spans="1:12" x14ac:dyDescent="0.2">
      <c r="A362" s="13">
        <v>43483</v>
      </c>
      <c r="B362" s="6" t="s">
        <v>13</v>
      </c>
      <c r="C362" s="6">
        <v>1</v>
      </c>
      <c r="D362" s="6">
        <v>1</v>
      </c>
      <c r="E362" s="6">
        <v>307.56</v>
      </c>
      <c r="F362" s="6" t="s">
        <v>179</v>
      </c>
      <c r="G362" s="6" t="s">
        <v>15</v>
      </c>
      <c r="H362" s="6" t="s">
        <v>1072</v>
      </c>
      <c r="I362">
        <f t="shared" si="22"/>
        <v>307.56</v>
      </c>
      <c r="J362">
        <f t="shared" si="23"/>
        <v>139.5068693172</v>
      </c>
      <c r="K362">
        <v>5.56</v>
      </c>
      <c r="L362">
        <f t="shared" si="24"/>
        <v>775.65819340363191</v>
      </c>
    </row>
    <row r="363" spans="1:12" x14ac:dyDescent="0.2">
      <c r="A363" s="13">
        <v>43483</v>
      </c>
      <c r="B363" s="6" t="s">
        <v>13</v>
      </c>
      <c r="C363" s="6">
        <v>1</v>
      </c>
      <c r="D363" s="6">
        <v>1</v>
      </c>
      <c r="E363" s="6">
        <v>200.3</v>
      </c>
      <c r="F363" s="6" t="s">
        <v>286</v>
      </c>
      <c r="G363" s="6" t="s">
        <v>15</v>
      </c>
      <c r="H363" s="6" t="s">
        <v>1072</v>
      </c>
      <c r="I363">
        <f t="shared" si="22"/>
        <v>200.3</v>
      </c>
      <c r="J363">
        <f t="shared" si="23"/>
        <v>90.854551711000013</v>
      </c>
      <c r="K363">
        <v>5.56</v>
      </c>
      <c r="L363">
        <f t="shared" si="24"/>
        <v>505.15130751316002</v>
      </c>
    </row>
    <row r="364" spans="1:12" x14ac:dyDescent="0.2">
      <c r="A364" s="4">
        <v>43486</v>
      </c>
      <c r="B364" t="s">
        <v>525</v>
      </c>
      <c r="C364">
        <v>1</v>
      </c>
      <c r="D364">
        <v>1</v>
      </c>
      <c r="E364">
        <v>10.09</v>
      </c>
      <c r="F364" t="s">
        <v>677</v>
      </c>
      <c r="G364" t="s">
        <v>15</v>
      </c>
      <c r="H364" s="6" t="s">
        <v>1072</v>
      </c>
      <c r="I364">
        <f t="shared" si="22"/>
        <v>10.09</v>
      </c>
      <c r="J364">
        <f t="shared" si="23"/>
        <v>4.5767470132999994</v>
      </c>
      <c r="K364">
        <v>5.56</v>
      </c>
      <c r="L364">
        <f t="shared" si="24"/>
        <v>25.446713393947995</v>
      </c>
    </row>
    <row r="365" spans="1:12" x14ac:dyDescent="0.2">
      <c r="A365" s="4">
        <v>43487</v>
      </c>
      <c r="B365" t="s">
        <v>48</v>
      </c>
      <c r="C365" s="28">
        <v>2</v>
      </c>
      <c r="D365" s="6">
        <v>1</v>
      </c>
      <c r="E365">
        <v>50</v>
      </c>
      <c r="F365" t="s">
        <v>342</v>
      </c>
      <c r="G365" t="s">
        <v>343</v>
      </c>
      <c r="H365" s="6" t="s">
        <v>1071</v>
      </c>
      <c r="I365">
        <f t="shared" si="22"/>
        <v>100</v>
      </c>
      <c r="J365">
        <f t="shared" si="23"/>
        <v>45.359237</v>
      </c>
      <c r="K365">
        <v>0.217</v>
      </c>
      <c r="L365">
        <f t="shared" si="24"/>
        <v>9.8429544290000006</v>
      </c>
    </row>
    <row r="366" spans="1:12" x14ac:dyDescent="0.2">
      <c r="A366" s="4">
        <v>43489</v>
      </c>
      <c r="B366" t="s">
        <v>48</v>
      </c>
      <c r="C366" s="28">
        <v>1</v>
      </c>
      <c r="D366" s="6">
        <v>1</v>
      </c>
      <c r="E366">
        <v>40</v>
      </c>
      <c r="F366" t="s">
        <v>343</v>
      </c>
      <c r="G366" t="s">
        <v>343</v>
      </c>
      <c r="H366" s="6" t="s">
        <v>1071</v>
      </c>
      <c r="I366">
        <f t="shared" si="22"/>
        <v>40</v>
      </c>
      <c r="J366">
        <f t="shared" si="23"/>
        <v>18.143694800000002</v>
      </c>
      <c r="K366">
        <v>0.217</v>
      </c>
      <c r="L366">
        <f t="shared" si="24"/>
        <v>3.9371817716000006</v>
      </c>
    </row>
    <row r="367" spans="1:12" x14ac:dyDescent="0.2">
      <c r="A367" s="4">
        <v>43488</v>
      </c>
      <c r="B367" t="s">
        <v>48</v>
      </c>
      <c r="C367" s="28">
        <v>2</v>
      </c>
      <c r="D367" s="6">
        <v>1</v>
      </c>
      <c r="E367">
        <v>50</v>
      </c>
      <c r="F367" t="s">
        <v>342</v>
      </c>
      <c r="G367" t="s">
        <v>343</v>
      </c>
      <c r="H367" s="6" t="s">
        <v>1071</v>
      </c>
      <c r="I367">
        <f t="shared" si="22"/>
        <v>100</v>
      </c>
      <c r="J367">
        <f t="shared" si="23"/>
        <v>45.359237</v>
      </c>
      <c r="K367">
        <v>0.217</v>
      </c>
      <c r="L367">
        <f t="shared" si="24"/>
        <v>9.8429544290000006</v>
      </c>
    </row>
    <row r="368" spans="1:12" x14ac:dyDescent="0.2">
      <c r="A368" s="4">
        <v>43488</v>
      </c>
      <c r="B368" t="s">
        <v>48</v>
      </c>
      <c r="C368" s="28">
        <v>2</v>
      </c>
      <c r="D368" s="6">
        <v>1</v>
      </c>
      <c r="E368">
        <v>50</v>
      </c>
      <c r="F368" t="s">
        <v>343</v>
      </c>
      <c r="G368" t="s">
        <v>343</v>
      </c>
      <c r="H368" s="6" t="s">
        <v>1071</v>
      </c>
      <c r="I368">
        <f t="shared" si="22"/>
        <v>100</v>
      </c>
      <c r="J368">
        <f t="shared" si="23"/>
        <v>45.359237</v>
      </c>
      <c r="K368">
        <v>0.217</v>
      </c>
      <c r="L368">
        <f t="shared" si="24"/>
        <v>9.8429544290000006</v>
      </c>
    </row>
    <row r="369" spans="1:12" x14ac:dyDescent="0.2">
      <c r="A369" s="4">
        <v>43483</v>
      </c>
      <c r="B369" t="s">
        <v>48</v>
      </c>
      <c r="C369" s="28">
        <v>4</v>
      </c>
      <c r="D369" s="6">
        <v>1</v>
      </c>
      <c r="E369">
        <v>50</v>
      </c>
      <c r="F369" t="s">
        <v>343</v>
      </c>
      <c r="G369" t="s">
        <v>343</v>
      </c>
      <c r="H369" s="6" t="s">
        <v>1071</v>
      </c>
      <c r="I369">
        <f t="shared" si="22"/>
        <v>200</v>
      </c>
      <c r="J369">
        <f t="shared" si="23"/>
        <v>90.718474000000001</v>
      </c>
      <c r="K369">
        <v>0.217</v>
      </c>
      <c r="L369">
        <f t="shared" si="24"/>
        <v>19.685908858000001</v>
      </c>
    </row>
    <row r="370" spans="1:12" x14ac:dyDescent="0.2">
      <c r="A370" s="4">
        <v>43483</v>
      </c>
      <c r="B370" t="s">
        <v>48</v>
      </c>
      <c r="C370" s="28">
        <v>3</v>
      </c>
      <c r="D370" s="6">
        <v>1</v>
      </c>
      <c r="E370">
        <v>50</v>
      </c>
      <c r="F370" t="s">
        <v>641</v>
      </c>
      <c r="G370" t="s">
        <v>343</v>
      </c>
      <c r="H370" s="6" t="s">
        <v>1071</v>
      </c>
      <c r="I370">
        <f t="shared" si="22"/>
        <v>150</v>
      </c>
      <c r="J370">
        <f t="shared" si="23"/>
        <v>68.038855500000011</v>
      </c>
      <c r="K370">
        <v>0.217</v>
      </c>
      <c r="L370">
        <f t="shared" si="24"/>
        <v>14.764431643500002</v>
      </c>
    </row>
    <row r="371" spans="1:12" x14ac:dyDescent="0.2">
      <c r="A371" s="4">
        <v>43483</v>
      </c>
      <c r="B371" t="s">
        <v>531</v>
      </c>
      <c r="C371">
        <v>4</v>
      </c>
      <c r="D371">
        <v>6</v>
      </c>
      <c r="E371">
        <v>5</v>
      </c>
      <c r="F371" t="s">
        <v>650</v>
      </c>
      <c r="G371" t="s">
        <v>854</v>
      </c>
      <c r="H371" s="6" t="s">
        <v>1071</v>
      </c>
      <c r="I371">
        <f t="shared" si="22"/>
        <v>120</v>
      </c>
      <c r="J371">
        <f t="shared" si="23"/>
        <v>54.431084400000003</v>
      </c>
      <c r="K371">
        <v>0.217</v>
      </c>
      <c r="L371">
        <f t="shared" si="24"/>
        <v>11.8115453148</v>
      </c>
    </row>
    <row r="372" spans="1:12" x14ac:dyDescent="0.2">
      <c r="A372" s="4">
        <v>43483</v>
      </c>
      <c r="B372" t="s">
        <v>531</v>
      </c>
      <c r="C372">
        <v>7</v>
      </c>
      <c r="D372">
        <v>6</v>
      </c>
      <c r="E372">
        <v>6</v>
      </c>
      <c r="F372" t="s">
        <v>533</v>
      </c>
      <c r="G372" t="s">
        <v>854</v>
      </c>
      <c r="H372" s="6" t="s">
        <v>1071</v>
      </c>
      <c r="I372">
        <f t="shared" si="22"/>
        <v>252</v>
      </c>
      <c r="J372">
        <f t="shared" si="23"/>
        <v>114.30527724000001</v>
      </c>
      <c r="K372">
        <v>0.217</v>
      </c>
      <c r="L372">
        <f t="shared" si="24"/>
        <v>24.804245161080001</v>
      </c>
    </row>
    <row r="373" spans="1:12" x14ac:dyDescent="0.2">
      <c r="A373" s="4">
        <v>43483</v>
      </c>
      <c r="B373" t="s">
        <v>531</v>
      </c>
      <c r="C373">
        <v>4</v>
      </c>
      <c r="D373">
        <v>6</v>
      </c>
      <c r="E373">
        <v>5</v>
      </c>
      <c r="F373" t="s">
        <v>403</v>
      </c>
      <c r="G373" t="s">
        <v>854</v>
      </c>
      <c r="H373" s="6" t="s">
        <v>1071</v>
      </c>
      <c r="I373">
        <f t="shared" si="22"/>
        <v>120</v>
      </c>
      <c r="J373">
        <f t="shared" si="23"/>
        <v>54.431084400000003</v>
      </c>
      <c r="K373">
        <v>0.217</v>
      </c>
      <c r="L373">
        <f t="shared" si="24"/>
        <v>11.8115453148</v>
      </c>
    </row>
    <row r="374" spans="1:12" x14ac:dyDescent="0.2">
      <c r="A374" s="4">
        <v>43483</v>
      </c>
      <c r="B374" t="s">
        <v>531</v>
      </c>
      <c r="C374">
        <v>2</v>
      </c>
      <c r="D374">
        <v>6</v>
      </c>
      <c r="E374">
        <v>3</v>
      </c>
      <c r="F374" t="s">
        <v>404</v>
      </c>
      <c r="G374" t="s">
        <v>854</v>
      </c>
      <c r="H374" s="6" t="s">
        <v>1071</v>
      </c>
      <c r="I374">
        <f t="shared" si="22"/>
        <v>36</v>
      </c>
      <c r="J374">
        <f t="shared" si="23"/>
        <v>16.329325319999999</v>
      </c>
      <c r="K374">
        <v>0.217</v>
      </c>
      <c r="L374">
        <f t="shared" si="24"/>
        <v>3.5434635944399999</v>
      </c>
    </row>
    <row r="375" spans="1:12" x14ac:dyDescent="0.2">
      <c r="A375" s="4">
        <v>43483</v>
      </c>
      <c r="B375" t="s">
        <v>531</v>
      </c>
      <c r="C375">
        <v>3</v>
      </c>
      <c r="D375">
        <v>6</v>
      </c>
      <c r="E375">
        <v>5</v>
      </c>
      <c r="F375" t="s">
        <v>406</v>
      </c>
      <c r="G375" t="s">
        <v>854</v>
      </c>
      <c r="H375" s="6" t="s">
        <v>1071</v>
      </c>
      <c r="I375">
        <f t="shared" si="22"/>
        <v>90</v>
      </c>
      <c r="J375">
        <f t="shared" si="23"/>
        <v>40.823313300000002</v>
      </c>
      <c r="K375">
        <v>0.217</v>
      </c>
      <c r="L375">
        <f t="shared" si="24"/>
        <v>8.8586589861</v>
      </c>
    </row>
    <row r="376" spans="1:12" x14ac:dyDescent="0.2">
      <c r="A376" s="4">
        <v>43483</v>
      </c>
      <c r="B376" t="s">
        <v>531</v>
      </c>
      <c r="C376">
        <v>8</v>
      </c>
      <c r="D376">
        <v>6</v>
      </c>
      <c r="E376">
        <v>5</v>
      </c>
      <c r="F376" t="s">
        <v>419</v>
      </c>
      <c r="G376" t="s">
        <v>854</v>
      </c>
      <c r="H376" s="6" t="s">
        <v>1071</v>
      </c>
      <c r="I376">
        <f t="shared" si="22"/>
        <v>240</v>
      </c>
      <c r="J376">
        <f t="shared" si="23"/>
        <v>108.86216880000001</v>
      </c>
      <c r="K376">
        <v>0.217</v>
      </c>
      <c r="L376">
        <f t="shared" si="24"/>
        <v>23.6230906296</v>
      </c>
    </row>
    <row r="377" spans="1:12" x14ac:dyDescent="0.2">
      <c r="A377" s="4">
        <v>43483</v>
      </c>
      <c r="B377" t="s">
        <v>531</v>
      </c>
      <c r="C377">
        <v>3</v>
      </c>
      <c r="D377">
        <v>6</v>
      </c>
      <c r="E377">
        <v>5</v>
      </c>
      <c r="F377" t="s">
        <v>406</v>
      </c>
      <c r="G377" t="s">
        <v>854</v>
      </c>
      <c r="H377" s="6" t="s">
        <v>1071</v>
      </c>
      <c r="I377">
        <f t="shared" si="22"/>
        <v>90</v>
      </c>
      <c r="J377">
        <f t="shared" si="23"/>
        <v>40.823313300000002</v>
      </c>
      <c r="K377">
        <v>0.217</v>
      </c>
      <c r="L377">
        <f t="shared" si="24"/>
        <v>8.8586589861</v>
      </c>
    </row>
    <row r="378" spans="1:12" x14ac:dyDescent="0.2">
      <c r="A378" s="4">
        <v>43483</v>
      </c>
      <c r="B378" t="s">
        <v>531</v>
      </c>
      <c r="C378">
        <v>6</v>
      </c>
      <c r="D378">
        <v>6</v>
      </c>
      <c r="E378">
        <v>5</v>
      </c>
      <c r="F378" t="s">
        <v>419</v>
      </c>
      <c r="G378" t="s">
        <v>854</v>
      </c>
      <c r="H378" s="6" t="s">
        <v>1071</v>
      </c>
      <c r="I378">
        <f t="shared" si="22"/>
        <v>180</v>
      </c>
      <c r="J378">
        <f t="shared" si="23"/>
        <v>81.646626600000005</v>
      </c>
      <c r="K378">
        <v>0.217</v>
      </c>
      <c r="L378">
        <f t="shared" si="24"/>
        <v>17.7173179722</v>
      </c>
    </row>
    <row r="379" spans="1:12" x14ac:dyDescent="0.2">
      <c r="A379" s="4">
        <v>43484</v>
      </c>
      <c r="B379" t="s">
        <v>531</v>
      </c>
      <c r="C379">
        <v>6</v>
      </c>
      <c r="D379">
        <v>6</v>
      </c>
      <c r="E379">
        <v>5</v>
      </c>
      <c r="F379" t="s">
        <v>403</v>
      </c>
      <c r="G379" t="s">
        <v>854</v>
      </c>
      <c r="H379" s="6" t="s">
        <v>1071</v>
      </c>
      <c r="I379">
        <f t="shared" ref="I379:I442" si="26">C379*D379*E379</f>
        <v>180</v>
      </c>
      <c r="J379">
        <f t="shared" si="23"/>
        <v>81.646626600000005</v>
      </c>
      <c r="K379">
        <v>0.217</v>
      </c>
      <c r="L379">
        <f t="shared" si="24"/>
        <v>17.7173179722</v>
      </c>
    </row>
    <row r="380" spans="1:12" x14ac:dyDescent="0.2">
      <c r="A380" s="4">
        <v>43486</v>
      </c>
      <c r="B380" t="s">
        <v>531</v>
      </c>
      <c r="C380">
        <v>4</v>
      </c>
      <c r="D380">
        <v>6</v>
      </c>
      <c r="E380">
        <v>3</v>
      </c>
      <c r="F380" t="s">
        <v>404</v>
      </c>
      <c r="G380" t="s">
        <v>854</v>
      </c>
      <c r="H380" s="6" t="s">
        <v>1071</v>
      </c>
      <c r="I380">
        <f t="shared" si="26"/>
        <v>72</v>
      </c>
      <c r="J380">
        <f t="shared" si="23"/>
        <v>32.658650639999998</v>
      </c>
      <c r="K380">
        <v>0.217</v>
      </c>
      <c r="L380">
        <f t="shared" si="24"/>
        <v>7.0869271888799998</v>
      </c>
    </row>
    <row r="381" spans="1:12" x14ac:dyDescent="0.2">
      <c r="A381" s="4">
        <v>43488</v>
      </c>
      <c r="B381" t="s">
        <v>531</v>
      </c>
      <c r="C381">
        <v>3</v>
      </c>
      <c r="D381">
        <v>6</v>
      </c>
      <c r="E381">
        <v>6</v>
      </c>
      <c r="F381" t="s">
        <v>533</v>
      </c>
      <c r="G381" t="s">
        <v>854</v>
      </c>
      <c r="H381" s="6" t="s">
        <v>1071</v>
      </c>
      <c r="I381">
        <f t="shared" si="26"/>
        <v>108</v>
      </c>
      <c r="J381">
        <f t="shared" si="23"/>
        <v>48.987975960000007</v>
      </c>
      <c r="K381">
        <v>0.217</v>
      </c>
      <c r="L381">
        <f t="shared" si="24"/>
        <v>10.630390783320001</v>
      </c>
    </row>
    <row r="382" spans="1:12" x14ac:dyDescent="0.2">
      <c r="A382" s="4">
        <v>43488</v>
      </c>
      <c r="B382" t="s">
        <v>531</v>
      </c>
      <c r="C382">
        <v>10</v>
      </c>
      <c r="D382">
        <v>6</v>
      </c>
      <c r="E382">
        <v>5</v>
      </c>
      <c r="F382" t="s">
        <v>419</v>
      </c>
      <c r="G382" t="s">
        <v>854</v>
      </c>
      <c r="H382" s="6" t="s">
        <v>1071</v>
      </c>
      <c r="I382">
        <f t="shared" si="26"/>
        <v>300</v>
      </c>
      <c r="J382">
        <f t="shared" si="23"/>
        <v>136.07771100000002</v>
      </c>
      <c r="K382">
        <v>0.217</v>
      </c>
      <c r="L382">
        <f t="shared" si="24"/>
        <v>29.528863287000004</v>
      </c>
    </row>
    <row r="383" spans="1:12" x14ac:dyDescent="0.2">
      <c r="A383" s="4">
        <v>43483</v>
      </c>
      <c r="B383" t="s">
        <v>538</v>
      </c>
      <c r="C383">
        <v>2</v>
      </c>
      <c r="D383">
        <v>6</v>
      </c>
      <c r="E383">
        <v>2</v>
      </c>
      <c r="F383" t="s">
        <v>570</v>
      </c>
      <c r="G383" t="s">
        <v>877</v>
      </c>
      <c r="H383" s="6" t="s">
        <v>1071</v>
      </c>
      <c r="I383">
        <f t="shared" si="26"/>
        <v>24</v>
      </c>
      <c r="J383">
        <f t="shared" si="23"/>
        <v>10.886216880000001</v>
      </c>
      <c r="K383">
        <v>0.34699999999999998</v>
      </c>
      <c r="L383">
        <f t="shared" si="24"/>
        <v>3.77751725736</v>
      </c>
    </row>
    <row r="384" spans="1:12" x14ac:dyDescent="0.2">
      <c r="A384" s="4">
        <v>43486</v>
      </c>
      <c r="B384" t="s">
        <v>538</v>
      </c>
      <c r="C384">
        <v>2</v>
      </c>
      <c r="D384">
        <v>6</v>
      </c>
      <c r="E384">
        <v>2</v>
      </c>
      <c r="F384" t="s">
        <v>570</v>
      </c>
      <c r="G384" t="s">
        <v>877</v>
      </c>
      <c r="H384" s="6" t="s">
        <v>1071</v>
      </c>
      <c r="I384">
        <f t="shared" si="26"/>
        <v>24</v>
      </c>
      <c r="J384">
        <f t="shared" si="23"/>
        <v>10.886216880000001</v>
      </c>
      <c r="K384">
        <v>0.34699999999999998</v>
      </c>
      <c r="L384">
        <f t="shared" si="24"/>
        <v>3.77751725736</v>
      </c>
    </row>
    <row r="385" spans="1:12" x14ac:dyDescent="0.2">
      <c r="A385" s="4">
        <v>43483</v>
      </c>
      <c r="B385" t="s">
        <v>538</v>
      </c>
      <c r="C385">
        <v>2</v>
      </c>
      <c r="D385">
        <v>1</v>
      </c>
      <c r="E385">
        <v>25</v>
      </c>
      <c r="F385" t="s">
        <v>424</v>
      </c>
      <c r="G385" t="s">
        <v>859</v>
      </c>
      <c r="H385" s="6" t="s">
        <v>1071</v>
      </c>
      <c r="I385">
        <f t="shared" si="26"/>
        <v>50</v>
      </c>
      <c r="J385">
        <f t="shared" si="23"/>
        <v>22.6796185</v>
      </c>
      <c r="K385">
        <v>1.5409999999999999</v>
      </c>
      <c r="L385">
        <f t="shared" si="24"/>
        <v>34.949292108499996</v>
      </c>
    </row>
    <row r="386" spans="1:12" x14ac:dyDescent="0.2">
      <c r="A386" s="4">
        <v>43483</v>
      </c>
      <c r="B386" t="s">
        <v>538</v>
      </c>
      <c r="C386">
        <v>4</v>
      </c>
      <c r="D386">
        <v>2</v>
      </c>
      <c r="E386">
        <v>5</v>
      </c>
      <c r="F386" t="s">
        <v>429</v>
      </c>
      <c r="G386" t="s">
        <v>859</v>
      </c>
      <c r="H386" s="6" t="s">
        <v>1071</v>
      </c>
      <c r="I386">
        <f t="shared" si="26"/>
        <v>40</v>
      </c>
      <c r="J386">
        <f t="shared" si="23"/>
        <v>18.143694800000002</v>
      </c>
      <c r="K386">
        <v>1.5409999999999999</v>
      </c>
      <c r="L386">
        <f t="shared" si="24"/>
        <v>27.959433686800001</v>
      </c>
    </row>
    <row r="387" spans="1:12" x14ac:dyDescent="0.2">
      <c r="A387" s="4">
        <v>43483</v>
      </c>
      <c r="B387" t="s">
        <v>538</v>
      </c>
      <c r="C387">
        <v>3</v>
      </c>
      <c r="D387">
        <v>1</v>
      </c>
      <c r="E387">
        <v>25</v>
      </c>
      <c r="F387" t="s">
        <v>452</v>
      </c>
      <c r="G387" t="s">
        <v>859</v>
      </c>
      <c r="H387" s="6" t="s">
        <v>1071</v>
      </c>
      <c r="I387">
        <f t="shared" si="26"/>
        <v>75</v>
      </c>
      <c r="J387">
        <f t="shared" ref="J387:J450" si="27">CONVERT(I387,"lbm","kg")</f>
        <v>34.019427750000006</v>
      </c>
      <c r="K387">
        <v>1.5409999999999999</v>
      </c>
      <c r="L387">
        <f t="shared" ref="L387:L450" si="28">K387*J387</f>
        <v>52.423938162750005</v>
      </c>
    </row>
    <row r="388" spans="1:12" x14ac:dyDescent="0.2">
      <c r="A388" s="4">
        <v>43483</v>
      </c>
      <c r="B388" t="s">
        <v>538</v>
      </c>
      <c r="C388">
        <v>2</v>
      </c>
      <c r="D388">
        <v>1</v>
      </c>
      <c r="E388">
        <v>50</v>
      </c>
      <c r="F388" t="s">
        <v>459</v>
      </c>
      <c r="G388" t="s">
        <v>859</v>
      </c>
      <c r="H388" s="6" t="s">
        <v>1071</v>
      </c>
      <c r="I388">
        <f t="shared" si="26"/>
        <v>100</v>
      </c>
      <c r="J388">
        <f t="shared" si="27"/>
        <v>45.359237</v>
      </c>
      <c r="K388">
        <v>1.5409999999999999</v>
      </c>
      <c r="L388">
        <f t="shared" si="28"/>
        <v>69.898584216999993</v>
      </c>
    </row>
    <row r="389" spans="1:12" x14ac:dyDescent="0.2">
      <c r="A389" s="4">
        <v>43484</v>
      </c>
      <c r="B389" t="s">
        <v>538</v>
      </c>
      <c r="C389">
        <v>1</v>
      </c>
      <c r="D389">
        <v>1</v>
      </c>
      <c r="E389">
        <v>25</v>
      </c>
      <c r="F389" t="s">
        <v>424</v>
      </c>
      <c r="G389" t="s">
        <v>859</v>
      </c>
      <c r="H389" s="6" t="s">
        <v>1071</v>
      </c>
      <c r="I389">
        <f t="shared" si="26"/>
        <v>25</v>
      </c>
      <c r="J389">
        <f t="shared" si="27"/>
        <v>11.33980925</v>
      </c>
      <c r="K389">
        <v>1.5409999999999999</v>
      </c>
      <c r="L389">
        <f t="shared" si="28"/>
        <v>17.474646054249998</v>
      </c>
    </row>
    <row r="390" spans="1:12" x14ac:dyDescent="0.2">
      <c r="A390" s="4">
        <v>43484</v>
      </c>
      <c r="B390" t="s">
        <v>538</v>
      </c>
      <c r="C390">
        <v>2</v>
      </c>
      <c r="D390">
        <v>1</v>
      </c>
      <c r="E390">
        <v>25</v>
      </c>
      <c r="F390" t="s">
        <v>452</v>
      </c>
      <c r="G390" t="s">
        <v>859</v>
      </c>
      <c r="H390" s="6" t="s">
        <v>1071</v>
      </c>
      <c r="I390">
        <f t="shared" si="26"/>
        <v>50</v>
      </c>
      <c r="J390">
        <f t="shared" si="27"/>
        <v>22.6796185</v>
      </c>
      <c r="K390">
        <v>1.5409999999999999</v>
      </c>
      <c r="L390">
        <f t="shared" si="28"/>
        <v>34.949292108499996</v>
      </c>
    </row>
    <row r="391" spans="1:12" x14ac:dyDescent="0.2">
      <c r="A391" s="4">
        <v>43486</v>
      </c>
      <c r="B391" t="s">
        <v>538</v>
      </c>
      <c r="C391">
        <v>3</v>
      </c>
      <c r="D391">
        <v>1</v>
      </c>
      <c r="E391">
        <v>25</v>
      </c>
      <c r="F391" t="s">
        <v>424</v>
      </c>
      <c r="G391" t="s">
        <v>859</v>
      </c>
      <c r="H391" s="6" t="s">
        <v>1071</v>
      </c>
      <c r="I391">
        <f t="shared" si="26"/>
        <v>75</v>
      </c>
      <c r="J391">
        <f t="shared" si="27"/>
        <v>34.019427750000006</v>
      </c>
      <c r="K391">
        <v>1.5409999999999999</v>
      </c>
      <c r="L391">
        <f t="shared" si="28"/>
        <v>52.423938162750005</v>
      </c>
    </row>
    <row r="392" spans="1:12" x14ac:dyDescent="0.2">
      <c r="A392" s="4">
        <v>43486</v>
      </c>
      <c r="B392" t="s">
        <v>538</v>
      </c>
      <c r="C392">
        <v>2</v>
      </c>
      <c r="D392">
        <v>1</v>
      </c>
      <c r="E392">
        <v>25</v>
      </c>
      <c r="F392" t="s">
        <v>452</v>
      </c>
      <c r="G392" t="s">
        <v>859</v>
      </c>
      <c r="H392" s="6" t="s">
        <v>1071</v>
      </c>
      <c r="I392">
        <f t="shared" si="26"/>
        <v>50</v>
      </c>
      <c r="J392">
        <f t="shared" si="27"/>
        <v>22.6796185</v>
      </c>
      <c r="K392">
        <v>1.5409999999999999</v>
      </c>
      <c r="L392">
        <f t="shared" si="28"/>
        <v>34.949292108499996</v>
      </c>
    </row>
    <row r="393" spans="1:12" x14ac:dyDescent="0.2">
      <c r="A393" s="4">
        <v>43486</v>
      </c>
      <c r="B393" t="s">
        <v>538</v>
      </c>
      <c r="C393">
        <v>2</v>
      </c>
      <c r="D393">
        <v>2</v>
      </c>
      <c r="E393">
        <v>5</v>
      </c>
      <c r="F393" t="s">
        <v>564</v>
      </c>
      <c r="G393" t="s">
        <v>859</v>
      </c>
      <c r="H393" s="6" t="s">
        <v>1071</v>
      </c>
      <c r="I393">
        <f t="shared" si="26"/>
        <v>20</v>
      </c>
      <c r="J393">
        <f t="shared" si="27"/>
        <v>9.0718474000000011</v>
      </c>
      <c r="K393">
        <v>1.5409999999999999</v>
      </c>
      <c r="L393">
        <f t="shared" si="28"/>
        <v>13.9797168434</v>
      </c>
    </row>
    <row r="394" spans="1:12" x14ac:dyDescent="0.2">
      <c r="A394" s="4">
        <v>43488</v>
      </c>
      <c r="B394" t="s">
        <v>538</v>
      </c>
      <c r="C394">
        <v>2</v>
      </c>
      <c r="D394">
        <v>1</v>
      </c>
      <c r="E394">
        <v>25</v>
      </c>
      <c r="F394" t="s">
        <v>424</v>
      </c>
      <c r="G394" t="s">
        <v>859</v>
      </c>
      <c r="H394" s="6" t="s">
        <v>1071</v>
      </c>
      <c r="I394">
        <f t="shared" si="26"/>
        <v>50</v>
      </c>
      <c r="J394">
        <f t="shared" si="27"/>
        <v>22.6796185</v>
      </c>
      <c r="K394">
        <v>1.5409999999999999</v>
      </c>
      <c r="L394">
        <f t="shared" si="28"/>
        <v>34.949292108499996</v>
      </c>
    </row>
    <row r="395" spans="1:12" x14ac:dyDescent="0.2">
      <c r="A395" s="4">
        <v>43488</v>
      </c>
      <c r="B395" t="s">
        <v>538</v>
      </c>
      <c r="C395">
        <v>3</v>
      </c>
      <c r="D395">
        <v>1</v>
      </c>
      <c r="E395">
        <v>25</v>
      </c>
      <c r="F395" t="s">
        <v>452</v>
      </c>
      <c r="G395" t="s">
        <v>859</v>
      </c>
      <c r="H395" s="6" t="s">
        <v>1071</v>
      </c>
      <c r="I395">
        <f t="shared" si="26"/>
        <v>75</v>
      </c>
      <c r="J395">
        <f t="shared" si="27"/>
        <v>34.019427750000006</v>
      </c>
      <c r="K395">
        <v>1.5409999999999999</v>
      </c>
      <c r="L395">
        <f t="shared" si="28"/>
        <v>52.423938162750005</v>
      </c>
    </row>
    <row r="396" spans="1:12" x14ac:dyDescent="0.2">
      <c r="A396" s="4">
        <v>43488</v>
      </c>
      <c r="B396" t="s">
        <v>538</v>
      </c>
      <c r="C396">
        <v>2</v>
      </c>
      <c r="D396">
        <v>2</v>
      </c>
      <c r="E396">
        <v>5</v>
      </c>
      <c r="F396" t="s">
        <v>686</v>
      </c>
      <c r="G396" t="s">
        <v>859</v>
      </c>
      <c r="H396" s="6" t="s">
        <v>1071</v>
      </c>
      <c r="I396">
        <f t="shared" si="26"/>
        <v>20</v>
      </c>
      <c r="J396">
        <f t="shared" si="27"/>
        <v>9.0718474000000011</v>
      </c>
      <c r="K396">
        <v>1.5409999999999999</v>
      </c>
      <c r="L396">
        <f t="shared" si="28"/>
        <v>13.9797168434</v>
      </c>
    </row>
    <row r="397" spans="1:12" x14ac:dyDescent="0.2">
      <c r="A397" s="4">
        <v>43483</v>
      </c>
      <c r="B397" t="s">
        <v>527</v>
      </c>
      <c r="C397">
        <v>15</v>
      </c>
      <c r="D397">
        <v>1</v>
      </c>
      <c r="E397">
        <v>10</v>
      </c>
      <c r="F397" t="s">
        <v>399</v>
      </c>
      <c r="G397" t="s">
        <v>928</v>
      </c>
      <c r="H397" s="6" t="s">
        <v>1072</v>
      </c>
      <c r="I397">
        <f t="shared" si="26"/>
        <v>150</v>
      </c>
      <c r="J397">
        <f t="shared" si="27"/>
        <v>68.038855500000011</v>
      </c>
      <c r="K397">
        <v>3.0209999999999999</v>
      </c>
      <c r="L397">
        <f t="shared" si="28"/>
        <v>205.54538246550004</v>
      </c>
    </row>
    <row r="398" spans="1:12" x14ac:dyDescent="0.2">
      <c r="A398" s="4">
        <v>43488</v>
      </c>
      <c r="B398" t="s">
        <v>527</v>
      </c>
      <c r="C398">
        <v>8</v>
      </c>
      <c r="D398">
        <v>1</v>
      </c>
      <c r="E398">
        <v>10</v>
      </c>
      <c r="F398" t="s">
        <v>399</v>
      </c>
      <c r="G398" t="s">
        <v>928</v>
      </c>
      <c r="H398" s="6" t="s">
        <v>1072</v>
      </c>
      <c r="I398">
        <f t="shared" si="26"/>
        <v>80</v>
      </c>
      <c r="J398">
        <f t="shared" si="27"/>
        <v>36.287389600000004</v>
      </c>
      <c r="K398">
        <v>3.0209999999999999</v>
      </c>
      <c r="L398">
        <f t="shared" si="28"/>
        <v>109.6242039816</v>
      </c>
    </row>
    <row r="399" spans="1:12" x14ac:dyDescent="0.2">
      <c r="A399" s="4">
        <v>43488</v>
      </c>
      <c r="B399" t="s">
        <v>48</v>
      </c>
      <c r="C399" s="28">
        <v>1</v>
      </c>
      <c r="D399" s="6">
        <v>1</v>
      </c>
      <c r="E399">
        <f>4*4.54</f>
        <v>18.16</v>
      </c>
      <c r="F399" t="s">
        <v>492</v>
      </c>
      <c r="G399" t="s">
        <v>838</v>
      </c>
      <c r="H399" s="6" t="s">
        <v>1071</v>
      </c>
      <c r="I399">
        <f t="shared" si="26"/>
        <v>18.16</v>
      </c>
      <c r="J399">
        <f t="shared" si="27"/>
        <v>8.2372374392000012</v>
      </c>
      <c r="K399">
        <v>0.27500000000000002</v>
      </c>
      <c r="L399">
        <f t="shared" si="28"/>
        <v>2.2652402957800004</v>
      </c>
    </row>
    <row r="400" spans="1:12" x14ac:dyDescent="0.2">
      <c r="A400" s="10">
        <v>43483</v>
      </c>
      <c r="B400" s="8" t="s">
        <v>946</v>
      </c>
      <c r="C400" s="6">
        <v>1</v>
      </c>
      <c r="D400" s="9">
        <v>1</v>
      </c>
      <c r="E400" s="8">
        <v>100</v>
      </c>
      <c r="F400" s="9" t="s">
        <v>954</v>
      </c>
      <c r="G400" s="9" t="s">
        <v>951</v>
      </c>
      <c r="H400" s="6" t="s">
        <v>1071</v>
      </c>
      <c r="I400">
        <f t="shared" si="26"/>
        <v>100</v>
      </c>
      <c r="J400">
        <f t="shared" si="27"/>
        <v>45.359237</v>
      </c>
      <c r="K400">
        <v>0.63900000000000001</v>
      </c>
      <c r="L400">
        <f t="shared" si="28"/>
        <v>28.984552443000002</v>
      </c>
    </row>
    <row r="401" spans="1:12" x14ac:dyDescent="0.2">
      <c r="A401" s="4">
        <v>43488</v>
      </c>
      <c r="B401" t="s">
        <v>517</v>
      </c>
      <c r="C401">
        <v>3</v>
      </c>
      <c r="D401">
        <v>1</v>
      </c>
      <c r="E401">
        <f>2.5*8.6</f>
        <v>21.5</v>
      </c>
      <c r="F401" t="s">
        <v>463</v>
      </c>
      <c r="G401" t="s">
        <v>933</v>
      </c>
      <c r="H401" s="6" t="s">
        <v>1071</v>
      </c>
      <c r="I401">
        <f t="shared" si="26"/>
        <v>64.5</v>
      </c>
      <c r="J401">
        <f t="shared" si="27"/>
        <v>29.256707864999999</v>
      </c>
      <c r="K401">
        <v>0.25800000000000001</v>
      </c>
      <c r="L401">
        <f t="shared" si="28"/>
        <v>7.5482306291699999</v>
      </c>
    </row>
    <row r="402" spans="1:12" x14ac:dyDescent="0.2">
      <c r="A402" s="4">
        <v>43488</v>
      </c>
      <c r="B402" t="s">
        <v>517</v>
      </c>
      <c r="C402">
        <v>3</v>
      </c>
      <c r="D402">
        <v>1</v>
      </c>
      <c r="E402">
        <f>2.5*8.6</f>
        <v>21.5</v>
      </c>
      <c r="F402" t="s">
        <v>464</v>
      </c>
      <c r="G402" t="s">
        <v>933</v>
      </c>
      <c r="H402" s="6" t="s">
        <v>1071</v>
      </c>
      <c r="I402">
        <f t="shared" si="26"/>
        <v>64.5</v>
      </c>
      <c r="J402">
        <f t="shared" si="27"/>
        <v>29.256707864999999</v>
      </c>
      <c r="K402">
        <v>0.25800000000000001</v>
      </c>
      <c r="L402">
        <f t="shared" si="28"/>
        <v>7.5482306291699999</v>
      </c>
    </row>
    <row r="403" spans="1:12" x14ac:dyDescent="0.2">
      <c r="A403" s="4">
        <v>43483</v>
      </c>
      <c r="B403" t="s">
        <v>48</v>
      </c>
      <c r="C403" s="28">
        <v>2</v>
      </c>
      <c r="D403" s="6">
        <v>1</v>
      </c>
      <c r="E403">
        <v>20</v>
      </c>
      <c r="F403" t="s">
        <v>250</v>
      </c>
      <c r="G403" t="s">
        <v>963</v>
      </c>
      <c r="H403" s="6" t="s">
        <v>1071</v>
      </c>
      <c r="I403">
        <f t="shared" si="26"/>
        <v>40</v>
      </c>
      <c r="J403">
        <f t="shared" si="27"/>
        <v>18.143694800000002</v>
      </c>
      <c r="K403">
        <v>1.1539999999999999</v>
      </c>
      <c r="L403">
        <f t="shared" si="28"/>
        <v>20.9378237992</v>
      </c>
    </row>
    <row r="404" spans="1:12" x14ac:dyDescent="0.2">
      <c r="A404" s="4">
        <v>43487</v>
      </c>
      <c r="B404" t="s">
        <v>48</v>
      </c>
      <c r="C404" s="28">
        <v>2</v>
      </c>
      <c r="D404" s="6">
        <v>1</v>
      </c>
      <c r="E404">
        <v>20</v>
      </c>
      <c r="F404" t="s">
        <v>250</v>
      </c>
      <c r="G404" t="s">
        <v>962</v>
      </c>
      <c r="H404" s="6" t="s">
        <v>1071</v>
      </c>
      <c r="I404">
        <f t="shared" si="26"/>
        <v>40</v>
      </c>
      <c r="J404">
        <f t="shared" si="27"/>
        <v>18.143694800000002</v>
      </c>
      <c r="K404">
        <v>1.1539999999999999</v>
      </c>
      <c r="L404">
        <f t="shared" si="28"/>
        <v>20.9378237992</v>
      </c>
    </row>
    <row r="405" spans="1:12" x14ac:dyDescent="0.2">
      <c r="A405" s="4">
        <v>43484</v>
      </c>
      <c r="B405" t="s">
        <v>48</v>
      </c>
      <c r="C405" s="28">
        <v>2</v>
      </c>
      <c r="D405" s="6">
        <v>1</v>
      </c>
      <c r="E405">
        <v>20</v>
      </c>
      <c r="F405" t="s">
        <v>250</v>
      </c>
      <c r="G405" t="s">
        <v>962</v>
      </c>
      <c r="H405" s="6" t="s">
        <v>1071</v>
      </c>
      <c r="I405">
        <f t="shared" si="26"/>
        <v>40</v>
      </c>
      <c r="J405">
        <f t="shared" si="27"/>
        <v>18.143694800000002</v>
      </c>
      <c r="K405">
        <v>1.1539999999999999</v>
      </c>
      <c r="L405">
        <f t="shared" si="28"/>
        <v>20.9378237992</v>
      </c>
    </row>
    <row r="406" spans="1:12" x14ac:dyDescent="0.2">
      <c r="A406" s="4">
        <v>43486</v>
      </c>
      <c r="B406" t="s">
        <v>517</v>
      </c>
      <c r="C406">
        <v>2</v>
      </c>
      <c r="D406">
        <v>1</v>
      </c>
      <c r="E406">
        <f>2.5*8.6</f>
        <v>21.5</v>
      </c>
      <c r="F406" t="s">
        <v>463</v>
      </c>
      <c r="G406" t="s">
        <v>965</v>
      </c>
      <c r="H406" s="6" t="s">
        <v>1071</v>
      </c>
      <c r="I406">
        <f t="shared" si="26"/>
        <v>43</v>
      </c>
      <c r="J406">
        <f t="shared" si="27"/>
        <v>19.504471909999999</v>
      </c>
      <c r="K406">
        <v>0.25800000000000001</v>
      </c>
      <c r="L406">
        <f t="shared" si="28"/>
        <v>5.0321537527800002</v>
      </c>
    </row>
    <row r="407" spans="1:12" x14ac:dyDescent="0.2">
      <c r="A407" s="4">
        <v>43486</v>
      </c>
      <c r="B407" t="s">
        <v>517</v>
      </c>
      <c r="C407">
        <v>0</v>
      </c>
      <c r="D407">
        <v>1</v>
      </c>
      <c r="E407">
        <f>2.5*8.6</f>
        <v>21.5</v>
      </c>
      <c r="F407" t="s">
        <v>464</v>
      </c>
      <c r="G407" t="s">
        <v>965</v>
      </c>
      <c r="H407" s="6" t="s">
        <v>1071</v>
      </c>
      <c r="I407">
        <f t="shared" si="26"/>
        <v>0</v>
      </c>
      <c r="J407">
        <f t="shared" si="27"/>
        <v>0</v>
      </c>
      <c r="K407">
        <v>0.25800000000000001</v>
      </c>
      <c r="L407">
        <f t="shared" si="28"/>
        <v>0</v>
      </c>
    </row>
    <row r="408" spans="1:12" x14ac:dyDescent="0.2">
      <c r="A408" s="4">
        <v>43483</v>
      </c>
      <c r="B408" t="s">
        <v>517</v>
      </c>
      <c r="C408">
        <v>1</v>
      </c>
      <c r="D408">
        <v>1</v>
      </c>
      <c r="E408">
        <f>2.5*8.6</f>
        <v>21.5</v>
      </c>
      <c r="F408" t="s">
        <v>463</v>
      </c>
      <c r="G408" t="s">
        <v>965</v>
      </c>
      <c r="H408" s="6" t="s">
        <v>1071</v>
      </c>
      <c r="I408">
        <f t="shared" si="26"/>
        <v>21.5</v>
      </c>
      <c r="J408">
        <f t="shared" si="27"/>
        <v>9.7522359549999997</v>
      </c>
      <c r="K408">
        <v>0.25800000000000001</v>
      </c>
      <c r="L408">
        <f t="shared" si="28"/>
        <v>2.5160768763900001</v>
      </c>
    </row>
    <row r="409" spans="1:12" x14ac:dyDescent="0.2">
      <c r="A409" s="4">
        <v>43483</v>
      </c>
      <c r="B409" t="s">
        <v>517</v>
      </c>
      <c r="C409">
        <v>2</v>
      </c>
      <c r="D409">
        <v>1</v>
      </c>
      <c r="E409">
        <f>2.5*8.6</f>
        <v>21.5</v>
      </c>
      <c r="F409" t="s">
        <v>464</v>
      </c>
      <c r="G409" t="s">
        <v>965</v>
      </c>
      <c r="H409" s="6" t="s">
        <v>1071</v>
      </c>
      <c r="I409">
        <f t="shared" si="26"/>
        <v>43</v>
      </c>
      <c r="J409">
        <f t="shared" si="27"/>
        <v>19.504471909999999</v>
      </c>
      <c r="K409">
        <v>0.25800000000000001</v>
      </c>
      <c r="L409">
        <f t="shared" si="28"/>
        <v>5.0321537527800002</v>
      </c>
    </row>
    <row r="410" spans="1:12" x14ac:dyDescent="0.2">
      <c r="A410" s="4">
        <v>43483</v>
      </c>
      <c r="B410" t="s">
        <v>538</v>
      </c>
      <c r="C410">
        <v>3</v>
      </c>
      <c r="D410">
        <v>6</v>
      </c>
      <c r="E410">
        <f>14/16</f>
        <v>0.875</v>
      </c>
      <c r="F410" t="s">
        <v>581</v>
      </c>
      <c r="G410" t="s">
        <v>869</v>
      </c>
      <c r="H410" s="6" t="s">
        <v>1071</v>
      </c>
      <c r="I410">
        <f t="shared" si="26"/>
        <v>15.75</v>
      </c>
      <c r="J410">
        <f t="shared" si="27"/>
        <v>7.1440798275000006</v>
      </c>
      <c r="K410">
        <v>0.87</v>
      </c>
      <c r="L410">
        <f t="shared" si="28"/>
        <v>6.2153494499250002</v>
      </c>
    </row>
    <row r="411" spans="1:12" x14ac:dyDescent="0.2">
      <c r="A411" s="4">
        <v>43483</v>
      </c>
      <c r="B411" t="s">
        <v>538</v>
      </c>
      <c r="C411">
        <v>1</v>
      </c>
      <c r="D411">
        <v>3</v>
      </c>
      <c r="E411">
        <v>7.25</v>
      </c>
      <c r="F411" t="s">
        <v>554</v>
      </c>
      <c r="G411" t="s">
        <v>869</v>
      </c>
      <c r="H411" s="6" t="s">
        <v>1071</v>
      </c>
      <c r="I411">
        <f t="shared" si="26"/>
        <v>21.75</v>
      </c>
      <c r="J411">
        <f t="shared" si="27"/>
        <v>9.8656340475000004</v>
      </c>
      <c r="K411">
        <v>0.87</v>
      </c>
      <c r="L411">
        <f t="shared" si="28"/>
        <v>8.5831016213249995</v>
      </c>
    </row>
    <row r="412" spans="1:12" x14ac:dyDescent="0.2">
      <c r="A412" s="4">
        <v>43483</v>
      </c>
      <c r="B412" t="s">
        <v>538</v>
      </c>
      <c r="C412">
        <v>2</v>
      </c>
      <c r="D412">
        <v>6</v>
      </c>
      <c r="E412">
        <f>18/16</f>
        <v>1.125</v>
      </c>
      <c r="F412" t="s">
        <v>661</v>
      </c>
      <c r="G412" t="s">
        <v>869</v>
      </c>
      <c r="H412" s="6" t="s">
        <v>1071</v>
      </c>
      <c r="I412">
        <f t="shared" si="26"/>
        <v>13.5</v>
      </c>
      <c r="J412">
        <f t="shared" si="27"/>
        <v>6.1234969950000009</v>
      </c>
      <c r="K412">
        <v>0.87</v>
      </c>
      <c r="L412">
        <f t="shared" si="28"/>
        <v>5.3274423856500004</v>
      </c>
    </row>
    <row r="413" spans="1:12" x14ac:dyDescent="0.2">
      <c r="A413" s="4">
        <v>43483</v>
      </c>
      <c r="B413" t="s">
        <v>538</v>
      </c>
      <c r="C413">
        <v>2</v>
      </c>
      <c r="D413">
        <v>6</v>
      </c>
      <c r="E413">
        <v>1</v>
      </c>
      <c r="F413" t="s">
        <v>582</v>
      </c>
      <c r="G413" t="s">
        <v>869</v>
      </c>
      <c r="H413" s="6" t="s">
        <v>1071</v>
      </c>
      <c r="I413">
        <f t="shared" si="26"/>
        <v>12</v>
      </c>
      <c r="J413">
        <f t="shared" si="27"/>
        <v>5.4431084400000005</v>
      </c>
      <c r="K413">
        <v>0.87</v>
      </c>
      <c r="L413">
        <f t="shared" si="28"/>
        <v>4.7355043428000005</v>
      </c>
    </row>
    <row r="414" spans="1:12" x14ac:dyDescent="0.2">
      <c r="A414" s="4">
        <v>43483</v>
      </c>
      <c r="B414" t="s">
        <v>538</v>
      </c>
      <c r="C414">
        <v>1</v>
      </c>
      <c r="D414">
        <v>3</v>
      </c>
      <c r="E414">
        <v>5</v>
      </c>
      <c r="F414" t="s">
        <v>662</v>
      </c>
      <c r="G414" t="s">
        <v>869</v>
      </c>
      <c r="H414" s="6" t="s">
        <v>1071</v>
      </c>
      <c r="I414">
        <f t="shared" si="26"/>
        <v>15</v>
      </c>
      <c r="J414">
        <f t="shared" si="27"/>
        <v>6.8038855500000004</v>
      </c>
      <c r="K414">
        <v>0.87</v>
      </c>
      <c r="L414">
        <f t="shared" si="28"/>
        <v>5.9193804285000002</v>
      </c>
    </row>
    <row r="415" spans="1:12" x14ac:dyDescent="0.2">
      <c r="A415" s="4">
        <v>43483</v>
      </c>
      <c r="B415" t="s">
        <v>538</v>
      </c>
      <c r="C415">
        <v>2</v>
      </c>
      <c r="D415">
        <v>6</v>
      </c>
      <c r="E415">
        <f>14/16</f>
        <v>0.875</v>
      </c>
      <c r="F415" t="s">
        <v>663</v>
      </c>
      <c r="G415" t="s">
        <v>869</v>
      </c>
      <c r="H415" s="6" t="s">
        <v>1071</v>
      </c>
      <c r="I415">
        <f t="shared" si="26"/>
        <v>10.5</v>
      </c>
      <c r="J415">
        <f t="shared" si="27"/>
        <v>4.7627198850000001</v>
      </c>
      <c r="K415">
        <v>0.87</v>
      </c>
      <c r="L415">
        <f t="shared" si="28"/>
        <v>4.1435662999499998</v>
      </c>
    </row>
    <row r="416" spans="1:12" x14ac:dyDescent="0.2">
      <c r="A416" s="4">
        <v>43486</v>
      </c>
      <c r="B416" t="s">
        <v>538</v>
      </c>
      <c r="C416">
        <v>1</v>
      </c>
      <c r="D416">
        <v>3</v>
      </c>
      <c r="E416">
        <f>7.25</f>
        <v>7.25</v>
      </c>
      <c r="F416" t="s">
        <v>554</v>
      </c>
      <c r="G416" t="s">
        <v>869</v>
      </c>
      <c r="H416" s="6" t="s">
        <v>1071</v>
      </c>
      <c r="I416">
        <f t="shared" si="26"/>
        <v>21.75</v>
      </c>
      <c r="J416">
        <f t="shared" si="27"/>
        <v>9.8656340475000004</v>
      </c>
      <c r="K416">
        <v>0.87</v>
      </c>
      <c r="L416">
        <f t="shared" si="28"/>
        <v>8.5831016213249995</v>
      </c>
    </row>
    <row r="417" spans="1:12" x14ac:dyDescent="0.2">
      <c r="A417" s="4">
        <v>43486</v>
      </c>
      <c r="B417" t="s">
        <v>538</v>
      </c>
      <c r="C417">
        <v>2</v>
      </c>
      <c r="D417">
        <v>6</v>
      </c>
      <c r="E417">
        <f>18/16</f>
        <v>1.125</v>
      </c>
      <c r="F417" t="s">
        <v>661</v>
      </c>
      <c r="G417" t="s">
        <v>869</v>
      </c>
      <c r="H417" s="6" t="s">
        <v>1071</v>
      </c>
      <c r="I417">
        <f t="shared" si="26"/>
        <v>13.5</v>
      </c>
      <c r="J417">
        <f t="shared" si="27"/>
        <v>6.1234969950000009</v>
      </c>
      <c r="K417">
        <v>0.87</v>
      </c>
      <c r="L417">
        <f t="shared" si="28"/>
        <v>5.3274423856500004</v>
      </c>
    </row>
    <row r="418" spans="1:12" x14ac:dyDescent="0.2">
      <c r="A418" s="4">
        <v>43486</v>
      </c>
      <c r="B418" t="s">
        <v>538</v>
      </c>
      <c r="C418">
        <v>1</v>
      </c>
      <c r="D418">
        <v>6</v>
      </c>
      <c r="E418">
        <f>18/16</f>
        <v>1.125</v>
      </c>
      <c r="F418" t="s">
        <v>583</v>
      </c>
      <c r="G418" t="s">
        <v>987</v>
      </c>
      <c r="H418" s="6" t="s">
        <v>1071</v>
      </c>
      <c r="I418">
        <f t="shared" si="26"/>
        <v>6.75</v>
      </c>
      <c r="J418">
        <f t="shared" si="27"/>
        <v>3.0617484975000004</v>
      </c>
      <c r="K418">
        <v>0.87</v>
      </c>
      <c r="L418">
        <f t="shared" si="28"/>
        <v>2.6637211928250002</v>
      </c>
    </row>
    <row r="419" spans="1:12" x14ac:dyDescent="0.2">
      <c r="A419" s="4">
        <v>43483</v>
      </c>
      <c r="B419" t="s">
        <v>538</v>
      </c>
      <c r="C419">
        <v>1</v>
      </c>
      <c r="D419">
        <v>12</v>
      </c>
      <c r="E419">
        <v>3</v>
      </c>
      <c r="F419" t="s">
        <v>451</v>
      </c>
      <c r="G419" t="s">
        <v>907</v>
      </c>
      <c r="H419" s="6" t="s">
        <v>1071</v>
      </c>
      <c r="I419">
        <f t="shared" si="26"/>
        <v>36</v>
      </c>
      <c r="J419">
        <f t="shared" si="27"/>
        <v>16.329325319999999</v>
      </c>
      <c r="K419">
        <v>0.87</v>
      </c>
      <c r="L419">
        <f t="shared" si="28"/>
        <v>14.206513028399998</v>
      </c>
    </row>
    <row r="420" spans="1:12" x14ac:dyDescent="0.2">
      <c r="A420" s="4">
        <v>43488</v>
      </c>
      <c r="B420" t="s">
        <v>538</v>
      </c>
      <c r="C420">
        <v>2</v>
      </c>
      <c r="D420">
        <v>12</v>
      </c>
      <c r="E420">
        <v>3</v>
      </c>
      <c r="F420" t="s">
        <v>451</v>
      </c>
      <c r="G420" t="s">
        <v>907</v>
      </c>
      <c r="H420" s="6" t="s">
        <v>1071</v>
      </c>
      <c r="I420">
        <f t="shared" si="26"/>
        <v>72</v>
      </c>
      <c r="J420">
        <f t="shared" si="27"/>
        <v>32.658650639999998</v>
      </c>
      <c r="K420">
        <v>0.87</v>
      </c>
      <c r="L420">
        <f t="shared" si="28"/>
        <v>28.413026056799996</v>
      </c>
    </row>
    <row r="421" spans="1:12" x14ac:dyDescent="0.2">
      <c r="A421" s="4">
        <v>43486</v>
      </c>
      <c r="B421" t="s">
        <v>48</v>
      </c>
      <c r="C421" s="28">
        <v>2</v>
      </c>
      <c r="D421" s="6">
        <v>1</v>
      </c>
      <c r="E421">
        <f t="shared" ref="E421:E426" si="29">4*2.5</f>
        <v>10</v>
      </c>
      <c r="F421" t="s">
        <v>330</v>
      </c>
      <c r="G421" t="s">
        <v>815</v>
      </c>
      <c r="H421" s="6" t="s">
        <v>1071</v>
      </c>
      <c r="I421">
        <f t="shared" si="26"/>
        <v>20</v>
      </c>
      <c r="J421">
        <f t="shared" si="27"/>
        <v>9.0718474000000011</v>
      </c>
      <c r="K421">
        <v>0.307</v>
      </c>
      <c r="L421">
        <f t="shared" si="28"/>
        <v>2.7850571518000002</v>
      </c>
    </row>
    <row r="422" spans="1:12" x14ac:dyDescent="0.2">
      <c r="A422" s="4">
        <v>43487</v>
      </c>
      <c r="B422" t="s">
        <v>48</v>
      </c>
      <c r="C422" s="28">
        <v>3</v>
      </c>
      <c r="D422" s="6">
        <v>1</v>
      </c>
      <c r="E422">
        <f t="shared" si="29"/>
        <v>10</v>
      </c>
      <c r="F422" t="s">
        <v>330</v>
      </c>
      <c r="G422" t="s">
        <v>815</v>
      </c>
      <c r="H422" s="6" t="s">
        <v>1071</v>
      </c>
      <c r="I422">
        <f t="shared" si="26"/>
        <v>30</v>
      </c>
      <c r="J422">
        <f t="shared" si="27"/>
        <v>13.607771100000001</v>
      </c>
      <c r="K422">
        <v>0.307</v>
      </c>
      <c r="L422">
        <f t="shared" si="28"/>
        <v>4.1775857277000004</v>
      </c>
    </row>
    <row r="423" spans="1:12" x14ac:dyDescent="0.2">
      <c r="A423" s="4">
        <v>43489</v>
      </c>
      <c r="B423" t="s">
        <v>48</v>
      </c>
      <c r="C423" s="28">
        <v>2</v>
      </c>
      <c r="D423" s="6">
        <v>1</v>
      </c>
      <c r="E423">
        <f t="shared" si="29"/>
        <v>10</v>
      </c>
      <c r="F423" t="s">
        <v>330</v>
      </c>
      <c r="G423" t="s">
        <v>815</v>
      </c>
      <c r="H423" s="6" t="s">
        <v>1071</v>
      </c>
      <c r="I423">
        <f t="shared" si="26"/>
        <v>20</v>
      </c>
      <c r="J423">
        <f t="shared" si="27"/>
        <v>9.0718474000000011</v>
      </c>
      <c r="K423">
        <v>0.307</v>
      </c>
      <c r="L423">
        <f t="shared" si="28"/>
        <v>2.7850571518000002</v>
      </c>
    </row>
    <row r="424" spans="1:12" x14ac:dyDescent="0.2">
      <c r="A424" s="4">
        <v>43488</v>
      </c>
      <c r="B424" t="s">
        <v>48</v>
      </c>
      <c r="C424" s="28">
        <v>8</v>
      </c>
      <c r="D424" s="6">
        <v>1</v>
      </c>
      <c r="E424">
        <f t="shared" si="29"/>
        <v>10</v>
      </c>
      <c r="F424" t="s">
        <v>330</v>
      </c>
      <c r="G424" t="s">
        <v>815</v>
      </c>
      <c r="H424" s="6" t="s">
        <v>1071</v>
      </c>
      <c r="I424">
        <f t="shared" si="26"/>
        <v>80</v>
      </c>
      <c r="J424">
        <f t="shared" si="27"/>
        <v>36.287389600000004</v>
      </c>
      <c r="K424">
        <v>0.307</v>
      </c>
      <c r="L424">
        <f t="shared" si="28"/>
        <v>11.140228607200001</v>
      </c>
    </row>
    <row r="425" spans="1:12" x14ac:dyDescent="0.2">
      <c r="A425" s="4">
        <v>43484</v>
      </c>
      <c r="B425" t="s">
        <v>48</v>
      </c>
      <c r="C425" s="28">
        <v>4</v>
      </c>
      <c r="D425" s="6">
        <v>1</v>
      </c>
      <c r="E425">
        <f t="shared" si="29"/>
        <v>10</v>
      </c>
      <c r="F425" t="s">
        <v>330</v>
      </c>
      <c r="G425" t="s">
        <v>815</v>
      </c>
      <c r="H425" s="6" t="s">
        <v>1071</v>
      </c>
      <c r="I425">
        <f t="shared" si="26"/>
        <v>40</v>
      </c>
      <c r="J425">
        <f t="shared" si="27"/>
        <v>18.143694800000002</v>
      </c>
      <c r="K425">
        <v>0.307</v>
      </c>
      <c r="L425">
        <f t="shared" si="28"/>
        <v>5.5701143036000005</v>
      </c>
    </row>
    <row r="426" spans="1:12" x14ac:dyDescent="0.2">
      <c r="A426" s="4">
        <v>43483</v>
      </c>
      <c r="B426" t="s">
        <v>48</v>
      </c>
      <c r="C426" s="28">
        <v>5</v>
      </c>
      <c r="D426" s="6">
        <v>1</v>
      </c>
      <c r="E426">
        <f t="shared" si="29"/>
        <v>10</v>
      </c>
      <c r="F426" t="s">
        <v>330</v>
      </c>
      <c r="G426" t="s">
        <v>815</v>
      </c>
      <c r="H426" s="6" t="s">
        <v>1071</v>
      </c>
      <c r="I426">
        <f t="shared" si="26"/>
        <v>50</v>
      </c>
      <c r="J426">
        <f t="shared" si="27"/>
        <v>22.6796185</v>
      </c>
      <c r="K426">
        <v>0.307</v>
      </c>
      <c r="L426">
        <f t="shared" si="28"/>
        <v>6.9626428794999997</v>
      </c>
    </row>
    <row r="427" spans="1:12" x14ac:dyDescent="0.2">
      <c r="A427" s="4">
        <v>43486</v>
      </c>
      <c r="B427" t="s">
        <v>48</v>
      </c>
      <c r="C427" s="28">
        <v>4</v>
      </c>
      <c r="D427" s="6">
        <v>1</v>
      </c>
      <c r="E427">
        <v>20</v>
      </c>
      <c r="F427" t="s">
        <v>486</v>
      </c>
      <c r="G427" t="s">
        <v>796</v>
      </c>
      <c r="H427" s="6" t="s">
        <v>1071</v>
      </c>
      <c r="I427">
        <f t="shared" si="26"/>
        <v>80</v>
      </c>
      <c r="J427">
        <f t="shared" si="27"/>
        <v>36.287389600000004</v>
      </c>
      <c r="K427">
        <v>1.2290000000000001</v>
      </c>
      <c r="L427">
        <f t="shared" si="28"/>
        <v>44.597201818400009</v>
      </c>
    </row>
    <row r="428" spans="1:12" x14ac:dyDescent="0.2">
      <c r="A428" s="4">
        <v>43486</v>
      </c>
      <c r="B428" t="s">
        <v>48</v>
      </c>
      <c r="C428" s="28">
        <v>3</v>
      </c>
      <c r="D428" s="6">
        <v>1</v>
      </c>
      <c r="E428">
        <f>(3/4)*44</f>
        <v>33</v>
      </c>
      <c r="F428" t="s">
        <v>331</v>
      </c>
      <c r="G428" t="s">
        <v>796</v>
      </c>
      <c r="H428" s="6" t="s">
        <v>1071</v>
      </c>
      <c r="I428">
        <f t="shared" si="26"/>
        <v>99</v>
      </c>
      <c r="J428">
        <f t="shared" si="27"/>
        <v>44.905644630000005</v>
      </c>
      <c r="K428">
        <v>1.2290000000000001</v>
      </c>
      <c r="L428">
        <f t="shared" si="28"/>
        <v>55.189037250270012</v>
      </c>
    </row>
    <row r="429" spans="1:12" x14ac:dyDescent="0.2">
      <c r="A429" s="4">
        <v>43487</v>
      </c>
      <c r="B429" t="s">
        <v>48</v>
      </c>
      <c r="C429" s="28">
        <v>0</v>
      </c>
      <c r="D429" s="6">
        <v>1</v>
      </c>
      <c r="E429">
        <f>20*(12/16)</f>
        <v>15</v>
      </c>
      <c r="F429" t="s">
        <v>627</v>
      </c>
      <c r="G429" t="s">
        <v>765</v>
      </c>
      <c r="H429" s="6" t="s">
        <v>1071</v>
      </c>
      <c r="I429">
        <f t="shared" si="26"/>
        <v>0</v>
      </c>
      <c r="J429">
        <f t="shared" si="27"/>
        <v>0</v>
      </c>
      <c r="K429">
        <v>1.2290000000000001</v>
      </c>
      <c r="L429">
        <f t="shared" si="28"/>
        <v>0</v>
      </c>
    </row>
    <row r="430" spans="1:12" x14ac:dyDescent="0.2">
      <c r="A430" s="4">
        <v>43487</v>
      </c>
      <c r="B430" t="s">
        <v>48</v>
      </c>
      <c r="C430" s="28">
        <v>1</v>
      </c>
      <c r="D430" s="6">
        <v>1</v>
      </c>
      <c r="E430">
        <v>20</v>
      </c>
      <c r="F430" t="s">
        <v>486</v>
      </c>
      <c r="G430" t="s">
        <v>765</v>
      </c>
      <c r="H430" s="6" t="s">
        <v>1071</v>
      </c>
      <c r="I430">
        <f t="shared" si="26"/>
        <v>20</v>
      </c>
      <c r="J430">
        <f t="shared" si="27"/>
        <v>9.0718474000000011</v>
      </c>
      <c r="K430">
        <v>1.2290000000000001</v>
      </c>
      <c r="L430">
        <f t="shared" si="28"/>
        <v>11.149300454600002</v>
      </c>
    </row>
    <row r="431" spans="1:12" x14ac:dyDescent="0.2">
      <c r="A431" s="4">
        <v>43487</v>
      </c>
      <c r="B431" t="s">
        <v>48</v>
      </c>
      <c r="C431" s="28">
        <v>2</v>
      </c>
      <c r="D431" s="6">
        <v>1</v>
      </c>
      <c r="E431">
        <f>(3/4)*44</f>
        <v>33</v>
      </c>
      <c r="F431" t="s">
        <v>331</v>
      </c>
      <c r="G431" t="s">
        <v>796</v>
      </c>
      <c r="H431" s="6" t="s">
        <v>1071</v>
      </c>
      <c r="I431">
        <f t="shared" si="26"/>
        <v>66</v>
      </c>
      <c r="J431">
        <f t="shared" si="27"/>
        <v>29.937096420000003</v>
      </c>
      <c r="K431">
        <v>1.2290000000000001</v>
      </c>
      <c r="L431">
        <f t="shared" si="28"/>
        <v>36.792691500180005</v>
      </c>
    </row>
    <row r="432" spans="1:12" x14ac:dyDescent="0.2">
      <c r="A432" s="4">
        <v>43487</v>
      </c>
      <c r="B432" t="s">
        <v>48</v>
      </c>
      <c r="C432" s="28">
        <v>3</v>
      </c>
      <c r="D432" s="6">
        <v>1</v>
      </c>
      <c r="E432">
        <f>1/2*44</f>
        <v>22</v>
      </c>
      <c r="F432" t="s">
        <v>332</v>
      </c>
      <c r="G432" t="s">
        <v>796</v>
      </c>
      <c r="H432" s="6" t="s">
        <v>1071</v>
      </c>
      <c r="I432">
        <f t="shared" si="26"/>
        <v>66</v>
      </c>
      <c r="J432">
        <f t="shared" si="27"/>
        <v>29.937096420000003</v>
      </c>
      <c r="K432">
        <v>1.2290000000000001</v>
      </c>
      <c r="L432">
        <f t="shared" si="28"/>
        <v>36.792691500180005</v>
      </c>
    </row>
    <row r="433" spans="1:12" x14ac:dyDescent="0.2">
      <c r="A433" s="4">
        <v>43489</v>
      </c>
      <c r="B433" t="s">
        <v>48</v>
      </c>
      <c r="C433" s="28">
        <v>4</v>
      </c>
      <c r="D433" s="6">
        <v>1</v>
      </c>
      <c r="E433">
        <f>(3/4)*44</f>
        <v>33</v>
      </c>
      <c r="F433" t="s">
        <v>331</v>
      </c>
      <c r="G433" t="s">
        <v>796</v>
      </c>
      <c r="H433" s="6" t="s">
        <v>1071</v>
      </c>
      <c r="I433">
        <f t="shared" si="26"/>
        <v>132</v>
      </c>
      <c r="J433">
        <f t="shared" si="27"/>
        <v>59.874192840000006</v>
      </c>
      <c r="K433">
        <v>1.2290000000000001</v>
      </c>
      <c r="L433">
        <f t="shared" si="28"/>
        <v>73.585383000360011</v>
      </c>
    </row>
    <row r="434" spans="1:12" x14ac:dyDescent="0.2">
      <c r="A434" s="4">
        <v>43489</v>
      </c>
      <c r="B434" t="s">
        <v>48</v>
      </c>
      <c r="C434" s="28">
        <v>4</v>
      </c>
      <c r="D434" s="6">
        <v>1</v>
      </c>
      <c r="E434">
        <f>1/2*44</f>
        <v>22</v>
      </c>
      <c r="F434" t="s">
        <v>332</v>
      </c>
      <c r="G434" t="s">
        <v>796</v>
      </c>
      <c r="H434" s="6" t="s">
        <v>1071</v>
      </c>
      <c r="I434">
        <f t="shared" si="26"/>
        <v>88</v>
      </c>
      <c r="J434">
        <f t="shared" si="27"/>
        <v>39.916128560000004</v>
      </c>
      <c r="K434">
        <v>1.2290000000000001</v>
      </c>
      <c r="L434">
        <f t="shared" si="28"/>
        <v>49.056922000240007</v>
      </c>
    </row>
    <row r="435" spans="1:12" x14ac:dyDescent="0.2">
      <c r="A435" s="4">
        <v>43488</v>
      </c>
      <c r="B435" t="s">
        <v>48</v>
      </c>
      <c r="C435" s="28">
        <v>2</v>
      </c>
      <c r="D435" s="6">
        <v>1</v>
      </c>
      <c r="E435">
        <f>(3/4)*44</f>
        <v>33</v>
      </c>
      <c r="F435" t="s">
        <v>331</v>
      </c>
      <c r="G435" t="s">
        <v>796</v>
      </c>
      <c r="H435" s="6" t="s">
        <v>1071</v>
      </c>
      <c r="I435">
        <f t="shared" si="26"/>
        <v>66</v>
      </c>
      <c r="J435">
        <f t="shared" si="27"/>
        <v>29.937096420000003</v>
      </c>
      <c r="K435">
        <v>1.2290000000000001</v>
      </c>
      <c r="L435">
        <f t="shared" si="28"/>
        <v>36.792691500180005</v>
      </c>
    </row>
    <row r="436" spans="1:12" x14ac:dyDescent="0.2">
      <c r="A436" s="4">
        <v>43488</v>
      </c>
      <c r="B436" t="s">
        <v>48</v>
      </c>
      <c r="C436" s="28">
        <v>2</v>
      </c>
      <c r="D436" s="6">
        <v>1</v>
      </c>
      <c r="E436">
        <f>1/2*44</f>
        <v>22</v>
      </c>
      <c r="F436" t="s">
        <v>332</v>
      </c>
      <c r="G436" t="s">
        <v>796</v>
      </c>
      <c r="H436" s="6" t="s">
        <v>1071</v>
      </c>
      <c r="I436">
        <f t="shared" si="26"/>
        <v>44</v>
      </c>
      <c r="J436">
        <f t="shared" si="27"/>
        <v>19.958064280000002</v>
      </c>
      <c r="K436">
        <v>1.2290000000000001</v>
      </c>
      <c r="L436">
        <f t="shared" si="28"/>
        <v>24.528461000120004</v>
      </c>
    </row>
    <row r="437" spans="1:12" x14ac:dyDescent="0.2">
      <c r="A437" s="4">
        <v>43483</v>
      </c>
      <c r="B437" t="s">
        <v>48</v>
      </c>
      <c r="C437" s="28">
        <v>4</v>
      </c>
      <c r="D437" s="6">
        <v>1</v>
      </c>
      <c r="E437">
        <v>20</v>
      </c>
      <c r="F437" t="s">
        <v>638</v>
      </c>
      <c r="G437" t="s">
        <v>796</v>
      </c>
      <c r="H437" s="6" t="s">
        <v>1071</v>
      </c>
      <c r="I437">
        <f t="shared" si="26"/>
        <v>80</v>
      </c>
      <c r="J437">
        <f t="shared" si="27"/>
        <v>36.287389600000004</v>
      </c>
      <c r="K437">
        <v>1.2290000000000001</v>
      </c>
      <c r="L437">
        <f t="shared" si="28"/>
        <v>44.597201818400009</v>
      </c>
    </row>
    <row r="438" spans="1:12" x14ac:dyDescent="0.2">
      <c r="A438" s="4">
        <v>43483</v>
      </c>
      <c r="B438" t="s">
        <v>48</v>
      </c>
      <c r="C438" s="28">
        <v>4</v>
      </c>
      <c r="D438" s="6">
        <v>1</v>
      </c>
      <c r="E438">
        <v>20</v>
      </c>
      <c r="F438" t="s">
        <v>486</v>
      </c>
      <c r="G438" t="s">
        <v>796</v>
      </c>
      <c r="H438" s="6" t="s">
        <v>1071</v>
      </c>
      <c r="I438">
        <f t="shared" si="26"/>
        <v>80</v>
      </c>
      <c r="J438">
        <f t="shared" si="27"/>
        <v>36.287389600000004</v>
      </c>
      <c r="K438">
        <v>1.2290000000000001</v>
      </c>
      <c r="L438">
        <f t="shared" si="28"/>
        <v>44.597201818400009</v>
      </c>
    </row>
    <row r="439" spans="1:12" x14ac:dyDescent="0.2">
      <c r="A439" s="4">
        <v>43483</v>
      </c>
      <c r="B439" t="s">
        <v>48</v>
      </c>
      <c r="C439" s="28">
        <v>4</v>
      </c>
      <c r="D439" s="6">
        <v>1</v>
      </c>
      <c r="E439">
        <f>(3/4)*44</f>
        <v>33</v>
      </c>
      <c r="F439" t="s">
        <v>331</v>
      </c>
      <c r="G439" t="s">
        <v>796</v>
      </c>
      <c r="H439" s="6" t="s">
        <v>1071</v>
      </c>
      <c r="I439">
        <f t="shared" si="26"/>
        <v>132</v>
      </c>
      <c r="J439">
        <f t="shared" si="27"/>
        <v>59.874192840000006</v>
      </c>
      <c r="K439">
        <v>1.2290000000000001</v>
      </c>
      <c r="L439">
        <f t="shared" si="28"/>
        <v>73.585383000360011</v>
      </c>
    </row>
    <row r="440" spans="1:12" x14ac:dyDescent="0.2">
      <c r="A440" s="4">
        <v>43487</v>
      </c>
      <c r="B440" t="s">
        <v>48</v>
      </c>
      <c r="C440" s="28">
        <v>4</v>
      </c>
      <c r="D440" s="6">
        <v>1</v>
      </c>
      <c r="E440">
        <v>8</v>
      </c>
      <c r="F440" t="s">
        <v>333</v>
      </c>
      <c r="G440" t="s">
        <v>797</v>
      </c>
      <c r="H440" s="6" t="s">
        <v>1071</v>
      </c>
      <c r="I440">
        <f t="shared" si="26"/>
        <v>32</v>
      </c>
      <c r="J440">
        <f t="shared" si="27"/>
        <v>14.514955840000001</v>
      </c>
      <c r="K440">
        <v>0.61399999999999999</v>
      </c>
      <c r="L440">
        <f t="shared" si="28"/>
        <v>8.9121828857600001</v>
      </c>
    </row>
    <row r="441" spans="1:12" x14ac:dyDescent="0.2">
      <c r="A441" s="4">
        <v>43489</v>
      </c>
      <c r="B441" t="s">
        <v>48</v>
      </c>
      <c r="C441" s="28">
        <v>3</v>
      </c>
      <c r="D441" s="6">
        <v>1</v>
      </c>
      <c r="E441">
        <v>8</v>
      </c>
      <c r="F441" t="s">
        <v>633</v>
      </c>
      <c r="G441" t="s">
        <v>797</v>
      </c>
      <c r="H441" s="6" t="s">
        <v>1071</v>
      </c>
      <c r="I441">
        <f t="shared" si="26"/>
        <v>24</v>
      </c>
      <c r="J441">
        <f t="shared" si="27"/>
        <v>10.886216880000001</v>
      </c>
      <c r="K441">
        <v>0.61399999999999999</v>
      </c>
      <c r="L441">
        <f t="shared" si="28"/>
        <v>6.6841371643200009</v>
      </c>
    </row>
    <row r="442" spans="1:12" x14ac:dyDescent="0.2">
      <c r="A442" s="4">
        <v>43488</v>
      </c>
      <c r="B442" t="s">
        <v>48</v>
      </c>
      <c r="C442" s="28">
        <v>7</v>
      </c>
      <c r="D442" s="6">
        <v>1</v>
      </c>
      <c r="E442">
        <v>8</v>
      </c>
      <c r="F442" t="s">
        <v>333</v>
      </c>
      <c r="G442" t="s">
        <v>797</v>
      </c>
      <c r="H442" s="6" t="s">
        <v>1071</v>
      </c>
      <c r="I442">
        <f t="shared" si="26"/>
        <v>56</v>
      </c>
      <c r="J442">
        <f t="shared" si="27"/>
        <v>25.401172720000002</v>
      </c>
      <c r="K442">
        <v>0.61399999999999999</v>
      </c>
      <c r="L442">
        <f t="shared" si="28"/>
        <v>15.596320050080001</v>
      </c>
    </row>
    <row r="443" spans="1:12" x14ac:dyDescent="0.2">
      <c r="A443" s="4">
        <v>43484</v>
      </c>
      <c r="B443" t="s">
        <v>48</v>
      </c>
      <c r="C443" s="28">
        <v>6</v>
      </c>
      <c r="D443" s="6">
        <v>1</v>
      </c>
      <c r="E443">
        <v>8</v>
      </c>
      <c r="F443" t="s">
        <v>333</v>
      </c>
      <c r="G443" t="s">
        <v>797</v>
      </c>
      <c r="H443" s="6" t="s">
        <v>1071</v>
      </c>
      <c r="I443">
        <f t="shared" ref="I443:I506" si="30">C443*D443*E443</f>
        <v>48</v>
      </c>
      <c r="J443">
        <f t="shared" si="27"/>
        <v>21.772433760000002</v>
      </c>
      <c r="K443">
        <v>0.61399999999999999</v>
      </c>
      <c r="L443">
        <f t="shared" si="28"/>
        <v>13.368274328640002</v>
      </c>
    </row>
    <row r="444" spans="1:12" x14ac:dyDescent="0.2">
      <c r="A444" s="4">
        <v>43483</v>
      </c>
      <c r="B444" t="s">
        <v>48</v>
      </c>
      <c r="C444" s="28">
        <v>4</v>
      </c>
      <c r="D444" s="6">
        <v>1</v>
      </c>
      <c r="E444">
        <v>8</v>
      </c>
      <c r="F444" t="s">
        <v>333</v>
      </c>
      <c r="G444" t="s">
        <v>797</v>
      </c>
      <c r="H444" s="6" t="s">
        <v>1071</v>
      </c>
      <c r="I444">
        <f t="shared" si="30"/>
        <v>32</v>
      </c>
      <c r="J444">
        <f t="shared" si="27"/>
        <v>14.514955840000001</v>
      </c>
      <c r="K444">
        <v>0.61399999999999999</v>
      </c>
      <c r="L444">
        <f t="shared" si="28"/>
        <v>8.9121828857600001</v>
      </c>
    </row>
    <row r="445" spans="1:12" x14ac:dyDescent="0.2">
      <c r="A445" s="4">
        <v>43483</v>
      </c>
      <c r="B445" t="s">
        <v>538</v>
      </c>
      <c r="C445">
        <v>1</v>
      </c>
      <c r="D445">
        <v>1</v>
      </c>
      <c r="E445">
        <v>50</v>
      </c>
      <c r="F445" t="s">
        <v>425</v>
      </c>
      <c r="G445" t="s">
        <v>860</v>
      </c>
      <c r="H445" s="6" t="s">
        <v>1071</v>
      </c>
      <c r="I445">
        <f t="shared" si="30"/>
        <v>50</v>
      </c>
      <c r="J445">
        <f t="shared" si="27"/>
        <v>22.6796185</v>
      </c>
      <c r="K445">
        <v>0.7</v>
      </c>
      <c r="L445">
        <f t="shared" si="28"/>
        <v>15.87573295</v>
      </c>
    </row>
    <row r="446" spans="1:12" x14ac:dyDescent="0.2">
      <c r="A446" s="4">
        <v>43483</v>
      </c>
      <c r="B446" t="s">
        <v>538</v>
      </c>
      <c r="C446">
        <v>1</v>
      </c>
      <c r="D446">
        <v>1</v>
      </c>
      <c r="E446">
        <v>50</v>
      </c>
      <c r="F446" t="s">
        <v>434</v>
      </c>
      <c r="G446" t="s">
        <v>860</v>
      </c>
      <c r="H446" s="6" t="s">
        <v>1071</v>
      </c>
      <c r="I446">
        <f t="shared" si="30"/>
        <v>50</v>
      </c>
      <c r="J446">
        <f t="shared" si="27"/>
        <v>22.6796185</v>
      </c>
      <c r="K446">
        <v>0.7</v>
      </c>
      <c r="L446">
        <f t="shared" si="28"/>
        <v>15.87573295</v>
      </c>
    </row>
    <row r="447" spans="1:12" x14ac:dyDescent="0.2">
      <c r="A447" s="4">
        <v>43483</v>
      </c>
      <c r="B447" t="s">
        <v>538</v>
      </c>
      <c r="C447">
        <v>1</v>
      </c>
      <c r="D447">
        <v>12</v>
      </c>
      <c r="E447">
        <v>2</v>
      </c>
      <c r="F447" t="s">
        <v>659</v>
      </c>
      <c r="G447" t="s">
        <v>860</v>
      </c>
      <c r="H447" s="6" t="s">
        <v>1071</v>
      </c>
      <c r="I447">
        <f t="shared" si="30"/>
        <v>24</v>
      </c>
      <c r="J447">
        <f t="shared" si="27"/>
        <v>10.886216880000001</v>
      </c>
      <c r="K447">
        <v>0.7</v>
      </c>
      <c r="L447">
        <f t="shared" si="28"/>
        <v>7.6203518160000003</v>
      </c>
    </row>
    <row r="448" spans="1:12" x14ac:dyDescent="0.2">
      <c r="A448" s="4">
        <v>43486</v>
      </c>
      <c r="B448" t="s">
        <v>538</v>
      </c>
      <c r="C448">
        <v>1</v>
      </c>
      <c r="D448">
        <v>1</v>
      </c>
      <c r="E448">
        <v>50</v>
      </c>
      <c r="F448" t="s">
        <v>434</v>
      </c>
      <c r="G448" t="s">
        <v>860</v>
      </c>
      <c r="H448" s="6" t="s">
        <v>1071</v>
      </c>
      <c r="I448">
        <f t="shared" si="30"/>
        <v>50</v>
      </c>
      <c r="J448">
        <f t="shared" si="27"/>
        <v>22.6796185</v>
      </c>
      <c r="K448">
        <v>0.7</v>
      </c>
      <c r="L448">
        <f t="shared" si="28"/>
        <v>15.87573295</v>
      </c>
    </row>
    <row r="449" spans="1:12" x14ac:dyDescent="0.2">
      <c r="A449" s="4">
        <v>43483</v>
      </c>
      <c r="B449" t="s">
        <v>538</v>
      </c>
      <c r="C449">
        <v>2</v>
      </c>
      <c r="D449">
        <v>2</v>
      </c>
      <c r="E449">
        <v>5</v>
      </c>
      <c r="F449" t="s">
        <v>666</v>
      </c>
      <c r="G449" t="s">
        <v>981</v>
      </c>
      <c r="H449" s="6" t="s">
        <v>1071</v>
      </c>
      <c r="I449">
        <f t="shared" si="30"/>
        <v>20</v>
      </c>
      <c r="J449">
        <f t="shared" si="27"/>
        <v>9.0718474000000011</v>
      </c>
      <c r="K449">
        <v>1.1319999999999999</v>
      </c>
      <c r="L449">
        <f t="shared" si="28"/>
        <v>10.269331256800001</v>
      </c>
    </row>
    <row r="450" spans="1:12" x14ac:dyDescent="0.2">
      <c r="A450" s="4">
        <v>43483</v>
      </c>
      <c r="B450" t="s">
        <v>538</v>
      </c>
      <c r="C450">
        <v>8</v>
      </c>
      <c r="D450">
        <v>4</v>
      </c>
      <c r="E450">
        <v>7.9</v>
      </c>
      <c r="F450" t="s">
        <v>455</v>
      </c>
      <c r="G450" t="s">
        <v>989</v>
      </c>
      <c r="H450" s="6" t="s">
        <v>1071</v>
      </c>
      <c r="I450">
        <f t="shared" si="30"/>
        <v>252.8</v>
      </c>
      <c r="J450">
        <f t="shared" si="27"/>
        <v>114.66815113600002</v>
      </c>
      <c r="K450">
        <v>2.6459999999999999</v>
      </c>
      <c r="L450">
        <f t="shared" si="28"/>
        <v>303.41192790585603</v>
      </c>
    </row>
    <row r="451" spans="1:12" x14ac:dyDescent="0.2">
      <c r="A451" s="4">
        <v>43483</v>
      </c>
      <c r="B451" t="s">
        <v>538</v>
      </c>
      <c r="C451">
        <v>2</v>
      </c>
      <c r="D451">
        <v>3</v>
      </c>
      <c r="E451">
        <v>2</v>
      </c>
      <c r="F451" t="s">
        <v>660</v>
      </c>
      <c r="G451" t="s">
        <v>977</v>
      </c>
      <c r="H451" s="6" t="s">
        <v>1071</v>
      </c>
      <c r="I451">
        <f t="shared" si="30"/>
        <v>12</v>
      </c>
      <c r="J451">
        <f t="shared" ref="J451:J514" si="31">CONVERT(I451,"lbm","kg")</f>
        <v>5.4431084400000005</v>
      </c>
      <c r="K451">
        <v>2.6459999999999999</v>
      </c>
      <c r="L451">
        <f t="shared" ref="L451:L514" si="32">K451*J451</f>
        <v>14.402464932240001</v>
      </c>
    </row>
    <row r="452" spans="1:12" x14ac:dyDescent="0.2">
      <c r="A452" s="4">
        <v>43483</v>
      </c>
      <c r="B452" t="s">
        <v>538</v>
      </c>
      <c r="C452">
        <v>4</v>
      </c>
      <c r="D452">
        <v>1</v>
      </c>
      <c r="E452">
        <v>35</v>
      </c>
      <c r="F452" t="s">
        <v>441</v>
      </c>
      <c r="G452" t="s">
        <v>977</v>
      </c>
      <c r="H452" s="6" t="s">
        <v>1071</v>
      </c>
      <c r="I452">
        <f t="shared" si="30"/>
        <v>140</v>
      </c>
      <c r="J452">
        <f t="shared" si="31"/>
        <v>63.502931800000006</v>
      </c>
      <c r="K452">
        <v>2.6459999999999999</v>
      </c>
      <c r="L452">
        <f t="shared" si="32"/>
        <v>168.02875754280001</v>
      </c>
    </row>
    <row r="453" spans="1:12" x14ac:dyDescent="0.2">
      <c r="A453" s="4">
        <v>43486</v>
      </c>
      <c r="B453" t="s">
        <v>538</v>
      </c>
      <c r="C453">
        <v>5</v>
      </c>
      <c r="D453">
        <v>4</v>
      </c>
      <c r="E453">
        <v>7.9</v>
      </c>
      <c r="F453" t="s">
        <v>455</v>
      </c>
      <c r="G453" t="s">
        <v>989</v>
      </c>
      <c r="H453" s="6" t="s">
        <v>1071</v>
      </c>
      <c r="I453">
        <f t="shared" si="30"/>
        <v>158</v>
      </c>
      <c r="J453">
        <f t="shared" si="31"/>
        <v>71.667594460000004</v>
      </c>
      <c r="K453">
        <v>2.6459999999999999</v>
      </c>
      <c r="L453">
        <f t="shared" si="32"/>
        <v>189.63245494116001</v>
      </c>
    </row>
    <row r="454" spans="1:12" x14ac:dyDescent="0.2">
      <c r="A454" s="4">
        <v>43488</v>
      </c>
      <c r="B454" t="s">
        <v>538</v>
      </c>
      <c r="C454">
        <v>3</v>
      </c>
      <c r="D454">
        <v>1</v>
      </c>
      <c r="E454">
        <v>35</v>
      </c>
      <c r="F454" t="s">
        <v>441</v>
      </c>
      <c r="G454" t="s">
        <v>989</v>
      </c>
      <c r="H454" s="6" t="s">
        <v>1071</v>
      </c>
      <c r="I454">
        <f t="shared" si="30"/>
        <v>105</v>
      </c>
      <c r="J454">
        <f t="shared" si="31"/>
        <v>47.627198849999999</v>
      </c>
      <c r="K454">
        <v>2.6459999999999999</v>
      </c>
      <c r="L454">
        <f t="shared" si="32"/>
        <v>126.02156815709999</v>
      </c>
    </row>
    <row r="455" spans="1:12" x14ac:dyDescent="0.2">
      <c r="A455" s="4">
        <v>43488</v>
      </c>
      <c r="B455" t="s">
        <v>538</v>
      </c>
      <c r="C455">
        <v>5</v>
      </c>
      <c r="D455">
        <v>4</v>
      </c>
      <c r="E455">
        <v>7.9</v>
      </c>
      <c r="F455" t="s">
        <v>455</v>
      </c>
      <c r="G455" t="s">
        <v>989</v>
      </c>
      <c r="H455" s="6" t="s">
        <v>1071</v>
      </c>
      <c r="I455">
        <f t="shared" si="30"/>
        <v>158</v>
      </c>
      <c r="J455">
        <f t="shared" si="31"/>
        <v>71.667594460000004</v>
      </c>
      <c r="K455">
        <v>2.6459999999999999</v>
      </c>
      <c r="L455">
        <f t="shared" si="32"/>
        <v>189.63245494116001</v>
      </c>
    </row>
    <row r="456" spans="1:12" x14ac:dyDescent="0.2">
      <c r="A456" s="4">
        <v>43483</v>
      </c>
      <c r="B456" t="s">
        <v>531</v>
      </c>
      <c r="C456">
        <v>2</v>
      </c>
      <c r="D456">
        <v>1</v>
      </c>
      <c r="E456">
        <v>30</v>
      </c>
      <c r="F456" t="s">
        <v>411</v>
      </c>
      <c r="G456" t="s">
        <v>1058</v>
      </c>
      <c r="H456" s="6" t="s">
        <v>1071</v>
      </c>
      <c r="I456">
        <f t="shared" si="30"/>
        <v>60</v>
      </c>
      <c r="J456">
        <f t="shared" si="31"/>
        <v>27.215542200000002</v>
      </c>
      <c r="K456">
        <v>0.75700000000000001</v>
      </c>
      <c r="L456">
        <f t="shared" si="32"/>
        <v>20.602165445400001</v>
      </c>
    </row>
    <row r="457" spans="1:12" x14ac:dyDescent="0.2">
      <c r="A457" s="13">
        <v>43487</v>
      </c>
      <c r="B457" s="6" t="s">
        <v>22</v>
      </c>
      <c r="C457" s="6">
        <v>1</v>
      </c>
      <c r="D457" s="6">
        <v>1</v>
      </c>
      <c r="E457" s="6">
        <v>120</v>
      </c>
      <c r="F457" s="6" t="s">
        <v>24</v>
      </c>
      <c r="G457" s="6" t="s">
        <v>512</v>
      </c>
      <c r="H457" s="6" t="s">
        <v>1071</v>
      </c>
      <c r="I457">
        <f t="shared" si="30"/>
        <v>120</v>
      </c>
      <c r="J457">
        <f t="shared" si="31"/>
        <v>54.431084400000003</v>
      </c>
      <c r="K457">
        <v>0.30199999999999999</v>
      </c>
      <c r="L457">
        <f t="shared" si="32"/>
        <v>16.438187488800001</v>
      </c>
    </row>
    <row r="458" spans="1:12" x14ac:dyDescent="0.2">
      <c r="A458" s="13">
        <v>43483</v>
      </c>
      <c r="B458" s="6" t="s">
        <v>22</v>
      </c>
      <c r="C458" s="6">
        <v>1</v>
      </c>
      <c r="D458" s="6">
        <v>1</v>
      </c>
      <c r="E458" s="6">
        <v>120</v>
      </c>
      <c r="F458" s="6" t="s">
        <v>24</v>
      </c>
      <c r="G458" s="6" t="s">
        <v>512</v>
      </c>
      <c r="H458" s="6" t="s">
        <v>1071</v>
      </c>
      <c r="I458">
        <f t="shared" si="30"/>
        <v>120</v>
      </c>
      <c r="J458">
        <f t="shared" si="31"/>
        <v>54.431084400000003</v>
      </c>
      <c r="K458">
        <v>0.30199999999999999</v>
      </c>
      <c r="L458">
        <f t="shared" si="32"/>
        <v>16.438187488800001</v>
      </c>
    </row>
    <row r="459" spans="1:12" x14ac:dyDescent="0.2">
      <c r="A459" s="4">
        <v>43483</v>
      </c>
      <c r="B459" t="s">
        <v>48</v>
      </c>
      <c r="C459" s="28">
        <v>4</v>
      </c>
      <c r="D459" s="6">
        <v>1</v>
      </c>
      <c r="E459">
        <v>40</v>
      </c>
      <c r="F459" t="s">
        <v>640</v>
      </c>
      <c r="G459" t="s">
        <v>1041</v>
      </c>
      <c r="H459" s="6" t="s">
        <v>1071</v>
      </c>
      <c r="I459">
        <f t="shared" si="30"/>
        <v>160</v>
      </c>
      <c r="J459">
        <f t="shared" si="31"/>
        <v>72.574779200000009</v>
      </c>
      <c r="K459">
        <v>0.30199999999999999</v>
      </c>
      <c r="L459">
        <f t="shared" si="32"/>
        <v>21.917583318400002</v>
      </c>
    </row>
    <row r="460" spans="1:12" x14ac:dyDescent="0.2">
      <c r="A460" s="4">
        <v>43486</v>
      </c>
      <c r="B460" t="s">
        <v>531</v>
      </c>
      <c r="C460">
        <v>4</v>
      </c>
      <c r="D460">
        <v>5</v>
      </c>
      <c r="E460">
        <v>3</v>
      </c>
      <c r="F460" t="s">
        <v>416</v>
      </c>
      <c r="G460" t="s">
        <v>512</v>
      </c>
      <c r="H460" s="6" t="s">
        <v>1071</v>
      </c>
      <c r="I460">
        <f t="shared" si="30"/>
        <v>60</v>
      </c>
      <c r="J460">
        <f t="shared" si="31"/>
        <v>27.215542200000002</v>
      </c>
      <c r="K460">
        <v>0.30199999999999999</v>
      </c>
      <c r="L460">
        <f t="shared" si="32"/>
        <v>8.2190937444000003</v>
      </c>
    </row>
    <row r="461" spans="1:12" x14ac:dyDescent="0.2">
      <c r="A461" s="4">
        <v>43483</v>
      </c>
      <c r="B461" t="s">
        <v>48</v>
      </c>
      <c r="C461" s="28">
        <v>6</v>
      </c>
      <c r="D461" s="6">
        <v>1</v>
      </c>
      <c r="E461">
        <f>12*(12/16)</f>
        <v>9</v>
      </c>
      <c r="F461" t="s">
        <v>339</v>
      </c>
      <c r="G461" t="s">
        <v>777</v>
      </c>
      <c r="H461" s="6" t="s">
        <v>1071</v>
      </c>
      <c r="I461">
        <f t="shared" si="30"/>
        <v>54</v>
      </c>
      <c r="J461">
        <f t="shared" si="31"/>
        <v>24.493987980000004</v>
      </c>
      <c r="K461">
        <v>0.19600000000000001</v>
      </c>
      <c r="L461">
        <f t="shared" si="32"/>
        <v>4.8008216440800009</v>
      </c>
    </row>
    <row r="462" spans="1:12" x14ac:dyDescent="0.2">
      <c r="A462" s="4">
        <v>43488</v>
      </c>
      <c r="B462" t="s">
        <v>538</v>
      </c>
      <c r="C462">
        <v>2</v>
      </c>
      <c r="D462">
        <v>4</v>
      </c>
      <c r="E462">
        <v>11.01</v>
      </c>
      <c r="F462" t="s">
        <v>435</v>
      </c>
      <c r="G462" t="s">
        <v>991</v>
      </c>
      <c r="H462" s="6" t="s">
        <v>1071</v>
      </c>
      <c r="I462">
        <f t="shared" si="30"/>
        <v>88.08</v>
      </c>
      <c r="J462">
        <f t="shared" si="31"/>
        <v>39.952415949600002</v>
      </c>
      <c r="K462">
        <v>6.7539999999999996</v>
      </c>
      <c r="L462">
        <f t="shared" si="32"/>
        <v>269.83861732359838</v>
      </c>
    </row>
    <row r="463" spans="1:12" x14ac:dyDescent="0.2">
      <c r="A463" s="4">
        <v>43483</v>
      </c>
      <c r="B463" t="s">
        <v>527</v>
      </c>
      <c r="C463">
        <v>12</v>
      </c>
      <c r="D463">
        <v>1</v>
      </c>
      <c r="E463">
        <v>10</v>
      </c>
      <c r="F463" t="s">
        <v>1012</v>
      </c>
      <c r="G463" t="s">
        <v>927</v>
      </c>
      <c r="H463" s="6" t="s">
        <v>1072</v>
      </c>
      <c r="I463">
        <f t="shared" si="30"/>
        <v>120</v>
      </c>
      <c r="J463">
        <f t="shared" si="31"/>
        <v>54.431084400000003</v>
      </c>
      <c r="K463">
        <v>3.0209999999999999</v>
      </c>
      <c r="L463">
        <f t="shared" si="32"/>
        <v>164.43630597239999</v>
      </c>
    </row>
    <row r="464" spans="1:12" x14ac:dyDescent="0.2">
      <c r="A464" s="4">
        <v>43486</v>
      </c>
      <c r="B464" t="s">
        <v>527</v>
      </c>
      <c r="C464">
        <v>2</v>
      </c>
      <c r="D464">
        <v>1</v>
      </c>
      <c r="E464">
        <v>10</v>
      </c>
      <c r="F464" t="s">
        <v>1012</v>
      </c>
      <c r="G464" t="s">
        <v>927</v>
      </c>
      <c r="H464" s="6" t="s">
        <v>1072</v>
      </c>
      <c r="I464">
        <f t="shared" si="30"/>
        <v>20</v>
      </c>
      <c r="J464">
        <f t="shared" si="31"/>
        <v>9.0718474000000011</v>
      </c>
      <c r="K464">
        <v>3.0209999999999999</v>
      </c>
      <c r="L464">
        <f t="shared" si="32"/>
        <v>27.406050995400001</v>
      </c>
    </row>
    <row r="465" spans="1:12" x14ac:dyDescent="0.2">
      <c r="A465" s="4">
        <v>43488</v>
      </c>
      <c r="B465" t="s">
        <v>527</v>
      </c>
      <c r="C465">
        <v>5</v>
      </c>
      <c r="D465">
        <v>1</v>
      </c>
      <c r="E465">
        <v>10</v>
      </c>
      <c r="F465" t="s">
        <v>1012</v>
      </c>
      <c r="G465" t="s">
        <v>927</v>
      </c>
      <c r="H465" s="6" t="s">
        <v>1072</v>
      </c>
      <c r="I465">
        <f t="shared" si="30"/>
        <v>50</v>
      </c>
      <c r="J465">
        <f t="shared" si="31"/>
        <v>22.6796185</v>
      </c>
      <c r="K465">
        <v>3.0209999999999999</v>
      </c>
      <c r="L465">
        <f t="shared" si="32"/>
        <v>68.515127488499999</v>
      </c>
    </row>
    <row r="466" spans="1:12" x14ac:dyDescent="0.2">
      <c r="A466" s="4">
        <v>43486</v>
      </c>
      <c r="B466" t="s">
        <v>48</v>
      </c>
      <c r="C466" s="28">
        <v>3</v>
      </c>
      <c r="D466" s="6">
        <v>1</v>
      </c>
      <c r="E466">
        <v>4.1719999999999997</v>
      </c>
      <c r="F466" t="s">
        <v>278</v>
      </c>
      <c r="G466" t="s">
        <v>798</v>
      </c>
      <c r="H466" s="6" t="s">
        <v>1071</v>
      </c>
      <c r="I466">
        <f t="shared" si="30"/>
        <v>12.515999999999998</v>
      </c>
      <c r="J466">
        <f t="shared" si="31"/>
        <v>5.6771621029199997</v>
      </c>
      <c r="K466">
        <v>1.6639999999999999</v>
      </c>
      <c r="L466">
        <f t="shared" si="32"/>
        <v>9.4467977392588782</v>
      </c>
    </row>
    <row r="467" spans="1:12" x14ac:dyDescent="0.2">
      <c r="A467" s="4">
        <v>43489</v>
      </c>
      <c r="B467" t="s">
        <v>48</v>
      </c>
      <c r="C467" s="28">
        <v>2</v>
      </c>
      <c r="D467" s="6">
        <v>1</v>
      </c>
      <c r="E467">
        <v>4.1719999999999997</v>
      </c>
      <c r="F467" t="s">
        <v>278</v>
      </c>
      <c r="G467" t="s">
        <v>798</v>
      </c>
      <c r="H467" s="6" t="s">
        <v>1071</v>
      </c>
      <c r="I467">
        <f t="shared" si="30"/>
        <v>8.3439999999999994</v>
      </c>
      <c r="J467">
        <f t="shared" si="31"/>
        <v>3.7847747352799996</v>
      </c>
      <c r="K467">
        <v>1.6639999999999999</v>
      </c>
      <c r="L467">
        <f t="shared" si="32"/>
        <v>6.2978651595059194</v>
      </c>
    </row>
    <row r="468" spans="1:12" x14ac:dyDescent="0.2">
      <c r="A468" s="4">
        <v>43488</v>
      </c>
      <c r="B468" t="s">
        <v>48</v>
      </c>
      <c r="C468" s="28">
        <v>6</v>
      </c>
      <c r="D468" s="6">
        <v>1</v>
      </c>
      <c r="E468">
        <v>4.1719999999999997</v>
      </c>
      <c r="F468" t="s">
        <v>278</v>
      </c>
      <c r="G468" t="s">
        <v>798</v>
      </c>
      <c r="H468" s="6" t="s">
        <v>1071</v>
      </c>
      <c r="I468">
        <f t="shared" si="30"/>
        <v>25.031999999999996</v>
      </c>
      <c r="J468">
        <f t="shared" si="31"/>
        <v>11.354324205839999</v>
      </c>
      <c r="K468">
        <v>1.6639999999999999</v>
      </c>
      <c r="L468">
        <f t="shared" si="32"/>
        <v>18.893595478517756</v>
      </c>
    </row>
    <row r="469" spans="1:12" x14ac:dyDescent="0.2">
      <c r="A469" s="4">
        <v>43484</v>
      </c>
      <c r="B469" t="s">
        <v>48</v>
      </c>
      <c r="C469" s="28">
        <v>2</v>
      </c>
      <c r="D469" s="6">
        <v>1</v>
      </c>
      <c r="E469">
        <v>4.1719999999999997</v>
      </c>
      <c r="F469" t="s">
        <v>278</v>
      </c>
      <c r="G469" t="s">
        <v>798</v>
      </c>
      <c r="H469" s="6" t="s">
        <v>1071</v>
      </c>
      <c r="I469">
        <f t="shared" si="30"/>
        <v>8.3439999999999994</v>
      </c>
      <c r="J469">
        <f t="shared" si="31"/>
        <v>3.7847747352799996</v>
      </c>
      <c r="K469">
        <v>1.6639999999999999</v>
      </c>
      <c r="L469">
        <f t="shared" si="32"/>
        <v>6.2978651595059194</v>
      </c>
    </row>
    <row r="470" spans="1:12" x14ac:dyDescent="0.2">
      <c r="A470" s="4">
        <v>43483</v>
      </c>
      <c r="B470" t="s">
        <v>48</v>
      </c>
      <c r="C470" s="28">
        <v>5</v>
      </c>
      <c r="D470" s="6">
        <v>1</v>
      </c>
      <c r="E470">
        <v>4.1719999999999997</v>
      </c>
      <c r="F470" t="s">
        <v>278</v>
      </c>
      <c r="G470" t="s">
        <v>798</v>
      </c>
      <c r="H470" s="6" t="s">
        <v>1071</v>
      </c>
      <c r="I470">
        <f t="shared" si="30"/>
        <v>20.86</v>
      </c>
      <c r="J470">
        <f t="shared" si="31"/>
        <v>9.4619368381999998</v>
      </c>
      <c r="K470">
        <v>1.6639999999999999</v>
      </c>
      <c r="L470">
        <f t="shared" si="32"/>
        <v>15.744662898764799</v>
      </c>
    </row>
    <row r="471" spans="1:12" x14ac:dyDescent="0.2">
      <c r="A471" s="4">
        <v>43486</v>
      </c>
      <c r="B471" t="s">
        <v>48</v>
      </c>
      <c r="C471" s="28">
        <v>2</v>
      </c>
      <c r="D471" s="6">
        <v>1</v>
      </c>
      <c r="E471">
        <v>10</v>
      </c>
      <c r="F471" t="s">
        <v>328</v>
      </c>
      <c r="G471" t="s">
        <v>334</v>
      </c>
      <c r="H471" s="6" t="s">
        <v>1071</v>
      </c>
      <c r="I471">
        <f t="shared" si="30"/>
        <v>20</v>
      </c>
      <c r="J471">
        <f t="shared" si="31"/>
        <v>9.0718474000000011</v>
      </c>
      <c r="K471">
        <v>0.47</v>
      </c>
      <c r="L471">
        <f t="shared" si="32"/>
        <v>4.2637682780000006</v>
      </c>
    </row>
    <row r="472" spans="1:12" x14ac:dyDescent="0.2">
      <c r="A472" s="4">
        <v>43486</v>
      </c>
      <c r="B472" t="s">
        <v>48</v>
      </c>
      <c r="C472" s="28">
        <v>6</v>
      </c>
      <c r="D472" s="6">
        <v>1</v>
      </c>
      <c r="E472">
        <v>12</v>
      </c>
      <c r="F472" t="s">
        <v>623</v>
      </c>
      <c r="G472" t="s">
        <v>334</v>
      </c>
      <c r="H472" s="6" t="s">
        <v>1071</v>
      </c>
      <c r="I472">
        <f t="shared" si="30"/>
        <v>72</v>
      </c>
      <c r="J472">
        <f t="shared" si="31"/>
        <v>32.658650639999998</v>
      </c>
      <c r="K472">
        <v>0.47</v>
      </c>
      <c r="L472">
        <f t="shared" si="32"/>
        <v>15.349565800799999</v>
      </c>
    </row>
    <row r="473" spans="1:12" x14ac:dyDescent="0.2">
      <c r="A473" s="4">
        <v>43487</v>
      </c>
      <c r="B473" t="s">
        <v>48</v>
      </c>
      <c r="C473" s="28">
        <v>5</v>
      </c>
      <c r="D473" s="6">
        <v>1</v>
      </c>
      <c r="E473">
        <v>10</v>
      </c>
      <c r="F473" t="s">
        <v>628</v>
      </c>
      <c r="G473" t="s">
        <v>334</v>
      </c>
      <c r="H473" s="6" t="s">
        <v>1071</v>
      </c>
      <c r="I473">
        <f t="shared" si="30"/>
        <v>50</v>
      </c>
      <c r="J473">
        <f t="shared" si="31"/>
        <v>22.6796185</v>
      </c>
      <c r="K473">
        <v>0.47</v>
      </c>
      <c r="L473">
        <f t="shared" si="32"/>
        <v>10.659420695</v>
      </c>
    </row>
    <row r="474" spans="1:12" x14ac:dyDescent="0.2">
      <c r="A474" s="4">
        <v>43489</v>
      </c>
      <c r="B474" t="s">
        <v>48</v>
      </c>
      <c r="C474" s="28">
        <v>1</v>
      </c>
      <c r="D474" s="6">
        <v>1</v>
      </c>
      <c r="E474">
        <v>10</v>
      </c>
      <c r="F474" t="s">
        <v>328</v>
      </c>
      <c r="G474" t="s">
        <v>334</v>
      </c>
      <c r="H474" s="6" t="s">
        <v>1071</v>
      </c>
      <c r="I474">
        <f t="shared" si="30"/>
        <v>10</v>
      </c>
      <c r="J474">
        <f t="shared" si="31"/>
        <v>4.5359237000000006</v>
      </c>
      <c r="K474">
        <v>0.47</v>
      </c>
      <c r="L474">
        <f t="shared" si="32"/>
        <v>2.1318841390000003</v>
      </c>
    </row>
    <row r="475" spans="1:12" x14ac:dyDescent="0.2">
      <c r="A475" s="4">
        <v>43489</v>
      </c>
      <c r="B475" t="s">
        <v>48</v>
      </c>
      <c r="C475" s="28">
        <v>1</v>
      </c>
      <c r="D475" s="6">
        <v>1</v>
      </c>
      <c r="E475">
        <v>20</v>
      </c>
      <c r="F475" t="s">
        <v>334</v>
      </c>
      <c r="G475" t="s">
        <v>334</v>
      </c>
      <c r="H475" s="6" t="s">
        <v>1071</v>
      </c>
      <c r="I475">
        <f t="shared" si="30"/>
        <v>20</v>
      </c>
      <c r="J475">
        <f t="shared" si="31"/>
        <v>9.0718474000000011</v>
      </c>
      <c r="K475">
        <v>0.47</v>
      </c>
      <c r="L475">
        <f t="shared" si="32"/>
        <v>4.2637682780000006</v>
      </c>
    </row>
    <row r="476" spans="1:12" x14ac:dyDescent="0.2">
      <c r="A476" s="4">
        <v>43489</v>
      </c>
      <c r="B476" t="s">
        <v>48</v>
      </c>
      <c r="C476" s="28">
        <v>4</v>
      </c>
      <c r="D476" s="6">
        <v>1</v>
      </c>
      <c r="E476">
        <v>10</v>
      </c>
      <c r="F476" t="s">
        <v>628</v>
      </c>
      <c r="G476" t="s">
        <v>334</v>
      </c>
      <c r="H476" s="6" t="s">
        <v>1071</v>
      </c>
      <c r="I476">
        <f t="shared" si="30"/>
        <v>40</v>
      </c>
      <c r="J476">
        <f t="shared" si="31"/>
        <v>18.143694800000002</v>
      </c>
      <c r="K476">
        <v>0.47</v>
      </c>
      <c r="L476">
        <f t="shared" si="32"/>
        <v>8.5275365560000012</v>
      </c>
    </row>
    <row r="477" spans="1:12" x14ac:dyDescent="0.2">
      <c r="A477" s="4">
        <v>43488</v>
      </c>
      <c r="B477" t="s">
        <v>48</v>
      </c>
      <c r="C477" s="28">
        <v>2</v>
      </c>
      <c r="D477" s="6">
        <v>1</v>
      </c>
      <c r="E477">
        <v>10</v>
      </c>
      <c r="F477" t="s">
        <v>328</v>
      </c>
      <c r="G477" t="s">
        <v>334</v>
      </c>
      <c r="H477" s="6" t="s">
        <v>1071</v>
      </c>
      <c r="I477">
        <f t="shared" si="30"/>
        <v>20</v>
      </c>
      <c r="J477">
        <f t="shared" si="31"/>
        <v>9.0718474000000011</v>
      </c>
      <c r="K477">
        <v>0.47</v>
      </c>
      <c r="L477">
        <f t="shared" si="32"/>
        <v>4.2637682780000006</v>
      </c>
    </row>
    <row r="478" spans="1:12" x14ac:dyDescent="0.2">
      <c r="A478" s="4">
        <v>43488</v>
      </c>
      <c r="B478" t="s">
        <v>48</v>
      </c>
      <c r="C478" s="28">
        <v>2</v>
      </c>
      <c r="D478" s="6">
        <v>1</v>
      </c>
      <c r="E478">
        <v>20</v>
      </c>
      <c r="F478" t="s">
        <v>334</v>
      </c>
      <c r="G478" t="s">
        <v>334</v>
      </c>
      <c r="H478" s="6" t="s">
        <v>1071</v>
      </c>
      <c r="I478">
        <f t="shared" si="30"/>
        <v>40</v>
      </c>
      <c r="J478">
        <f t="shared" si="31"/>
        <v>18.143694800000002</v>
      </c>
      <c r="K478">
        <v>0.47</v>
      </c>
      <c r="L478">
        <f t="shared" si="32"/>
        <v>8.5275365560000012</v>
      </c>
    </row>
    <row r="479" spans="1:12" x14ac:dyDescent="0.2">
      <c r="A479" s="4">
        <v>43488</v>
      </c>
      <c r="B479" t="s">
        <v>48</v>
      </c>
      <c r="C479" s="28">
        <v>8</v>
      </c>
      <c r="D479" s="6">
        <v>1</v>
      </c>
      <c r="E479">
        <v>10</v>
      </c>
      <c r="F479" t="s">
        <v>628</v>
      </c>
      <c r="G479" t="s">
        <v>334</v>
      </c>
      <c r="H479" s="6" t="s">
        <v>1071</v>
      </c>
      <c r="I479">
        <f t="shared" si="30"/>
        <v>80</v>
      </c>
      <c r="J479">
        <f t="shared" si="31"/>
        <v>36.287389600000004</v>
      </c>
      <c r="K479">
        <v>0.47</v>
      </c>
      <c r="L479">
        <f t="shared" si="32"/>
        <v>17.055073112000002</v>
      </c>
    </row>
    <row r="480" spans="1:12" x14ac:dyDescent="0.2">
      <c r="A480" s="4">
        <v>43484</v>
      </c>
      <c r="B480" t="s">
        <v>48</v>
      </c>
      <c r="C480" s="28">
        <v>3</v>
      </c>
      <c r="D480" s="6">
        <v>1</v>
      </c>
      <c r="E480">
        <v>10</v>
      </c>
      <c r="F480" t="s">
        <v>328</v>
      </c>
      <c r="G480" t="s">
        <v>334</v>
      </c>
      <c r="H480" s="6" t="s">
        <v>1071</v>
      </c>
      <c r="I480">
        <f t="shared" si="30"/>
        <v>30</v>
      </c>
      <c r="J480">
        <f t="shared" si="31"/>
        <v>13.607771100000001</v>
      </c>
      <c r="K480">
        <v>0.47</v>
      </c>
      <c r="L480">
        <f t="shared" si="32"/>
        <v>6.395652417</v>
      </c>
    </row>
    <row r="481" spans="1:12" x14ac:dyDescent="0.2">
      <c r="A481" s="4">
        <v>43484</v>
      </c>
      <c r="B481" t="s">
        <v>48</v>
      </c>
      <c r="C481" s="28">
        <v>6</v>
      </c>
      <c r="D481" s="6">
        <v>1</v>
      </c>
      <c r="E481">
        <v>10</v>
      </c>
      <c r="F481" t="s">
        <v>628</v>
      </c>
      <c r="G481" t="s">
        <v>334</v>
      </c>
      <c r="H481" s="6" t="s">
        <v>1071</v>
      </c>
      <c r="I481">
        <f t="shared" si="30"/>
        <v>60</v>
      </c>
      <c r="J481">
        <f t="shared" si="31"/>
        <v>27.215542200000002</v>
      </c>
      <c r="K481">
        <v>0.47</v>
      </c>
      <c r="L481">
        <f t="shared" si="32"/>
        <v>12.791304834</v>
      </c>
    </row>
    <row r="482" spans="1:12" x14ac:dyDescent="0.2">
      <c r="A482" s="4">
        <v>43483</v>
      </c>
      <c r="B482" t="s">
        <v>48</v>
      </c>
      <c r="C482" s="28">
        <v>2</v>
      </c>
      <c r="D482" s="6">
        <v>1</v>
      </c>
      <c r="E482">
        <v>10</v>
      </c>
      <c r="F482" t="s">
        <v>328</v>
      </c>
      <c r="G482" t="s">
        <v>334</v>
      </c>
      <c r="H482" s="6" t="s">
        <v>1071</v>
      </c>
      <c r="I482">
        <f t="shared" si="30"/>
        <v>20</v>
      </c>
      <c r="J482">
        <f t="shared" si="31"/>
        <v>9.0718474000000011</v>
      </c>
      <c r="K482">
        <v>0.47</v>
      </c>
      <c r="L482">
        <f t="shared" si="32"/>
        <v>4.2637682780000006</v>
      </c>
    </row>
    <row r="483" spans="1:12" x14ac:dyDescent="0.2">
      <c r="A483" s="4">
        <v>43483</v>
      </c>
      <c r="B483" t="s">
        <v>48</v>
      </c>
      <c r="C483" s="28">
        <v>10</v>
      </c>
      <c r="D483" s="6">
        <v>1</v>
      </c>
      <c r="E483">
        <v>10</v>
      </c>
      <c r="F483" t="s">
        <v>628</v>
      </c>
      <c r="G483" t="s">
        <v>334</v>
      </c>
      <c r="H483" s="6" t="s">
        <v>1071</v>
      </c>
      <c r="I483">
        <f t="shared" si="30"/>
        <v>100</v>
      </c>
      <c r="J483">
        <f t="shared" si="31"/>
        <v>45.359237</v>
      </c>
      <c r="K483">
        <v>0.47</v>
      </c>
      <c r="L483">
        <f t="shared" si="32"/>
        <v>21.318841389999999</v>
      </c>
    </row>
    <row r="484" spans="1:12" x14ac:dyDescent="0.2">
      <c r="A484" s="4">
        <v>43483</v>
      </c>
      <c r="B484" t="s">
        <v>538</v>
      </c>
      <c r="C484">
        <v>5</v>
      </c>
      <c r="D484">
        <v>6</v>
      </c>
      <c r="E484">
        <v>10</v>
      </c>
      <c r="F484" t="s">
        <v>432</v>
      </c>
      <c r="G484" t="s">
        <v>857</v>
      </c>
      <c r="H484" s="6" t="s">
        <v>1071</v>
      </c>
      <c r="I484">
        <f t="shared" si="30"/>
        <v>300</v>
      </c>
      <c r="J484">
        <f t="shared" si="31"/>
        <v>136.07771100000002</v>
      </c>
      <c r="K484">
        <v>0.47</v>
      </c>
      <c r="L484">
        <f t="shared" si="32"/>
        <v>63.956524170000009</v>
      </c>
    </row>
    <row r="485" spans="1:12" x14ac:dyDescent="0.2">
      <c r="A485" s="4">
        <v>43483</v>
      </c>
      <c r="B485" t="s">
        <v>538</v>
      </c>
      <c r="C485">
        <v>2</v>
      </c>
      <c r="D485">
        <v>6</v>
      </c>
      <c r="E485">
        <v>10</v>
      </c>
      <c r="F485" t="s">
        <v>546</v>
      </c>
      <c r="G485" t="s">
        <v>857</v>
      </c>
      <c r="H485" s="6" t="s">
        <v>1071</v>
      </c>
      <c r="I485">
        <f t="shared" si="30"/>
        <v>120</v>
      </c>
      <c r="J485">
        <f t="shared" si="31"/>
        <v>54.431084400000003</v>
      </c>
      <c r="K485">
        <v>0.47</v>
      </c>
      <c r="L485">
        <f t="shared" si="32"/>
        <v>25.582609668</v>
      </c>
    </row>
    <row r="486" spans="1:12" x14ac:dyDescent="0.2">
      <c r="A486" s="4">
        <v>43483</v>
      </c>
      <c r="B486" t="s">
        <v>538</v>
      </c>
      <c r="C486">
        <v>2</v>
      </c>
      <c r="D486">
        <v>6</v>
      </c>
      <c r="E486">
        <v>10</v>
      </c>
      <c r="F486" t="s">
        <v>432</v>
      </c>
      <c r="G486" t="s">
        <v>857</v>
      </c>
      <c r="H486" s="6" t="s">
        <v>1071</v>
      </c>
      <c r="I486">
        <f t="shared" si="30"/>
        <v>120</v>
      </c>
      <c r="J486">
        <f t="shared" si="31"/>
        <v>54.431084400000003</v>
      </c>
      <c r="K486">
        <v>0.47</v>
      </c>
      <c r="L486">
        <f t="shared" si="32"/>
        <v>25.582609668</v>
      </c>
    </row>
    <row r="487" spans="1:12" x14ac:dyDescent="0.2">
      <c r="A487" s="4">
        <v>43483</v>
      </c>
      <c r="B487" t="s">
        <v>538</v>
      </c>
      <c r="C487">
        <v>3</v>
      </c>
      <c r="D487">
        <v>6</v>
      </c>
      <c r="E487">
        <v>10</v>
      </c>
      <c r="F487" t="s">
        <v>546</v>
      </c>
      <c r="G487" t="s">
        <v>857</v>
      </c>
      <c r="H487" s="6" t="s">
        <v>1071</v>
      </c>
      <c r="I487">
        <f t="shared" si="30"/>
        <v>180</v>
      </c>
      <c r="J487">
        <f t="shared" si="31"/>
        <v>81.646626600000005</v>
      </c>
      <c r="K487">
        <v>0.47</v>
      </c>
      <c r="L487">
        <f t="shared" si="32"/>
        <v>38.373914501999998</v>
      </c>
    </row>
    <row r="488" spans="1:12" x14ac:dyDescent="0.2">
      <c r="A488" s="4">
        <v>43486</v>
      </c>
      <c r="B488" t="s">
        <v>538</v>
      </c>
      <c r="C488">
        <v>1</v>
      </c>
      <c r="D488">
        <v>6</v>
      </c>
      <c r="E488">
        <v>10</v>
      </c>
      <c r="F488" t="s">
        <v>544</v>
      </c>
      <c r="G488" t="s">
        <v>857</v>
      </c>
      <c r="H488" s="6" t="s">
        <v>1071</v>
      </c>
      <c r="I488">
        <f t="shared" si="30"/>
        <v>60</v>
      </c>
      <c r="J488">
        <f t="shared" si="31"/>
        <v>27.215542200000002</v>
      </c>
      <c r="K488">
        <v>0.47</v>
      </c>
      <c r="L488">
        <f t="shared" si="32"/>
        <v>12.791304834</v>
      </c>
    </row>
    <row r="489" spans="1:12" x14ac:dyDescent="0.2">
      <c r="A489" s="4">
        <v>43486</v>
      </c>
      <c r="B489" t="s">
        <v>538</v>
      </c>
      <c r="C489">
        <v>3</v>
      </c>
      <c r="D489">
        <v>6</v>
      </c>
      <c r="E489">
        <v>10</v>
      </c>
      <c r="F489" t="s">
        <v>432</v>
      </c>
      <c r="G489" t="s">
        <v>857</v>
      </c>
      <c r="H489" s="6" t="s">
        <v>1071</v>
      </c>
      <c r="I489">
        <f t="shared" si="30"/>
        <v>180</v>
      </c>
      <c r="J489">
        <f t="shared" si="31"/>
        <v>81.646626600000005</v>
      </c>
      <c r="K489">
        <v>0.47</v>
      </c>
      <c r="L489">
        <f t="shared" si="32"/>
        <v>38.373914501999998</v>
      </c>
    </row>
    <row r="490" spans="1:12" x14ac:dyDescent="0.2">
      <c r="A490" s="4">
        <v>43486</v>
      </c>
      <c r="B490" t="s">
        <v>538</v>
      </c>
      <c r="C490">
        <v>2</v>
      </c>
      <c r="D490">
        <v>6</v>
      </c>
      <c r="E490">
        <v>10</v>
      </c>
      <c r="F490" t="s">
        <v>546</v>
      </c>
      <c r="G490" t="s">
        <v>857</v>
      </c>
      <c r="H490" s="6" t="s">
        <v>1071</v>
      </c>
      <c r="I490">
        <f t="shared" si="30"/>
        <v>120</v>
      </c>
      <c r="J490">
        <f t="shared" si="31"/>
        <v>54.431084400000003</v>
      </c>
      <c r="K490">
        <v>0.47</v>
      </c>
      <c r="L490">
        <f t="shared" si="32"/>
        <v>25.582609668</v>
      </c>
    </row>
    <row r="491" spans="1:12" x14ac:dyDescent="0.2">
      <c r="A491" s="4">
        <v>43488</v>
      </c>
      <c r="B491" t="s">
        <v>538</v>
      </c>
      <c r="C491">
        <v>4</v>
      </c>
      <c r="D491">
        <v>6</v>
      </c>
      <c r="E491">
        <v>10</v>
      </c>
      <c r="F491" t="s">
        <v>432</v>
      </c>
      <c r="G491" t="s">
        <v>857</v>
      </c>
      <c r="H491" s="6" t="s">
        <v>1071</v>
      </c>
      <c r="I491">
        <f t="shared" si="30"/>
        <v>240</v>
      </c>
      <c r="J491">
        <f t="shared" si="31"/>
        <v>108.86216880000001</v>
      </c>
      <c r="K491">
        <v>0.47</v>
      </c>
      <c r="L491">
        <f t="shared" si="32"/>
        <v>51.165219336</v>
      </c>
    </row>
    <row r="492" spans="1:12" x14ac:dyDescent="0.2">
      <c r="A492" s="4">
        <v>43488</v>
      </c>
      <c r="B492" t="s">
        <v>538</v>
      </c>
      <c r="C492">
        <v>1</v>
      </c>
      <c r="D492">
        <v>6</v>
      </c>
      <c r="E492">
        <v>10</v>
      </c>
      <c r="F492" t="s">
        <v>574</v>
      </c>
      <c r="G492" t="s">
        <v>857</v>
      </c>
      <c r="H492" s="6" t="s">
        <v>1071</v>
      </c>
      <c r="I492">
        <f t="shared" si="30"/>
        <v>60</v>
      </c>
      <c r="J492">
        <f t="shared" si="31"/>
        <v>27.215542200000002</v>
      </c>
      <c r="K492">
        <v>0.47</v>
      </c>
      <c r="L492">
        <f t="shared" si="32"/>
        <v>12.791304834</v>
      </c>
    </row>
    <row r="493" spans="1:12" x14ac:dyDescent="0.2">
      <c r="A493" s="4">
        <v>43483</v>
      </c>
      <c r="B493" t="s">
        <v>531</v>
      </c>
      <c r="C493">
        <v>1</v>
      </c>
      <c r="D493">
        <v>24</v>
      </c>
      <c r="E493">
        <f>12*0.661387</f>
        <v>7.9366439999999994</v>
      </c>
      <c r="F493" t="s">
        <v>408</v>
      </c>
      <c r="G493" t="s">
        <v>855</v>
      </c>
      <c r="H493" s="6" t="s">
        <v>1071</v>
      </c>
      <c r="I493">
        <f t="shared" si="30"/>
        <v>190.47945599999997</v>
      </c>
      <c r="J493">
        <f t="shared" si="31"/>
        <v>86.400027883350702</v>
      </c>
      <c r="K493">
        <v>1.28</v>
      </c>
      <c r="L493">
        <f t="shared" si="32"/>
        <v>110.5920356906889</v>
      </c>
    </row>
    <row r="494" spans="1:12" x14ac:dyDescent="0.2">
      <c r="A494" s="4">
        <v>43486</v>
      </c>
      <c r="B494" t="s">
        <v>531</v>
      </c>
      <c r="C494">
        <v>1</v>
      </c>
      <c r="D494">
        <v>12</v>
      </c>
      <c r="E494">
        <f>60*0.661387</f>
        <v>39.683219999999999</v>
      </c>
      <c r="F494" t="s">
        <v>534</v>
      </c>
      <c r="G494" t="s">
        <v>892</v>
      </c>
      <c r="H494" s="6" t="s">
        <v>1071</v>
      </c>
      <c r="I494">
        <f t="shared" si="30"/>
        <v>476.19863999999995</v>
      </c>
      <c r="J494">
        <f t="shared" si="31"/>
        <v>216.00006970837677</v>
      </c>
      <c r="K494">
        <v>1.28</v>
      </c>
      <c r="L494">
        <f t="shared" si="32"/>
        <v>276.48008922672227</v>
      </c>
    </row>
    <row r="495" spans="1:12" x14ac:dyDescent="0.2">
      <c r="A495" s="4">
        <v>43486</v>
      </c>
      <c r="B495" t="s">
        <v>531</v>
      </c>
      <c r="C495">
        <v>1</v>
      </c>
      <c r="D495">
        <v>24</v>
      </c>
      <c r="E495">
        <f>12*0.0661387</f>
        <v>0.79366439999999994</v>
      </c>
      <c r="F495" t="s">
        <v>408</v>
      </c>
      <c r="G495" t="s">
        <v>913</v>
      </c>
      <c r="H495" s="6" t="s">
        <v>1071</v>
      </c>
      <c r="I495">
        <f t="shared" si="30"/>
        <v>19.047945599999998</v>
      </c>
      <c r="J495">
        <f t="shared" si="31"/>
        <v>8.6400027883350727</v>
      </c>
      <c r="K495">
        <v>1.28</v>
      </c>
      <c r="L495">
        <f t="shared" si="32"/>
        <v>11.059203569068893</v>
      </c>
    </row>
    <row r="496" spans="1:12" x14ac:dyDescent="0.2">
      <c r="A496" s="4">
        <v>43489</v>
      </c>
      <c r="B496" t="s">
        <v>201</v>
      </c>
      <c r="C496" s="6">
        <v>1</v>
      </c>
      <c r="D496" s="6">
        <v>1</v>
      </c>
      <c r="E496">
        <v>60</v>
      </c>
      <c r="F496" s="9" t="s">
        <v>616</v>
      </c>
      <c r="G496" s="9" t="s">
        <v>959</v>
      </c>
      <c r="H496" s="6" t="s">
        <v>1072</v>
      </c>
      <c r="I496">
        <f t="shared" si="30"/>
        <v>60</v>
      </c>
      <c r="J496">
        <f t="shared" si="31"/>
        <v>27.215542200000002</v>
      </c>
      <c r="K496">
        <v>5.7169999999999996</v>
      </c>
      <c r="L496">
        <f t="shared" si="32"/>
        <v>155.59125475740001</v>
      </c>
    </row>
    <row r="497" spans="1:12" x14ac:dyDescent="0.2">
      <c r="A497" s="4">
        <v>43486</v>
      </c>
      <c r="B497" t="s">
        <v>538</v>
      </c>
      <c r="C497">
        <v>2</v>
      </c>
      <c r="D497">
        <v>6</v>
      </c>
      <c r="E497">
        <f>66.5/16</f>
        <v>4.15625</v>
      </c>
      <c r="F497" t="s">
        <v>427</v>
      </c>
      <c r="G497" t="s">
        <v>862</v>
      </c>
      <c r="H497" s="6" t="s">
        <v>1072</v>
      </c>
      <c r="I497">
        <f t="shared" si="30"/>
        <v>49.875</v>
      </c>
      <c r="J497">
        <f t="shared" si="31"/>
        <v>22.622919453750001</v>
      </c>
      <c r="K497">
        <v>2.1480000000000001</v>
      </c>
      <c r="L497">
        <f t="shared" si="32"/>
        <v>48.594030986655007</v>
      </c>
    </row>
    <row r="498" spans="1:12" x14ac:dyDescent="0.2">
      <c r="A498" s="4">
        <v>43484</v>
      </c>
      <c r="B498" t="s">
        <v>525</v>
      </c>
      <c r="C498">
        <v>2</v>
      </c>
      <c r="D498">
        <v>1</v>
      </c>
      <c r="E498">
        <v>11</v>
      </c>
      <c r="F498" t="s">
        <v>671</v>
      </c>
      <c r="G498" t="s">
        <v>966</v>
      </c>
      <c r="H498" s="6" t="s">
        <v>1072</v>
      </c>
      <c r="I498">
        <f t="shared" si="30"/>
        <v>22</v>
      </c>
      <c r="J498">
        <f t="shared" si="31"/>
        <v>9.979032140000001</v>
      </c>
      <c r="K498">
        <v>2.5710000000000002</v>
      </c>
      <c r="L498">
        <f t="shared" si="32"/>
        <v>25.656091631940004</v>
      </c>
    </row>
    <row r="499" spans="1:12" x14ac:dyDescent="0.2">
      <c r="A499" s="4">
        <v>43483</v>
      </c>
      <c r="B499" t="s">
        <v>530</v>
      </c>
      <c r="C499">
        <v>6</v>
      </c>
      <c r="D499">
        <v>160</v>
      </c>
      <c r="E499">
        <v>1</v>
      </c>
      <c r="F499" t="s">
        <v>569</v>
      </c>
      <c r="G499" t="s">
        <v>852</v>
      </c>
      <c r="H499" s="6" t="s">
        <v>1072</v>
      </c>
      <c r="I499">
        <f t="shared" si="30"/>
        <v>960</v>
      </c>
      <c r="J499">
        <f t="shared" si="31"/>
        <v>435.44867520000003</v>
      </c>
      <c r="K499">
        <v>2.5710000000000002</v>
      </c>
      <c r="L499">
        <f t="shared" si="32"/>
        <v>1119.5385439392001</v>
      </c>
    </row>
    <row r="500" spans="1:12" x14ac:dyDescent="0.2">
      <c r="A500" s="4">
        <v>43483</v>
      </c>
      <c r="B500" t="s">
        <v>530</v>
      </c>
      <c r="C500">
        <v>5</v>
      </c>
      <c r="D500">
        <v>2</v>
      </c>
      <c r="E500">
        <v>6</v>
      </c>
      <c r="F500" t="s">
        <v>402</v>
      </c>
      <c r="G500" t="s">
        <v>966</v>
      </c>
      <c r="H500" s="6" t="s">
        <v>1072</v>
      </c>
      <c r="I500">
        <f t="shared" si="30"/>
        <v>60</v>
      </c>
      <c r="J500">
        <f t="shared" si="31"/>
        <v>27.215542200000002</v>
      </c>
      <c r="K500">
        <v>2.5710000000000002</v>
      </c>
      <c r="L500">
        <f t="shared" si="32"/>
        <v>69.971158996200003</v>
      </c>
    </row>
    <row r="501" spans="1:12" x14ac:dyDescent="0.2">
      <c r="A501" s="4">
        <v>43488</v>
      </c>
      <c r="B501" t="s">
        <v>530</v>
      </c>
      <c r="C501">
        <v>3</v>
      </c>
      <c r="D501">
        <v>2</v>
      </c>
      <c r="E501">
        <v>6</v>
      </c>
      <c r="F501" t="s">
        <v>402</v>
      </c>
      <c r="G501" t="s">
        <v>966</v>
      </c>
      <c r="H501" s="6" t="s">
        <v>1072</v>
      </c>
      <c r="I501">
        <f t="shared" si="30"/>
        <v>36</v>
      </c>
      <c r="J501">
        <f t="shared" si="31"/>
        <v>16.329325319999999</v>
      </c>
      <c r="K501">
        <v>2.5710000000000002</v>
      </c>
      <c r="L501">
        <f t="shared" si="32"/>
        <v>41.982695397720001</v>
      </c>
    </row>
    <row r="502" spans="1:12" x14ac:dyDescent="0.2">
      <c r="A502" s="4">
        <v>43483</v>
      </c>
      <c r="B502" t="s">
        <v>538</v>
      </c>
      <c r="C502">
        <v>1</v>
      </c>
      <c r="D502">
        <v>2</v>
      </c>
      <c r="E502">
        <f>22.0462/2</f>
        <v>11.023099999999999</v>
      </c>
      <c r="F502" t="s">
        <v>667</v>
      </c>
      <c r="G502" t="s">
        <v>872</v>
      </c>
      <c r="H502" s="6" t="s">
        <v>1071</v>
      </c>
      <c r="I502">
        <f t="shared" si="30"/>
        <v>22.046199999999999</v>
      </c>
      <c r="J502">
        <f t="shared" si="31"/>
        <v>9.9999881074940014</v>
      </c>
      <c r="K502">
        <v>0.34</v>
      </c>
      <c r="L502">
        <f t="shared" si="32"/>
        <v>3.3999959565479605</v>
      </c>
    </row>
    <row r="503" spans="1:12" x14ac:dyDescent="0.2">
      <c r="A503" s="4">
        <v>43486</v>
      </c>
      <c r="B503" t="s">
        <v>538</v>
      </c>
      <c r="C503">
        <v>1</v>
      </c>
      <c r="D503">
        <v>4</v>
      </c>
      <c r="E503">
        <v>8.41</v>
      </c>
      <c r="F503" t="s">
        <v>558</v>
      </c>
      <c r="G503" t="s">
        <v>872</v>
      </c>
      <c r="H503" s="6" t="s">
        <v>1071</v>
      </c>
      <c r="I503">
        <f t="shared" si="30"/>
        <v>33.64</v>
      </c>
      <c r="J503">
        <f t="shared" si="31"/>
        <v>15.258847326800002</v>
      </c>
      <c r="K503">
        <v>0.34</v>
      </c>
      <c r="L503">
        <f t="shared" si="32"/>
        <v>5.1880080911120006</v>
      </c>
    </row>
    <row r="504" spans="1:12" x14ac:dyDescent="0.2">
      <c r="A504" s="4">
        <v>43483</v>
      </c>
      <c r="B504" t="s">
        <v>538</v>
      </c>
      <c r="C504">
        <v>2</v>
      </c>
      <c r="D504">
        <v>1</v>
      </c>
      <c r="E504">
        <v>10</v>
      </c>
      <c r="F504" t="s">
        <v>428</v>
      </c>
      <c r="G504" t="s">
        <v>985</v>
      </c>
      <c r="H504" s="6" t="s">
        <v>1071</v>
      </c>
      <c r="I504">
        <f t="shared" si="30"/>
        <v>20</v>
      </c>
      <c r="J504">
        <f t="shared" si="31"/>
        <v>9.0718474000000011</v>
      </c>
      <c r="K504">
        <v>0.34699999999999998</v>
      </c>
      <c r="L504">
        <f t="shared" si="32"/>
        <v>3.1479310478000002</v>
      </c>
    </row>
    <row r="505" spans="1:12" x14ac:dyDescent="0.2">
      <c r="A505" s="4">
        <v>43486</v>
      </c>
      <c r="B505" t="s">
        <v>538</v>
      </c>
      <c r="C505">
        <v>1</v>
      </c>
      <c r="D505">
        <v>6</v>
      </c>
      <c r="E505">
        <v>1.5</v>
      </c>
      <c r="F505" t="s">
        <v>678</v>
      </c>
      <c r="G505" t="s">
        <v>985</v>
      </c>
      <c r="H505" s="6" t="s">
        <v>1071</v>
      </c>
      <c r="I505">
        <f t="shared" si="30"/>
        <v>9</v>
      </c>
      <c r="J505">
        <f t="shared" si="31"/>
        <v>4.0823313299999997</v>
      </c>
      <c r="K505">
        <v>0.34699999999999998</v>
      </c>
      <c r="L505">
        <f t="shared" si="32"/>
        <v>1.4165689715099998</v>
      </c>
    </row>
    <row r="506" spans="1:12" x14ac:dyDescent="0.2">
      <c r="A506" s="4">
        <v>43486</v>
      </c>
      <c r="B506" t="s">
        <v>538</v>
      </c>
      <c r="C506">
        <v>2</v>
      </c>
      <c r="D506">
        <v>1</v>
      </c>
      <c r="E506">
        <v>10</v>
      </c>
      <c r="F506" t="s">
        <v>428</v>
      </c>
      <c r="G506" t="s">
        <v>985</v>
      </c>
      <c r="H506" s="6" t="s">
        <v>1071</v>
      </c>
      <c r="I506">
        <f t="shared" si="30"/>
        <v>20</v>
      </c>
      <c r="J506">
        <f t="shared" si="31"/>
        <v>9.0718474000000011</v>
      </c>
      <c r="K506">
        <v>0.34699999999999998</v>
      </c>
      <c r="L506">
        <f t="shared" si="32"/>
        <v>3.1479310478000002</v>
      </c>
    </row>
    <row r="507" spans="1:12" x14ac:dyDescent="0.2">
      <c r="A507" s="4">
        <v>43486</v>
      </c>
      <c r="B507" t="s">
        <v>538</v>
      </c>
      <c r="C507">
        <v>3</v>
      </c>
      <c r="D507">
        <v>6</v>
      </c>
      <c r="E507">
        <v>2</v>
      </c>
      <c r="F507" t="s">
        <v>421</v>
      </c>
      <c r="G507" t="s">
        <v>985</v>
      </c>
      <c r="H507" s="6" t="s">
        <v>1071</v>
      </c>
      <c r="I507">
        <f t="shared" ref="I507:I515" si="33">C507*D507*E507</f>
        <v>36</v>
      </c>
      <c r="J507">
        <f t="shared" si="31"/>
        <v>16.329325319999999</v>
      </c>
      <c r="K507">
        <v>0.34699999999999998</v>
      </c>
      <c r="L507">
        <f t="shared" si="32"/>
        <v>5.6662758860399993</v>
      </c>
    </row>
    <row r="508" spans="1:12" x14ac:dyDescent="0.2">
      <c r="A508" s="4">
        <v>43483</v>
      </c>
      <c r="B508" t="s">
        <v>38</v>
      </c>
      <c r="C508">
        <v>12</v>
      </c>
      <c r="D508" s="6">
        <v>1</v>
      </c>
      <c r="E508">
        <v>1.06</v>
      </c>
      <c r="F508" s="9" t="s">
        <v>614</v>
      </c>
      <c r="G508" s="9" t="s">
        <v>958</v>
      </c>
      <c r="H508" s="6" t="s">
        <v>1073</v>
      </c>
      <c r="I508">
        <f t="shared" si="33"/>
        <v>12.72</v>
      </c>
      <c r="J508">
        <f t="shared" si="31"/>
        <v>5.7696949464000014</v>
      </c>
      <c r="K508">
        <v>5.32</v>
      </c>
      <c r="L508">
        <f t="shared" si="32"/>
        <v>30.694777114848009</v>
      </c>
    </row>
    <row r="509" spans="1:12" x14ac:dyDescent="0.2">
      <c r="A509" s="4">
        <v>43486</v>
      </c>
      <c r="B509" t="s">
        <v>538</v>
      </c>
      <c r="C509">
        <v>1</v>
      </c>
      <c r="D509">
        <v>4</v>
      </c>
      <c r="E509">
        <v>8.41</v>
      </c>
      <c r="F509" t="s">
        <v>578</v>
      </c>
      <c r="G509" t="s">
        <v>873</v>
      </c>
      <c r="H509" s="6" t="s">
        <v>1071</v>
      </c>
      <c r="I509">
        <f t="shared" si="33"/>
        <v>33.64</v>
      </c>
      <c r="J509">
        <f t="shared" si="31"/>
        <v>15.258847326800002</v>
      </c>
      <c r="K509">
        <v>0.78</v>
      </c>
      <c r="L509">
        <f t="shared" si="32"/>
        <v>11.901900914904001</v>
      </c>
    </row>
    <row r="510" spans="1:12" x14ac:dyDescent="0.2">
      <c r="A510" s="4">
        <v>43483</v>
      </c>
      <c r="B510" t="s">
        <v>517</v>
      </c>
      <c r="C510">
        <v>5</v>
      </c>
      <c r="D510">
        <v>2</v>
      </c>
      <c r="E510">
        <v>6</v>
      </c>
      <c r="F510" t="s">
        <v>383</v>
      </c>
      <c r="G510" t="s">
        <v>846</v>
      </c>
      <c r="H510" s="6" t="s">
        <v>1073</v>
      </c>
      <c r="I510">
        <f t="shared" si="33"/>
        <v>60</v>
      </c>
      <c r="J510">
        <f t="shared" si="31"/>
        <v>27.215542200000002</v>
      </c>
      <c r="K510">
        <v>1.33</v>
      </c>
      <c r="L510">
        <f t="shared" si="32"/>
        <v>36.196671126000005</v>
      </c>
    </row>
    <row r="511" spans="1:12" x14ac:dyDescent="0.2">
      <c r="A511" s="4">
        <v>43483</v>
      </c>
      <c r="B511" t="s">
        <v>517</v>
      </c>
      <c r="C511">
        <v>5</v>
      </c>
      <c r="D511">
        <v>2</v>
      </c>
      <c r="E511">
        <v>6</v>
      </c>
      <c r="F511" t="s">
        <v>384</v>
      </c>
      <c r="G511" t="s">
        <v>846</v>
      </c>
      <c r="H511" s="6" t="s">
        <v>1073</v>
      </c>
      <c r="I511">
        <f t="shared" si="33"/>
        <v>60</v>
      </c>
      <c r="J511">
        <f t="shared" si="31"/>
        <v>27.215542200000002</v>
      </c>
      <c r="K511">
        <v>1.33</v>
      </c>
      <c r="L511">
        <f t="shared" si="32"/>
        <v>36.196671126000005</v>
      </c>
    </row>
    <row r="512" spans="1:12" x14ac:dyDescent="0.2">
      <c r="A512" s="4">
        <v>43486</v>
      </c>
      <c r="B512" t="s">
        <v>517</v>
      </c>
      <c r="C512">
        <v>5</v>
      </c>
      <c r="D512">
        <v>2</v>
      </c>
      <c r="E512">
        <v>6</v>
      </c>
      <c r="F512" t="s">
        <v>383</v>
      </c>
      <c r="G512" t="s">
        <v>846</v>
      </c>
      <c r="H512" s="6" t="s">
        <v>1073</v>
      </c>
      <c r="I512">
        <f t="shared" si="33"/>
        <v>60</v>
      </c>
      <c r="J512">
        <f t="shared" si="31"/>
        <v>27.215542200000002</v>
      </c>
      <c r="K512">
        <v>1.33</v>
      </c>
      <c r="L512">
        <f t="shared" si="32"/>
        <v>36.196671126000005</v>
      </c>
    </row>
    <row r="513" spans="1:12" x14ac:dyDescent="0.2">
      <c r="A513" s="4">
        <v>43486</v>
      </c>
      <c r="B513" t="s">
        <v>517</v>
      </c>
      <c r="C513">
        <v>5</v>
      </c>
      <c r="D513">
        <v>2</v>
      </c>
      <c r="E513">
        <v>6</v>
      </c>
      <c r="F513" t="s">
        <v>384</v>
      </c>
      <c r="G513" t="s">
        <v>846</v>
      </c>
      <c r="H513" s="6" t="s">
        <v>1073</v>
      </c>
      <c r="I513">
        <f t="shared" si="33"/>
        <v>60</v>
      </c>
      <c r="J513">
        <f t="shared" si="31"/>
        <v>27.215542200000002</v>
      </c>
      <c r="K513">
        <v>1.33</v>
      </c>
      <c r="L513">
        <f t="shared" si="32"/>
        <v>36.196671126000005</v>
      </c>
    </row>
    <row r="514" spans="1:12" x14ac:dyDescent="0.2">
      <c r="A514" s="4">
        <v>43488</v>
      </c>
      <c r="B514" t="s">
        <v>517</v>
      </c>
      <c r="C514">
        <v>4</v>
      </c>
      <c r="D514">
        <v>2</v>
      </c>
      <c r="E514">
        <v>6</v>
      </c>
      <c r="F514" t="s">
        <v>383</v>
      </c>
      <c r="G514" t="s">
        <v>846</v>
      </c>
      <c r="H514" s="6" t="s">
        <v>1073</v>
      </c>
      <c r="I514">
        <f t="shared" si="33"/>
        <v>48</v>
      </c>
      <c r="J514">
        <f t="shared" si="31"/>
        <v>21.772433760000002</v>
      </c>
      <c r="K514">
        <v>1.33</v>
      </c>
      <c r="L514">
        <f t="shared" si="32"/>
        <v>28.957336900800005</v>
      </c>
    </row>
    <row r="515" spans="1:12" x14ac:dyDescent="0.2">
      <c r="A515" s="4">
        <v>43488</v>
      </c>
      <c r="B515" t="s">
        <v>517</v>
      </c>
      <c r="C515">
        <v>2</v>
      </c>
      <c r="D515">
        <v>2</v>
      </c>
      <c r="E515">
        <v>6</v>
      </c>
      <c r="F515" t="s">
        <v>384</v>
      </c>
      <c r="G515" t="s">
        <v>846</v>
      </c>
      <c r="H515" s="6" t="s">
        <v>1073</v>
      </c>
      <c r="I515">
        <f t="shared" si="33"/>
        <v>24</v>
      </c>
      <c r="J515">
        <f t="shared" ref="J515" si="34">CONVERT(I515,"lbm","kg")</f>
        <v>10.886216880000001</v>
      </c>
      <c r="K515">
        <v>1.33</v>
      </c>
      <c r="L515">
        <f t="shared" ref="L515" si="35">K515*J515</f>
        <v>14.478668450400002</v>
      </c>
    </row>
    <row r="516" spans="1:12" x14ac:dyDescent="0.2">
      <c r="L516" s="33">
        <f>SUM(L3:L515)</f>
        <v>43987.234543933206</v>
      </c>
    </row>
  </sheetData>
  <sortState ref="A3:L516">
    <sortCondition ref="G3"/>
  </sortState>
  <mergeCells count="1">
    <mergeCell ref="A1:L1"/>
  </mergeCells>
  <phoneticPr fontId="12" type="noConversion"/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M483"/>
  <sheetViews>
    <sheetView workbookViewId="0">
      <pane ySplit="2" topLeftCell="A452" activePane="bottomLeft" state="frozen"/>
      <selection activeCell="B126" sqref="B126"/>
      <selection pane="bottomLeft" activeCell="L483" sqref="L483"/>
    </sheetView>
  </sheetViews>
  <sheetFormatPr baseColWidth="10" defaultRowHeight="16" x14ac:dyDescent="0.2"/>
  <cols>
    <col min="2" max="2" width="17.83203125" bestFit="1" customWidth="1"/>
    <col min="5" max="5" width="13.5" bestFit="1" customWidth="1"/>
    <col min="6" max="8" width="15.33203125" customWidth="1"/>
    <col min="11" max="11" width="18.1640625" bestFit="1" customWidth="1"/>
    <col min="12" max="12" width="16" bestFit="1" customWidth="1"/>
  </cols>
  <sheetData>
    <row r="1" spans="1:13" x14ac:dyDescent="0.2">
      <c r="A1" s="94" t="s">
        <v>687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3" x14ac:dyDescent="0.2">
      <c r="A2" s="1" t="s">
        <v>0</v>
      </c>
      <c r="B2" s="1" t="s">
        <v>1</v>
      </c>
      <c r="C2" s="2" t="s">
        <v>172</v>
      </c>
      <c r="D2" s="2" t="s">
        <v>472</v>
      </c>
      <c r="E2" s="2" t="s">
        <v>1056</v>
      </c>
      <c r="F2" s="3" t="s">
        <v>4</v>
      </c>
      <c r="G2" s="3" t="s">
        <v>780</v>
      </c>
      <c r="H2" s="3" t="s">
        <v>934</v>
      </c>
      <c r="I2" s="3" t="s">
        <v>5</v>
      </c>
      <c r="J2" s="3" t="s">
        <v>6</v>
      </c>
      <c r="K2" s="1" t="s">
        <v>7</v>
      </c>
      <c r="L2" s="1" t="s">
        <v>8</v>
      </c>
    </row>
    <row r="3" spans="1:13" x14ac:dyDescent="0.2">
      <c r="A3" s="4">
        <v>43497</v>
      </c>
      <c r="B3" t="s">
        <v>525</v>
      </c>
      <c r="C3">
        <v>2</v>
      </c>
      <c r="D3">
        <v>2</v>
      </c>
      <c r="E3">
        <v>5</v>
      </c>
      <c r="F3" t="s">
        <v>398</v>
      </c>
      <c r="G3" t="s">
        <v>890</v>
      </c>
      <c r="H3" s="6" t="s">
        <v>1072</v>
      </c>
      <c r="I3">
        <f t="shared" ref="I3:I34" si="0">C3*D3*E3</f>
        <v>20</v>
      </c>
      <c r="J3">
        <f t="shared" ref="J3:J66" si="1">CONVERT(I3,"lbm","kg")</f>
        <v>9.0718474000000011</v>
      </c>
      <c r="K3">
        <f>(0.5*32.846)+(0.5*5.56)</f>
        <v>19.202999999999999</v>
      </c>
      <c r="L3">
        <f t="shared" ref="L3:L66" si="2">J3*K3</f>
        <v>174.20668562220001</v>
      </c>
    </row>
    <row r="4" spans="1:13" x14ac:dyDescent="0.2">
      <c r="A4" s="4">
        <v>43500</v>
      </c>
      <c r="B4" t="s">
        <v>525</v>
      </c>
      <c r="C4">
        <v>1</v>
      </c>
      <c r="D4">
        <v>2</v>
      </c>
      <c r="E4">
        <v>5</v>
      </c>
      <c r="F4" t="s">
        <v>398</v>
      </c>
      <c r="G4" t="s">
        <v>890</v>
      </c>
      <c r="H4" t="s">
        <v>1072</v>
      </c>
      <c r="I4">
        <f t="shared" si="0"/>
        <v>10</v>
      </c>
      <c r="J4">
        <f t="shared" si="1"/>
        <v>4.5359237000000006</v>
      </c>
      <c r="K4">
        <f>(0.5*32.846)+(0.5*5.56)</f>
        <v>19.202999999999999</v>
      </c>
      <c r="L4">
        <f t="shared" si="2"/>
        <v>87.103342811100006</v>
      </c>
    </row>
    <row r="5" spans="1:13" x14ac:dyDescent="0.2">
      <c r="A5" s="4">
        <v>43497</v>
      </c>
      <c r="B5" t="s">
        <v>22</v>
      </c>
      <c r="C5" s="35">
        <v>1</v>
      </c>
      <c r="D5" s="35">
        <v>1</v>
      </c>
      <c r="E5">
        <v>103.5</v>
      </c>
      <c r="F5" t="s">
        <v>607</v>
      </c>
      <c r="G5" t="s">
        <v>767</v>
      </c>
      <c r="H5" t="s">
        <v>1071</v>
      </c>
      <c r="I5">
        <f t="shared" si="0"/>
        <v>103.5</v>
      </c>
      <c r="J5">
        <f t="shared" si="1"/>
        <v>46.946810295000006</v>
      </c>
      <c r="K5">
        <v>0.22800000000000001</v>
      </c>
      <c r="L5">
        <f t="shared" si="2"/>
        <v>10.703872747260002</v>
      </c>
    </row>
    <row r="6" spans="1:13" x14ac:dyDescent="0.2">
      <c r="A6" s="4">
        <v>43497</v>
      </c>
      <c r="B6" t="s">
        <v>22</v>
      </c>
      <c r="C6" s="35">
        <v>1</v>
      </c>
      <c r="D6" s="35">
        <v>1</v>
      </c>
      <c r="E6">
        <v>120</v>
      </c>
      <c r="F6" t="s">
        <v>180</v>
      </c>
      <c r="G6" t="s">
        <v>767</v>
      </c>
      <c r="H6" t="s">
        <v>1071</v>
      </c>
      <c r="I6">
        <f t="shared" si="0"/>
        <v>120</v>
      </c>
      <c r="J6">
        <f t="shared" si="1"/>
        <v>54.431084400000003</v>
      </c>
      <c r="K6">
        <v>0.22800000000000001</v>
      </c>
      <c r="L6">
        <f t="shared" si="2"/>
        <v>12.410287243200001</v>
      </c>
    </row>
    <row r="7" spans="1:13" x14ac:dyDescent="0.2">
      <c r="A7" s="4">
        <v>43501</v>
      </c>
      <c r="B7" t="s">
        <v>22</v>
      </c>
      <c r="C7" s="35">
        <v>1</v>
      </c>
      <c r="D7" s="35">
        <v>1</v>
      </c>
      <c r="E7">
        <v>103.5</v>
      </c>
      <c r="F7" t="s">
        <v>607</v>
      </c>
      <c r="G7" t="s">
        <v>767</v>
      </c>
      <c r="H7" t="s">
        <v>1071</v>
      </c>
      <c r="I7">
        <f t="shared" si="0"/>
        <v>103.5</v>
      </c>
      <c r="J7">
        <f t="shared" si="1"/>
        <v>46.946810295000006</v>
      </c>
      <c r="K7">
        <v>0.22800000000000001</v>
      </c>
      <c r="L7">
        <f t="shared" si="2"/>
        <v>10.703872747260002</v>
      </c>
    </row>
    <row r="8" spans="1:13" x14ac:dyDescent="0.2">
      <c r="A8" s="4">
        <v>43501</v>
      </c>
      <c r="B8" t="s">
        <v>22</v>
      </c>
      <c r="C8" s="35">
        <v>1</v>
      </c>
      <c r="D8" s="35">
        <v>1</v>
      </c>
      <c r="E8">
        <v>120</v>
      </c>
      <c r="F8" t="s">
        <v>180</v>
      </c>
      <c r="G8" t="s">
        <v>767</v>
      </c>
      <c r="H8" t="s">
        <v>1071</v>
      </c>
      <c r="I8">
        <f t="shared" si="0"/>
        <v>120</v>
      </c>
      <c r="J8">
        <f t="shared" si="1"/>
        <v>54.431084400000003</v>
      </c>
      <c r="K8">
        <v>0.22800000000000001</v>
      </c>
      <c r="L8">
        <f t="shared" si="2"/>
        <v>12.410287243200001</v>
      </c>
    </row>
    <row r="9" spans="1:13" x14ac:dyDescent="0.2">
      <c r="A9" s="4">
        <v>43500</v>
      </c>
      <c r="B9" t="s">
        <v>48</v>
      </c>
      <c r="C9" s="28">
        <v>1</v>
      </c>
      <c r="D9" s="35">
        <v>1</v>
      </c>
      <c r="E9">
        <f>125*(1/3)</f>
        <v>41.666666666666664</v>
      </c>
      <c r="F9" t="s">
        <v>476</v>
      </c>
      <c r="G9" t="s">
        <v>835</v>
      </c>
      <c r="H9" t="s">
        <v>1071</v>
      </c>
      <c r="I9">
        <f t="shared" si="0"/>
        <v>41.666666666666664</v>
      </c>
      <c r="J9">
        <f t="shared" si="1"/>
        <v>18.899682083333335</v>
      </c>
      <c r="K9">
        <v>0.22800000000000001</v>
      </c>
      <c r="L9">
        <f t="shared" si="2"/>
        <v>4.309127515000001</v>
      </c>
    </row>
    <row r="10" spans="1:13" x14ac:dyDescent="0.2">
      <c r="A10" s="4">
        <v>43497</v>
      </c>
      <c r="B10" t="s">
        <v>538</v>
      </c>
      <c r="C10">
        <v>1</v>
      </c>
      <c r="D10">
        <v>6</v>
      </c>
      <c r="E10">
        <v>6.6138700000000004</v>
      </c>
      <c r="F10" t="s">
        <v>447</v>
      </c>
      <c r="G10" t="s">
        <v>1052</v>
      </c>
      <c r="H10" t="s">
        <v>1071</v>
      </c>
      <c r="I10">
        <f t="shared" si="0"/>
        <v>39.683220000000006</v>
      </c>
      <c r="J10">
        <f t="shared" si="1"/>
        <v>18.000005809031403</v>
      </c>
      <c r="K10">
        <v>0.84599999999999997</v>
      </c>
      <c r="L10">
        <f t="shared" si="2"/>
        <v>15.228004914440566</v>
      </c>
    </row>
    <row r="11" spans="1:13" x14ac:dyDescent="0.2">
      <c r="A11" s="4">
        <v>43497</v>
      </c>
      <c r="B11" t="s">
        <v>48</v>
      </c>
      <c r="C11" s="28">
        <v>8</v>
      </c>
      <c r="D11" s="35">
        <v>1</v>
      </c>
      <c r="E11">
        <v>11</v>
      </c>
      <c r="F11" t="s">
        <v>337</v>
      </c>
      <c r="G11" t="s">
        <v>816</v>
      </c>
      <c r="H11" t="s">
        <v>1071</v>
      </c>
      <c r="I11">
        <f t="shared" si="0"/>
        <v>88</v>
      </c>
      <c r="J11">
        <f t="shared" si="1"/>
        <v>39.916128560000004</v>
      </c>
      <c r="K11">
        <v>2.1709999999999998</v>
      </c>
      <c r="L11">
        <f t="shared" si="2"/>
        <v>86.657915103760004</v>
      </c>
    </row>
    <row r="12" spans="1:13" x14ac:dyDescent="0.2">
      <c r="A12" s="4">
        <v>43497</v>
      </c>
      <c r="B12" t="s">
        <v>531</v>
      </c>
      <c r="C12">
        <v>5</v>
      </c>
      <c r="D12">
        <v>4</v>
      </c>
      <c r="E12">
        <v>6</v>
      </c>
      <c r="F12" t="s">
        <v>537</v>
      </c>
      <c r="G12" t="s">
        <v>858</v>
      </c>
      <c r="H12" t="s">
        <v>1071</v>
      </c>
      <c r="I12">
        <f t="shared" si="0"/>
        <v>120</v>
      </c>
      <c r="J12">
        <f t="shared" si="1"/>
        <v>54.431084400000003</v>
      </c>
      <c r="K12">
        <v>0.374</v>
      </c>
      <c r="L12">
        <f t="shared" si="2"/>
        <v>20.3572255656</v>
      </c>
    </row>
    <row r="13" spans="1:13" x14ac:dyDescent="0.2">
      <c r="A13" s="4">
        <v>43503</v>
      </c>
      <c r="B13" t="s">
        <v>48</v>
      </c>
      <c r="C13" s="28">
        <v>3</v>
      </c>
      <c r="D13" s="35">
        <v>1</v>
      </c>
      <c r="E13">
        <v>40</v>
      </c>
      <c r="F13" t="s">
        <v>249</v>
      </c>
      <c r="G13" t="s">
        <v>783</v>
      </c>
      <c r="H13" t="s">
        <v>1071</v>
      </c>
      <c r="I13">
        <f t="shared" si="0"/>
        <v>120</v>
      </c>
      <c r="J13">
        <f t="shared" si="1"/>
        <v>54.431084400000003</v>
      </c>
      <c r="K13">
        <v>0.374</v>
      </c>
      <c r="L13">
        <f t="shared" si="2"/>
        <v>20.3572255656</v>
      </c>
    </row>
    <row r="14" spans="1:13" x14ac:dyDescent="0.2">
      <c r="A14" s="4">
        <v>43502</v>
      </c>
      <c r="B14" t="s">
        <v>48</v>
      </c>
      <c r="C14" s="28">
        <v>4</v>
      </c>
      <c r="D14" s="35">
        <v>1</v>
      </c>
      <c r="E14">
        <v>40</v>
      </c>
      <c r="F14" t="s">
        <v>249</v>
      </c>
      <c r="G14" t="s">
        <v>783</v>
      </c>
      <c r="H14" t="s">
        <v>1071</v>
      </c>
      <c r="I14">
        <f t="shared" si="0"/>
        <v>160</v>
      </c>
      <c r="J14">
        <f t="shared" si="1"/>
        <v>72.574779200000009</v>
      </c>
      <c r="K14">
        <v>0.374</v>
      </c>
      <c r="L14">
        <f t="shared" si="2"/>
        <v>27.142967420800002</v>
      </c>
    </row>
    <row r="15" spans="1:13" x14ac:dyDescent="0.2">
      <c r="A15" s="4">
        <v>43501</v>
      </c>
      <c r="B15" t="s">
        <v>48</v>
      </c>
      <c r="C15" s="28">
        <v>2</v>
      </c>
      <c r="D15" s="35">
        <v>1</v>
      </c>
      <c r="E15">
        <v>40</v>
      </c>
      <c r="F15" t="s">
        <v>249</v>
      </c>
      <c r="G15" t="s">
        <v>783</v>
      </c>
      <c r="H15" t="s">
        <v>1071</v>
      </c>
      <c r="I15">
        <f t="shared" si="0"/>
        <v>80</v>
      </c>
      <c r="J15">
        <f t="shared" si="1"/>
        <v>36.287389600000004</v>
      </c>
      <c r="K15">
        <v>0.374</v>
      </c>
      <c r="L15">
        <f t="shared" si="2"/>
        <v>13.571483710400001</v>
      </c>
      <c r="M15" s="6"/>
    </row>
    <row r="16" spans="1:13" x14ac:dyDescent="0.2">
      <c r="A16" s="4">
        <v>43500</v>
      </c>
      <c r="B16" t="s">
        <v>48</v>
      </c>
      <c r="C16" s="28">
        <v>5</v>
      </c>
      <c r="D16" s="35">
        <v>1</v>
      </c>
      <c r="E16">
        <v>40</v>
      </c>
      <c r="F16" t="s">
        <v>249</v>
      </c>
      <c r="G16" t="s">
        <v>783</v>
      </c>
      <c r="H16" t="s">
        <v>1071</v>
      </c>
      <c r="I16">
        <f t="shared" si="0"/>
        <v>200</v>
      </c>
      <c r="J16">
        <f t="shared" si="1"/>
        <v>90.718474000000001</v>
      </c>
      <c r="K16">
        <v>0.374</v>
      </c>
      <c r="L16">
        <f t="shared" si="2"/>
        <v>33.928709275999999</v>
      </c>
    </row>
    <row r="17" spans="1:13" x14ac:dyDescent="0.2">
      <c r="A17" s="4">
        <v>43498</v>
      </c>
      <c r="B17" t="s">
        <v>48</v>
      </c>
      <c r="C17" s="28">
        <v>6</v>
      </c>
      <c r="D17" s="35">
        <v>1</v>
      </c>
      <c r="E17">
        <v>40</v>
      </c>
      <c r="F17" t="s">
        <v>249</v>
      </c>
      <c r="G17" t="s">
        <v>783</v>
      </c>
      <c r="H17" t="s">
        <v>1071</v>
      </c>
      <c r="I17">
        <f t="shared" si="0"/>
        <v>240</v>
      </c>
      <c r="J17">
        <f t="shared" si="1"/>
        <v>108.86216880000001</v>
      </c>
      <c r="K17">
        <v>0.374</v>
      </c>
      <c r="L17">
        <f t="shared" si="2"/>
        <v>40.714451131200001</v>
      </c>
    </row>
    <row r="18" spans="1:13" x14ac:dyDescent="0.2">
      <c r="A18" s="4">
        <v>43497</v>
      </c>
      <c r="B18" t="s">
        <v>48</v>
      </c>
      <c r="C18" s="28">
        <v>8</v>
      </c>
      <c r="D18" s="35">
        <v>1</v>
      </c>
      <c r="E18">
        <v>40</v>
      </c>
      <c r="F18" t="s">
        <v>249</v>
      </c>
      <c r="G18" t="s">
        <v>783</v>
      </c>
      <c r="H18" t="s">
        <v>1071</v>
      </c>
      <c r="I18">
        <f t="shared" si="0"/>
        <v>320</v>
      </c>
      <c r="J18">
        <f t="shared" si="1"/>
        <v>145.14955840000002</v>
      </c>
      <c r="K18">
        <v>0.374</v>
      </c>
      <c r="L18">
        <f t="shared" si="2"/>
        <v>54.285934841600003</v>
      </c>
    </row>
    <row r="19" spans="1:13" x14ac:dyDescent="0.2">
      <c r="A19" s="4">
        <v>43498</v>
      </c>
      <c r="B19" t="s">
        <v>48</v>
      </c>
      <c r="C19" s="28">
        <v>6</v>
      </c>
      <c r="D19" s="35">
        <v>1</v>
      </c>
      <c r="E19">
        <v>40</v>
      </c>
      <c r="F19" t="s">
        <v>505</v>
      </c>
      <c r="G19" t="s">
        <v>81</v>
      </c>
      <c r="H19" t="s">
        <v>1071</v>
      </c>
      <c r="I19">
        <f t="shared" si="0"/>
        <v>240</v>
      </c>
      <c r="J19">
        <f t="shared" si="1"/>
        <v>108.86216880000001</v>
      </c>
      <c r="K19">
        <v>0.374</v>
      </c>
      <c r="L19">
        <f t="shared" si="2"/>
        <v>40.714451131200001</v>
      </c>
    </row>
    <row r="20" spans="1:13" s="6" customFormat="1" x14ac:dyDescent="0.2">
      <c r="A20" s="4">
        <v>43497</v>
      </c>
      <c r="B20" t="s">
        <v>538</v>
      </c>
      <c r="C20">
        <v>2</v>
      </c>
      <c r="D20">
        <v>6</v>
      </c>
      <c r="E20">
        <v>10</v>
      </c>
      <c r="F20" t="s">
        <v>420</v>
      </c>
      <c r="G20" t="s">
        <v>898</v>
      </c>
      <c r="H20" t="s">
        <v>1071</v>
      </c>
      <c r="I20">
        <f t="shared" si="0"/>
        <v>120</v>
      </c>
      <c r="J20">
        <f t="shared" si="1"/>
        <v>54.431084400000003</v>
      </c>
      <c r="K20">
        <v>0.308</v>
      </c>
      <c r="L20">
        <f t="shared" si="2"/>
        <v>16.764773995200002</v>
      </c>
      <c r="M20"/>
    </row>
    <row r="21" spans="1:13" s="9" customFormat="1" x14ac:dyDescent="0.2">
      <c r="A21" s="4">
        <v>43500</v>
      </c>
      <c r="B21" t="s">
        <v>538</v>
      </c>
      <c r="C21">
        <v>2</v>
      </c>
      <c r="D21">
        <v>6</v>
      </c>
      <c r="E21">
        <v>10</v>
      </c>
      <c r="F21" t="s">
        <v>420</v>
      </c>
      <c r="G21" t="s">
        <v>979</v>
      </c>
      <c r="H21" t="s">
        <v>1071</v>
      </c>
      <c r="I21">
        <f t="shared" si="0"/>
        <v>120</v>
      </c>
      <c r="J21">
        <f t="shared" si="1"/>
        <v>54.431084400000003</v>
      </c>
      <c r="K21">
        <v>0.308</v>
      </c>
      <c r="L21">
        <f t="shared" si="2"/>
        <v>16.764773995200002</v>
      </c>
      <c r="M21"/>
    </row>
    <row r="22" spans="1:13" s="6" customFormat="1" x14ac:dyDescent="0.2">
      <c r="A22" s="4">
        <v>43497</v>
      </c>
      <c r="B22" t="s">
        <v>538</v>
      </c>
      <c r="C22">
        <v>2</v>
      </c>
      <c r="D22">
        <v>1</v>
      </c>
      <c r="E22">
        <v>20</v>
      </c>
      <c r="F22" t="s">
        <v>437</v>
      </c>
      <c r="G22" t="s">
        <v>935</v>
      </c>
      <c r="H22" t="s">
        <v>1071</v>
      </c>
      <c r="I22">
        <f t="shared" si="0"/>
        <v>40</v>
      </c>
      <c r="J22">
        <f t="shared" si="1"/>
        <v>18.143694800000002</v>
      </c>
      <c r="K22">
        <v>0.308</v>
      </c>
      <c r="L22">
        <f t="shared" si="2"/>
        <v>5.5882579984000005</v>
      </c>
      <c r="M22"/>
    </row>
    <row r="23" spans="1:13" x14ac:dyDescent="0.2">
      <c r="A23" s="4">
        <v>43497</v>
      </c>
      <c r="B23" t="s">
        <v>538</v>
      </c>
      <c r="C23">
        <v>1</v>
      </c>
      <c r="D23">
        <v>1</v>
      </c>
      <c r="E23">
        <v>20</v>
      </c>
      <c r="F23" t="s">
        <v>658</v>
      </c>
      <c r="G23" t="s">
        <v>922</v>
      </c>
      <c r="H23" t="s">
        <v>1071</v>
      </c>
      <c r="I23">
        <f t="shared" si="0"/>
        <v>20</v>
      </c>
      <c r="J23">
        <f t="shared" si="1"/>
        <v>9.0718474000000011</v>
      </c>
      <c r="K23">
        <v>0.308</v>
      </c>
      <c r="L23">
        <f t="shared" si="2"/>
        <v>2.7941289992000002</v>
      </c>
    </row>
    <row r="24" spans="1:13" x14ac:dyDescent="0.2">
      <c r="A24" s="4">
        <v>43497</v>
      </c>
      <c r="B24" t="s">
        <v>538</v>
      </c>
      <c r="C24">
        <v>1</v>
      </c>
      <c r="D24">
        <v>6</v>
      </c>
      <c r="E24">
        <v>10</v>
      </c>
      <c r="F24" t="s">
        <v>440</v>
      </c>
      <c r="G24" t="s">
        <v>922</v>
      </c>
      <c r="H24" t="s">
        <v>1071</v>
      </c>
      <c r="I24">
        <f t="shared" si="0"/>
        <v>60</v>
      </c>
      <c r="J24">
        <f t="shared" si="1"/>
        <v>27.215542200000002</v>
      </c>
      <c r="K24">
        <v>0.308</v>
      </c>
      <c r="L24">
        <f t="shared" si="2"/>
        <v>8.3823869976000012</v>
      </c>
    </row>
    <row r="25" spans="1:13" x14ac:dyDescent="0.2">
      <c r="A25" s="4">
        <v>43500</v>
      </c>
      <c r="B25" t="s">
        <v>538</v>
      </c>
      <c r="C25">
        <v>2</v>
      </c>
      <c r="D25">
        <v>6</v>
      </c>
      <c r="E25">
        <v>10</v>
      </c>
      <c r="F25" t="s">
        <v>440</v>
      </c>
      <c r="G25" t="s">
        <v>922</v>
      </c>
      <c r="H25" t="s">
        <v>1071</v>
      </c>
      <c r="I25">
        <f t="shared" si="0"/>
        <v>120</v>
      </c>
      <c r="J25">
        <f t="shared" si="1"/>
        <v>54.431084400000003</v>
      </c>
      <c r="K25">
        <v>0.308</v>
      </c>
      <c r="L25">
        <f t="shared" si="2"/>
        <v>16.764773995200002</v>
      </c>
    </row>
    <row r="26" spans="1:13" x14ac:dyDescent="0.2">
      <c r="A26" s="4">
        <v>43502</v>
      </c>
      <c r="B26" t="s">
        <v>48</v>
      </c>
      <c r="C26" s="28">
        <v>3</v>
      </c>
      <c r="D26" s="35">
        <v>1</v>
      </c>
      <c r="E26">
        <v>10</v>
      </c>
      <c r="F26" t="s">
        <v>717</v>
      </c>
      <c r="G26" s="38" t="s">
        <v>833</v>
      </c>
      <c r="H26" t="s">
        <v>1071</v>
      </c>
      <c r="I26">
        <f t="shared" si="0"/>
        <v>30</v>
      </c>
      <c r="J26">
        <f t="shared" si="1"/>
        <v>13.607771100000001</v>
      </c>
      <c r="K26">
        <v>0.66200000000000003</v>
      </c>
      <c r="L26">
        <f t="shared" si="2"/>
        <v>9.0083444682000007</v>
      </c>
    </row>
    <row r="27" spans="1:13" x14ac:dyDescent="0.2">
      <c r="A27" s="4">
        <v>43500</v>
      </c>
      <c r="B27" t="s">
        <v>48</v>
      </c>
      <c r="C27" s="28">
        <v>3</v>
      </c>
      <c r="D27" s="35">
        <v>1</v>
      </c>
      <c r="E27">
        <v>10</v>
      </c>
      <c r="F27" t="s">
        <v>717</v>
      </c>
      <c r="G27" s="38" t="s">
        <v>833</v>
      </c>
      <c r="H27" t="s">
        <v>1071</v>
      </c>
      <c r="I27">
        <f t="shared" si="0"/>
        <v>30</v>
      </c>
      <c r="J27">
        <f t="shared" si="1"/>
        <v>13.607771100000001</v>
      </c>
      <c r="K27">
        <v>0.66200000000000003</v>
      </c>
      <c r="L27">
        <f t="shared" si="2"/>
        <v>9.0083444682000007</v>
      </c>
    </row>
    <row r="28" spans="1:13" x14ac:dyDescent="0.2">
      <c r="A28" s="4">
        <v>43497</v>
      </c>
      <c r="B28" t="s">
        <v>48</v>
      </c>
      <c r="C28" s="28">
        <v>4</v>
      </c>
      <c r="D28" s="35">
        <v>1</v>
      </c>
      <c r="E28">
        <v>10</v>
      </c>
      <c r="F28" t="s">
        <v>487</v>
      </c>
      <c r="G28" s="38" t="s">
        <v>833</v>
      </c>
      <c r="H28" t="s">
        <v>1071</v>
      </c>
      <c r="I28">
        <f t="shared" si="0"/>
        <v>40</v>
      </c>
      <c r="J28">
        <f t="shared" si="1"/>
        <v>18.143694800000002</v>
      </c>
      <c r="K28">
        <v>0.66200000000000003</v>
      </c>
      <c r="L28">
        <f t="shared" si="2"/>
        <v>12.011125957600003</v>
      </c>
    </row>
    <row r="29" spans="1:13" x14ac:dyDescent="0.2">
      <c r="A29" s="4">
        <v>43497</v>
      </c>
      <c r="B29" t="s">
        <v>538</v>
      </c>
      <c r="C29">
        <v>1</v>
      </c>
      <c r="D29">
        <v>1</v>
      </c>
      <c r="E29">
        <v>20</v>
      </c>
      <c r="F29" t="s">
        <v>665</v>
      </c>
      <c r="G29" t="s">
        <v>984</v>
      </c>
      <c r="H29" t="s">
        <v>1071</v>
      </c>
      <c r="I29">
        <f t="shared" si="0"/>
        <v>20</v>
      </c>
      <c r="J29">
        <f t="shared" si="1"/>
        <v>9.0718474000000011</v>
      </c>
      <c r="K29">
        <v>0.308</v>
      </c>
      <c r="L29">
        <f t="shared" si="2"/>
        <v>2.7941289992000002</v>
      </c>
    </row>
    <row r="30" spans="1:13" x14ac:dyDescent="0.2">
      <c r="A30" s="4">
        <v>43503</v>
      </c>
      <c r="B30" t="s">
        <v>48</v>
      </c>
      <c r="C30" s="28">
        <v>3</v>
      </c>
      <c r="D30" s="35">
        <v>1</v>
      </c>
      <c r="E30">
        <v>10</v>
      </c>
      <c r="F30" t="s">
        <v>347</v>
      </c>
      <c r="G30" t="s">
        <v>936</v>
      </c>
      <c r="H30" t="s">
        <v>1071</v>
      </c>
      <c r="I30">
        <f t="shared" si="0"/>
        <v>30</v>
      </c>
      <c r="J30">
        <f t="shared" si="1"/>
        <v>13.607771100000001</v>
      </c>
      <c r="K30">
        <v>0.66200000000000003</v>
      </c>
      <c r="L30">
        <f t="shared" si="2"/>
        <v>9.0083444682000007</v>
      </c>
    </row>
    <row r="31" spans="1:13" x14ac:dyDescent="0.2">
      <c r="A31" s="4">
        <v>43501</v>
      </c>
      <c r="B31" t="s">
        <v>48</v>
      </c>
      <c r="C31" s="28">
        <v>3</v>
      </c>
      <c r="D31" s="35">
        <v>1</v>
      </c>
      <c r="E31">
        <v>10</v>
      </c>
      <c r="F31" t="s">
        <v>347</v>
      </c>
      <c r="G31" t="s">
        <v>936</v>
      </c>
      <c r="H31" t="s">
        <v>1071</v>
      </c>
      <c r="I31">
        <f t="shared" si="0"/>
        <v>30</v>
      </c>
      <c r="J31">
        <f t="shared" si="1"/>
        <v>13.607771100000001</v>
      </c>
      <c r="K31">
        <v>0.66200000000000003</v>
      </c>
      <c r="L31">
        <f t="shared" si="2"/>
        <v>9.0083444682000007</v>
      </c>
    </row>
    <row r="32" spans="1:13" x14ac:dyDescent="0.2">
      <c r="A32" s="4">
        <v>43497</v>
      </c>
      <c r="B32" t="s">
        <v>48</v>
      </c>
      <c r="C32" s="28">
        <v>6</v>
      </c>
      <c r="D32" s="35">
        <v>1</v>
      </c>
      <c r="E32">
        <v>10</v>
      </c>
      <c r="F32" t="s">
        <v>347</v>
      </c>
      <c r="G32" t="s">
        <v>936</v>
      </c>
      <c r="H32" t="s">
        <v>1071</v>
      </c>
      <c r="I32">
        <f t="shared" si="0"/>
        <v>60</v>
      </c>
      <c r="J32">
        <f t="shared" si="1"/>
        <v>27.215542200000002</v>
      </c>
      <c r="K32">
        <v>0.66200000000000003</v>
      </c>
      <c r="L32">
        <f t="shared" si="2"/>
        <v>18.016688936400001</v>
      </c>
    </row>
    <row r="33" spans="1:12" x14ac:dyDescent="0.2">
      <c r="A33" s="4">
        <v>43497</v>
      </c>
      <c r="B33" t="s">
        <v>699</v>
      </c>
      <c r="C33" s="39">
        <v>1</v>
      </c>
      <c r="D33" s="35">
        <v>1</v>
      </c>
      <c r="E33">
        <v>41.66</v>
      </c>
      <c r="F33" s="9" t="s">
        <v>701</v>
      </c>
      <c r="G33" s="9" t="s">
        <v>10</v>
      </c>
      <c r="H33" t="s">
        <v>1072</v>
      </c>
      <c r="I33">
        <f t="shared" si="0"/>
        <v>41.66</v>
      </c>
      <c r="J33">
        <f t="shared" si="1"/>
        <v>18.896658134199999</v>
      </c>
      <c r="K33">
        <v>32.845999999999997</v>
      </c>
      <c r="L33">
        <f t="shared" si="2"/>
        <v>620.67963307593311</v>
      </c>
    </row>
    <row r="34" spans="1:12" x14ac:dyDescent="0.2">
      <c r="A34" s="4">
        <v>43497</v>
      </c>
      <c r="B34" t="s">
        <v>9</v>
      </c>
      <c r="C34" s="35">
        <v>1</v>
      </c>
      <c r="D34" s="35">
        <v>1</v>
      </c>
      <c r="E34">
        <v>300</v>
      </c>
      <c r="F34" t="s">
        <v>12</v>
      </c>
      <c r="G34" t="s">
        <v>10</v>
      </c>
      <c r="H34" t="s">
        <v>1072</v>
      </c>
      <c r="I34">
        <f t="shared" si="0"/>
        <v>300</v>
      </c>
      <c r="J34">
        <f t="shared" si="1"/>
        <v>136.07771100000002</v>
      </c>
      <c r="K34">
        <v>32.845999999999997</v>
      </c>
      <c r="L34">
        <f t="shared" si="2"/>
        <v>4469.6084955060005</v>
      </c>
    </row>
    <row r="35" spans="1:12" x14ac:dyDescent="0.2">
      <c r="A35" s="4">
        <v>43497</v>
      </c>
      <c r="B35" t="s">
        <v>9</v>
      </c>
      <c r="C35" s="35">
        <v>1</v>
      </c>
      <c r="D35" s="35">
        <v>1</v>
      </c>
      <c r="E35">
        <v>100</v>
      </c>
      <c r="F35" t="s">
        <v>11</v>
      </c>
      <c r="G35" t="s">
        <v>10</v>
      </c>
      <c r="H35" t="s">
        <v>1072</v>
      </c>
      <c r="I35">
        <f t="shared" ref="I35:I66" si="3">C35*D35*E35</f>
        <v>100</v>
      </c>
      <c r="J35">
        <f t="shared" si="1"/>
        <v>45.359237</v>
      </c>
      <c r="K35">
        <v>32.845999999999997</v>
      </c>
      <c r="L35">
        <f t="shared" si="2"/>
        <v>1489.8694985019999</v>
      </c>
    </row>
    <row r="36" spans="1:12" x14ac:dyDescent="0.2">
      <c r="A36" s="4">
        <v>43497</v>
      </c>
      <c r="B36" t="s">
        <v>525</v>
      </c>
      <c r="C36">
        <v>10</v>
      </c>
      <c r="D36">
        <v>1</v>
      </c>
      <c r="E36">
        <v>10</v>
      </c>
      <c r="F36" t="s">
        <v>588</v>
      </c>
      <c r="G36" t="s">
        <v>10</v>
      </c>
      <c r="H36" t="s">
        <v>1072</v>
      </c>
      <c r="I36">
        <f t="shared" si="3"/>
        <v>100</v>
      </c>
      <c r="J36">
        <f t="shared" si="1"/>
        <v>45.359237</v>
      </c>
      <c r="K36">
        <v>32.845999999999997</v>
      </c>
      <c r="L36">
        <f t="shared" si="2"/>
        <v>1489.8694985019999</v>
      </c>
    </row>
    <row r="37" spans="1:12" x14ac:dyDescent="0.2">
      <c r="A37" s="4">
        <v>43497</v>
      </c>
      <c r="B37" t="s">
        <v>525</v>
      </c>
      <c r="C37">
        <v>1</v>
      </c>
      <c r="D37">
        <v>1</v>
      </c>
      <c r="E37">
        <v>212.13</v>
      </c>
      <c r="F37" t="s">
        <v>397</v>
      </c>
      <c r="G37" t="s">
        <v>850</v>
      </c>
      <c r="H37" t="s">
        <v>1072</v>
      </c>
      <c r="I37">
        <f t="shared" si="3"/>
        <v>212.13</v>
      </c>
      <c r="J37">
        <f t="shared" si="1"/>
        <v>96.220549448100002</v>
      </c>
      <c r="K37">
        <v>32.845999999999997</v>
      </c>
      <c r="L37">
        <f t="shared" si="2"/>
        <v>3160.4601671722921</v>
      </c>
    </row>
    <row r="38" spans="1:12" x14ac:dyDescent="0.2">
      <c r="A38" s="4">
        <v>43500</v>
      </c>
      <c r="B38" t="s">
        <v>525</v>
      </c>
      <c r="C38">
        <v>4</v>
      </c>
      <c r="D38">
        <v>1</v>
      </c>
      <c r="E38">
        <v>10</v>
      </c>
      <c r="F38" t="s">
        <v>588</v>
      </c>
      <c r="G38" t="s">
        <v>10</v>
      </c>
      <c r="H38" t="s">
        <v>1072</v>
      </c>
      <c r="I38">
        <f t="shared" si="3"/>
        <v>40</v>
      </c>
      <c r="J38">
        <f t="shared" si="1"/>
        <v>18.143694800000002</v>
      </c>
      <c r="K38">
        <v>32.845999999999997</v>
      </c>
      <c r="L38">
        <f t="shared" si="2"/>
        <v>595.94779940080002</v>
      </c>
    </row>
    <row r="39" spans="1:12" x14ac:dyDescent="0.2">
      <c r="A39" s="4">
        <v>43500</v>
      </c>
      <c r="B39" t="s">
        <v>525</v>
      </c>
      <c r="C39">
        <v>2</v>
      </c>
      <c r="D39">
        <v>1</v>
      </c>
      <c r="E39">
        <v>142.62</v>
      </c>
      <c r="F39" t="s">
        <v>397</v>
      </c>
      <c r="G39" t="s">
        <v>850</v>
      </c>
      <c r="H39" t="s">
        <v>1072</v>
      </c>
      <c r="I39">
        <f t="shared" si="3"/>
        <v>285.24</v>
      </c>
      <c r="J39">
        <f t="shared" si="1"/>
        <v>129.38268761879999</v>
      </c>
      <c r="K39">
        <v>32.845999999999997</v>
      </c>
      <c r="L39">
        <f t="shared" si="2"/>
        <v>4249.7037575271042</v>
      </c>
    </row>
    <row r="40" spans="1:12" x14ac:dyDescent="0.2">
      <c r="A40" s="4">
        <v>43501</v>
      </c>
      <c r="B40" t="s">
        <v>48</v>
      </c>
      <c r="C40" s="28">
        <v>1</v>
      </c>
      <c r="D40" s="35">
        <v>1</v>
      </c>
      <c r="E40">
        <v>25</v>
      </c>
      <c r="F40" t="s">
        <v>361</v>
      </c>
      <c r="G40" t="s">
        <v>820</v>
      </c>
      <c r="H40" t="s">
        <v>1071</v>
      </c>
      <c r="I40">
        <f t="shared" si="3"/>
        <v>25</v>
      </c>
      <c r="J40">
        <f t="shared" si="1"/>
        <v>11.33980925</v>
      </c>
      <c r="K40">
        <v>0.19400000000000001</v>
      </c>
      <c r="L40">
        <f t="shared" si="2"/>
        <v>2.1999229945000001</v>
      </c>
    </row>
    <row r="41" spans="1:12" x14ac:dyDescent="0.2">
      <c r="A41" s="4">
        <v>43497</v>
      </c>
      <c r="B41" t="s">
        <v>48</v>
      </c>
      <c r="C41" s="28">
        <v>1</v>
      </c>
      <c r="D41" s="35">
        <v>1</v>
      </c>
      <c r="E41">
        <v>25</v>
      </c>
      <c r="F41" t="s">
        <v>361</v>
      </c>
      <c r="G41" t="s">
        <v>820</v>
      </c>
      <c r="H41" t="s">
        <v>1071</v>
      </c>
      <c r="I41">
        <f t="shared" si="3"/>
        <v>25</v>
      </c>
      <c r="J41">
        <f t="shared" si="1"/>
        <v>11.33980925</v>
      </c>
      <c r="K41">
        <v>0.19400000000000001</v>
      </c>
      <c r="L41">
        <f t="shared" si="2"/>
        <v>2.1999229945000001</v>
      </c>
    </row>
    <row r="42" spans="1:12" x14ac:dyDescent="0.2">
      <c r="A42" s="4">
        <v>43497</v>
      </c>
      <c r="B42" t="s">
        <v>531</v>
      </c>
      <c r="C42">
        <v>4</v>
      </c>
      <c r="D42">
        <v>40</v>
      </c>
      <c r="E42">
        <f>4/16</f>
        <v>0.25</v>
      </c>
      <c r="F42" t="s">
        <v>536</v>
      </c>
      <c r="G42" s="6" t="s">
        <v>983</v>
      </c>
      <c r="H42" t="s">
        <v>1071</v>
      </c>
      <c r="I42">
        <f t="shared" si="3"/>
        <v>40</v>
      </c>
      <c r="J42">
        <f t="shared" si="1"/>
        <v>18.143694800000002</v>
      </c>
      <c r="K42">
        <v>3.5270000000000001</v>
      </c>
      <c r="L42">
        <f t="shared" si="2"/>
        <v>63.992811559600007</v>
      </c>
    </row>
    <row r="43" spans="1:12" x14ac:dyDescent="0.2">
      <c r="A43" s="4">
        <v>43500</v>
      </c>
      <c r="B43" t="s">
        <v>531</v>
      </c>
      <c r="C43">
        <v>3</v>
      </c>
      <c r="D43">
        <v>48</v>
      </c>
      <c r="E43">
        <v>0.18124999999999999</v>
      </c>
      <c r="F43" t="s">
        <v>417</v>
      </c>
      <c r="G43" t="s">
        <v>895</v>
      </c>
      <c r="H43" t="s">
        <v>1071</v>
      </c>
      <c r="I43">
        <f t="shared" si="3"/>
        <v>26.099999999999998</v>
      </c>
      <c r="J43">
        <f t="shared" si="1"/>
        <v>11.838760856999999</v>
      </c>
      <c r="K43" s="38">
        <v>6.87</v>
      </c>
      <c r="L43">
        <f t="shared" si="2"/>
        <v>81.332287087589989</v>
      </c>
    </row>
    <row r="44" spans="1:12" x14ac:dyDescent="0.2">
      <c r="A44" s="4">
        <v>43503</v>
      </c>
      <c r="B44" t="s">
        <v>48</v>
      </c>
      <c r="C44" s="28">
        <v>2</v>
      </c>
      <c r="D44" s="35">
        <v>1</v>
      </c>
      <c r="E44">
        <v>30</v>
      </c>
      <c r="F44" t="s">
        <v>705</v>
      </c>
      <c r="G44" t="s">
        <v>237</v>
      </c>
      <c r="H44" t="s">
        <v>1071</v>
      </c>
      <c r="I44">
        <f t="shared" si="3"/>
        <v>60</v>
      </c>
      <c r="J44">
        <f t="shared" si="1"/>
        <v>27.215542200000002</v>
      </c>
      <c r="K44">
        <v>0.13400000000000001</v>
      </c>
      <c r="L44">
        <f t="shared" si="2"/>
        <v>3.6468826548000006</v>
      </c>
    </row>
    <row r="45" spans="1:12" x14ac:dyDescent="0.2">
      <c r="A45" s="4">
        <v>43502</v>
      </c>
      <c r="B45" t="s">
        <v>48</v>
      </c>
      <c r="C45" s="28">
        <v>2</v>
      </c>
      <c r="D45" s="35">
        <v>1</v>
      </c>
      <c r="E45">
        <v>30</v>
      </c>
      <c r="F45" t="s">
        <v>495</v>
      </c>
      <c r="G45" t="s">
        <v>886</v>
      </c>
      <c r="H45" t="s">
        <v>1071</v>
      </c>
      <c r="I45">
        <f t="shared" si="3"/>
        <v>60</v>
      </c>
      <c r="J45">
        <f t="shared" si="1"/>
        <v>27.215542200000002</v>
      </c>
      <c r="K45">
        <v>0.13400000000000001</v>
      </c>
      <c r="L45">
        <f t="shared" si="2"/>
        <v>3.6468826548000006</v>
      </c>
    </row>
    <row r="46" spans="1:12" x14ac:dyDescent="0.2">
      <c r="A46" s="4">
        <v>43501</v>
      </c>
      <c r="B46" t="s">
        <v>48</v>
      </c>
      <c r="C46" s="28">
        <v>1</v>
      </c>
      <c r="D46" s="35">
        <v>1</v>
      </c>
      <c r="E46">
        <v>30</v>
      </c>
      <c r="F46" t="s">
        <v>705</v>
      </c>
      <c r="G46" t="s">
        <v>237</v>
      </c>
      <c r="H46" t="s">
        <v>1071</v>
      </c>
      <c r="I46">
        <f t="shared" si="3"/>
        <v>30</v>
      </c>
      <c r="J46">
        <f t="shared" si="1"/>
        <v>13.607771100000001</v>
      </c>
      <c r="K46">
        <v>0.13400000000000001</v>
      </c>
      <c r="L46">
        <f t="shared" si="2"/>
        <v>1.8234413274000003</v>
      </c>
    </row>
    <row r="47" spans="1:12" x14ac:dyDescent="0.2">
      <c r="A47" s="4">
        <v>43503</v>
      </c>
      <c r="B47" t="s">
        <v>531</v>
      </c>
      <c r="C47">
        <v>1</v>
      </c>
      <c r="D47">
        <v>12</v>
      </c>
      <c r="E47">
        <f>10*0.177</f>
        <v>1.77</v>
      </c>
      <c r="F47" t="s">
        <v>651</v>
      </c>
      <c r="G47" s="6" t="s">
        <v>868</v>
      </c>
      <c r="H47" t="s">
        <v>1071</v>
      </c>
      <c r="I47">
        <f t="shared" si="3"/>
        <v>21.240000000000002</v>
      </c>
      <c r="J47">
        <f t="shared" si="1"/>
        <v>9.634301938800002</v>
      </c>
      <c r="K47">
        <v>1.2</v>
      </c>
      <c r="L47">
        <f t="shared" si="2"/>
        <v>11.561162326560002</v>
      </c>
    </row>
    <row r="48" spans="1:12" x14ac:dyDescent="0.2">
      <c r="A48" s="4">
        <v>43503</v>
      </c>
      <c r="B48" t="s">
        <v>48</v>
      </c>
      <c r="C48">
        <v>8</v>
      </c>
      <c r="D48" s="35">
        <v>1</v>
      </c>
      <c r="E48">
        <v>12</v>
      </c>
      <c r="F48" s="9" t="s">
        <v>703</v>
      </c>
      <c r="G48" s="9" t="s">
        <v>204</v>
      </c>
      <c r="H48" t="s">
        <v>1071</v>
      </c>
      <c r="I48">
        <f t="shared" si="3"/>
        <v>96</v>
      </c>
      <c r="J48">
        <f t="shared" si="1"/>
        <v>43.544867520000004</v>
      </c>
      <c r="K48">
        <v>0.79700000000000004</v>
      </c>
      <c r="L48">
        <f t="shared" si="2"/>
        <v>34.705259413440004</v>
      </c>
    </row>
    <row r="49" spans="1:12" x14ac:dyDescent="0.2">
      <c r="A49" s="4">
        <v>43501</v>
      </c>
      <c r="B49" t="s">
        <v>48</v>
      </c>
      <c r="C49" s="28">
        <v>12</v>
      </c>
      <c r="D49" s="35">
        <v>1</v>
      </c>
      <c r="E49">
        <v>12</v>
      </c>
      <c r="F49" t="s">
        <v>618</v>
      </c>
      <c r="G49" t="s">
        <v>784</v>
      </c>
      <c r="H49" t="s">
        <v>1071</v>
      </c>
      <c r="I49">
        <f t="shared" si="3"/>
        <v>144</v>
      </c>
      <c r="J49">
        <f t="shared" si="1"/>
        <v>65.317301279999995</v>
      </c>
      <c r="K49">
        <v>0.79700000000000004</v>
      </c>
      <c r="L49">
        <f t="shared" si="2"/>
        <v>52.057889120159999</v>
      </c>
    </row>
    <row r="50" spans="1:12" x14ac:dyDescent="0.2">
      <c r="A50" s="4">
        <v>43498</v>
      </c>
      <c r="B50" t="s">
        <v>48</v>
      </c>
      <c r="C50" s="28">
        <v>4</v>
      </c>
      <c r="D50" s="35">
        <v>1</v>
      </c>
      <c r="E50">
        <v>12</v>
      </c>
      <c r="F50" t="s">
        <v>618</v>
      </c>
      <c r="G50" t="s">
        <v>784</v>
      </c>
      <c r="H50" t="s">
        <v>1071</v>
      </c>
      <c r="I50">
        <f t="shared" si="3"/>
        <v>48</v>
      </c>
      <c r="J50">
        <f t="shared" si="1"/>
        <v>21.772433760000002</v>
      </c>
      <c r="K50">
        <v>0.79700000000000004</v>
      </c>
      <c r="L50">
        <f t="shared" si="2"/>
        <v>17.352629706720002</v>
      </c>
    </row>
    <row r="51" spans="1:12" x14ac:dyDescent="0.2">
      <c r="A51" s="4">
        <v>43498</v>
      </c>
      <c r="B51" t="s">
        <v>48</v>
      </c>
      <c r="C51" s="28">
        <v>6</v>
      </c>
      <c r="D51" s="35">
        <v>1</v>
      </c>
      <c r="E51">
        <v>12</v>
      </c>
      <c r="F51" t="s">
        <v>618</v>
      </c>
      <c r="G51" t="s">
        <v>784</v>
      </c>
      <c r="H51" t="s">
        <v>1071</v>
      </c>
      <c r="I51">
        <f t="shared" si="3"/>
        <v>72</v>
      </c>
      <c r="J51">
        <f t="shared" si="1"/>
        <v>32.658650639999998</v>
      </c>
      <c r="K51">
        <v>0.79700000000000004</v>
      </c>
      <c r="L51">
        <f t="shared" si="2"/>
        <v>26.028944560079999</v>
      </c>
    </row>
    <row r="52" spans="1:12" x14ac:dyDescent="0.2">
      <c r="A52" s="4">
        <v>43497</v>
      </c>
      <c r="B52" t="s">
        <v>48</v>
      </c>
      <c r="C52" s="28">
        <v>10</v>
      </c>
      <c r="D52" s="35">
        <v>1</v>
      </c>
      <c r="E52">
        <v>12</v>
      </c>
      <c r="F52" t="s">
        <v>618</v>
      </c>
      <c r="G52" t="s">
        <v>784</v>
      </c>
      <c r="H52" t="s">
        <v>1071</v>
      </c>
      <c r="I52">
        <f t="shared" si="3"/>
        <v>120</v>
      </c>
      <c r="J52">
        <f t="shared" si="1"/>
        <v>54.431084400000003</v>
      </c>
      <c r="K52">
        <v>0.79700000000000004</v>
      </c>
      <c r="L52">
        <f t="shared" si="2"/>
        <v>43.381574266800001</v>
      </c>
    </row>
    <row r="53" spans="1:12" x14ac:dyDescent="0.2">
      <c r="A53" s="4">
        <v>43498</v>
      </c>
      <c r="B53" t="s">
        <v>48</v>
      </c>
      <c r="C53" s="28">
        <v>6</v>
      </c>
      <c r="D53" s="35">
        <v>1</v>
      </c>
      <c r="E53">
        <v>12</v>
      </c>
      <c r="F53" t="s">
        <v>727</v>
      </c>
      <c r="G53" t="s">
        <v>204</v>
      </c>
      <c r="H53" t="s">
        <v>1071</v>
      </c>
      <c r="I53">
        <f t="shared" si="3"/>
        <v>72</v>
      </c>
      <c r="J53">
        <f t="shared" si="1"/>
        <v>32.658650639999998</v>
      </c>
      <c r="K53">
        <v>0.79700000000000004</v>
      </c>
      <c r="L53">
        <f t="shared" si="2"/>
        <v>26.028944560079999</v>
      </c>
    </row>
    <row r="54" spans="1:12" x14ac:dyDescent="0.2">
      <c r="A54" s="4">
        <v>43498</v>
      </c>
      <c r="B54" t="s">
        <v>48</v>
      </c>
      <c r="C54" s="28">
        <v>2</v>
      </c>
      <c r="D54" s="35">
        <v>1</v>
      </c>
      <c r="E54">
        <v>20</v>
      </c>
      <c r="F54" t="s">
        <v>355</v>
      </c>
      <c r="G54" t="s">
        <v>818</v>
      </c>
      <c r="H54" t="s">
        <v>1071</v>
      </c>
      <c r="I54">
        <f t="shared" si="3"/>
        <v>40</v>
      </c>
      <c r="J54">
        <f t="shared" si="1"/>
        <v>18.143694800000002</v>
      </c>
      <c r="K54">
        <v>0.49</v>
      </c>
      <c r="L54">
        <f t="shared" si="2"/>
        <v>8.8904104520000011</v>
      </c>
    </row>
    <row r="55" spans="1:12" x14ac:dyDescent="0.2">
      <c r="A55" s="4">
        <v>43497</v>
      </c>
      <c r="B55" t="s">
        <v>48</v>
      </c>
      <c r="C55" s="28">
        <v>3</v>
      </c>
      <c r="D55" s="35">
        <v>1</v>
      </c>
      <c r="E55">
        <v>20</v>
      </c>
      <c r="F55" t="s">
        <v>355</v>
      </c>
      <c r="G55" t="s">
        <v>818</v>
      </c>
      <c r="H55" t="s">
        <v>1071</v>
      </c>
      <c r="I55">
        <f t="shared" si="3"/>
        <v>60</v>
      </c>
      <c r="J55">
        <f t="shared" si="1"/>
        <v>27.215542200000002</v>
      </c>
      <c r="K55">
        <v>0.49</v>
      </c>
      <c r="L55">
        <f t="shared" si="2"/>
        <v>13.335615678</v>
      </c>
    </row>
    <row r="56" spans="1:12" x14ac:dyDescent="0.2">
      <c r="A56" s="4">
        <v>43498</v>
      </c>
      <c r="B56" t="s">
        <v>48</v>
      </c>
      <c r="C56" s="28">
        <v>2</v>
      </c>
      <c r="D56" s="35">
        <v>1</v>
      </c>
      <c r="E56">
        <v>20</v>
      </c>
      <c r="F56" t="s">
        <v>728</v>
      </c>
      <c r="G56" t="s">
        <v>772</v>
      </c>
      <c r="H56" t="s">
        <v>1071</v>
      </c>
      <c r="I56">
        <f t="shared" si="3"/>
        <v>40</v>
      </c>
      <c r="J56">
        <f t="shared" si="1"/>
        <v>18.143694800000002</v>
      </c>
      <c r="K56">
        <v>0.49</v>
      </c>
      <c r="L56">
        <f t="shared" si="2"/>
        <v>8.8904104520000011</v>
      </c>
    </row>
    <row r="57" spans="1:12" x14ac:dyDescent="0.2">
      <c r="A57" s="4">
        <v>43497</v>
      </c>
      <c r="B57" t="s">
        <v>531</v>
      </c>
      <c r="C57">
        <v>1</v>
      </c>
      <c r="D57">
        <v>12</v>
      </c>
      <c r="E57">
        <f>6*3.5</f>
        <v>21</v>
      </c>
      <c r="F57" t="s">
        <v>589</v>
      </c>
      <c r="G57" s="6" t="s">
        <v>880</v>
      </c>
      <c r="H57" t="s">
        <v>1071</v>
      </c>
      <c r="I57">
        <f t="shared" si="3"/>
        <v>252</v>
      </c>
      <c r="J57">
        <f t="shared" si="1"/>
        <v>114.30527724000001</v>
      </c>
      <c r="K57">
        <v>1.2</v>
      </c>
      <c r="L57">
        <f t="shared" si="2"/>
        <v>137.16633268800001</v>
      </c>
    </row>
    <row r="58" spans="1:12" x14ac:dyDescent="0.2">
      <c r="A58" s="4">
        <v>43497</v>
      </c>
      <c r="B58" t="s">
        <v>517</v>
      </c>
      <c r="C58">
        <v>1</v>
      </c>
      <c r="D58">
        <v>36</v>
      </c>
      <c r="E58">
        <v>1</v>
      </c>
      <c r="F58" t="s">
        <v>382</v>
      </c>
      <c r="G58" t="s">
        <v>845</v>
      </c>
      <c r="H58" t="s">
        <v>1073</v>
      </c>
      <c r="I58">
        <f t="shared" si="3"/>
        <v>36</v>
      </c>
      <c r="J58">
        <f t="shared" si="1"/>
        <v>16.329325319999999</v>
      </c>
      <c r="K58">
        <v>11.52</v>
      </c>
      <c r="L58">
        <f t="shared" si="2"/>
        <v>188.11382768639999</v>
      </c>
    </row>
    <row r="59" spans="1:12" x14ac:dyDescent="0.2">
      <c r="A59" s="4">
        <v>43500</v>
      </c>
      <c r="B59" t="s">
        <v>517</v>
      </c>
      <c r="C59">
        <v>1</v>
      </c>
      <c r="D59">
        <v>36</v>
      </c>
      <c r="E59">
        <v>1</v>
      </c>
      <c r="F59" t="s">
        <v>382</v>
      </c>
      <c r="G59" t="s">
        <v>845</v>
      </c>
      <c r="H59" t="s">
        <v>1073</v>
      </c>
      <c r="I59">
        <f t="shared" si="3"/>
        <v>36</v>
      </c>
      <c r="J59">
        <f t="shared" si="1"/>
        <v>16.329325319999999</v>
      </c>
      <c r="K59">
        <v>11.52</v>
      </c>
      <c r="L59">
        <f t="shared" si="2"/>
        <v>188.11382768639999</v>
      </c>
    </row>
    <row r="60" spans="1:12" x14ac:dyDescent="0.2">
      <c r="A60" s="4">
        <v>43501</v>
      </c>
      <c r="B60" t="s">
        <v>22</v>
      </c>
      <c r="C60" s="35">
        <v>1</v>
      </c>
      <c r="D60" s="35">
        <v>1</v>
      </c>
      <c r="E60">
        <v>80</v>
      </c>
      <c r="F60" t="s">
        <v>23</v>
      </c>
      <c r="G60" t="s">
        <v>753</v>
      </c>
      <c r="H60" t="s">
        <v>1071</v>
      </c>
      <c r="I60">
        <f t="shared" si="3"/>
        <v>80</v>
      </c>
      <c r="J60">
        <f t="shared" si="1"/>
        <v>36.287389600000004</v>
      </c>
      <c r="K60">
        <v>0.219</v>
      </c>
      <c r="L60">
        <f t="shared" si="2"/>
        <v>7.9469383224000012</v>
      </c>
    </row>
    <row r="61" spans="1:12" x14ac:dyDescent="0.2">
      <c r="A61" s="4">
        <v>43500</v>
      </c>
      <c r="B61" t="s">
        <v>48</v>
      </c>
      <c r="C61" s="28">
        <v>1</v>
      </c>
      <c r="D61" s="35">
        <v>1</v>
      </c>
      <c r="E61">
        <v>30</v>
      </c>
      <c r="F61" t="s">
        <v>721</v>
      </c>
      <c r="G61" t="s">
        <v>1042</v>
      </c>
      <c r="H61" t="s">
        <v>1071</v>
      </c>
      <c r="I61">
        <f t="shared" si="3"/>
        <v>30</v>
      </c>
      <c r="J61">
        <f t="shared" si="1"/>
        <v>13.607771100000001</v>
      </c>
      <c r="K61">
        <v>0.13400000000000001</v>
      </c>
      <c r="L61">
        <f t="shared" si="2"/>
        <v>1.8234413274000003</v>
      </c>
    </row>
    <row r="62" spans="1:12" x14ac:dyDescent="0.2">
      <c r="A62" s="4">
        <v>43503</v>
      </c>
      <c r="B62" t="s">
        <v>48</v>
      </c>
      <c r="C62" s="28">
        <v>7</v>
      </c>
      <c r="D62" s="35">
        <v>1</v>
      </c>
      <c r="E62">
        <f>9*3</f>
        <v>27</v>
      </c>
      <c r="F62" t="s">
        <v>311</v>
      </c>
      <c r="G62" t="s">
        <v>788</v>
      </c>
      <c r="H62" t="s">
        <v>1071</v>
      </c>
      <c r="I62">
        <f t="shared" si="3"/>
        <v>189</v>
      </c>
      <c r="J62">
        <f t="shared" si="1"/>
        <v>85.728957930000007</v>
      </c>
      <c r="K62">
        <v>0.49</v>
      </c>
      <c r="L62">
        <f t="shared" si="2"/>
        <v>42.007189385700002</v>
      </c>
    </row>
    <row r="63" spans="1:12" x14ac:dyDescent="0.2">
      <c r="A63" s="4">
        <v>43502</v>
      </c>
      <c r="B63" t="s">
        <v>48</v>
      </c>
      <c r="C63" s="28">
        <v>8</v>
      </c>
      <c r="D63" s="35">
        <v>1</v>
      </c>
      <c r="E63">
        <f>9*3</f>
        <v>27</v>
      </c>
      <c r="F63" t="s">
        <v>311</v>
      </c>
      <c r="G63" t="s">
        <v>788</v>
      </c>
      <c r="H63" t="s">
        <v>1071</v>
      </c>
      <c r="I63">
        <f t="shared" si="3"/>
        <v>216</v>
      </c>
      <c r="J63">
        <f t="shared" si="1"/>
        <v>97.975951920000014</v>
      </c>
      <c r="K63">
        <v>0.49</v>
      </c>
      <c r="L63">
        <f t="shared" si="2"/>
        <v>48.008216440800005</v>
      </c>
    </row>
    <row r="64" spans="1:12" x14ac:dyDescent="0.2">
      <c r="A64" s="4">
        <v>43501</v>
      </c>
      <c r="B64" t="s">
        <v>48</v>
      </c>
      <c r="C64" s="28">
        <v>3</v>
      </c>
      <c r="D64" s="35">
        <v>1</v>
      </c>
      <c r="E64">
        <f>9*3</f>
        <v>27</v>
      </c>
      <c r="F64" t="s">
        <v>311</v>
      </c>
      <c r="G64" t="s">
        <v>788</v>
      </c>
      <c r="H64" t="s">
        <v>1071</v>
      </c>
      <c r="I64">
        <f t="shared" si="3"/>
        <v>81</v>
      </c>
      <c r="J64">
        <f t="shared" si="1"/>
        <v>36.74098197</v>
      </c>
      <c r="K64">
        <v>0.49</v>
      </c>
      <c r="L64">
        <f t="shared" si="2"/>
        <v>18.003081165299999</v>
      </c>
    </row>
    <row r="65" spans="1:12" x14ac:dyDescent="0.2">
      <c r="A65" s="4">
        <v>43500</v>
      </c>
      <c r="B65" t="s">
        <v>48</v>
      </c>
      <c r="C65" s="28">
        <v>6</v>
      </c>
      <c r="D65" s="35">
        <v>1</v>
      </c>
      <c r="E65">
        <f>9*3</f>
        <v>27</v>
      </c>
      <c r="F65" t="s">
        <v>311</v>
      </c>
      <c r="G65" t="s">
        <v>788</v>
      </c>
      <c r="H65" t="s">
        <v>1071</v>
      </c>
      <c r="I65">
        <f t="shared" si="3"/>
        <v>162</v>
      </c>
      <c r="J65">
        <f t="shared" si="1"/>
        <v>73.48196394</v>
      </c>
      <c r="K65">
        <v>0.49</v>
      </c>
      <c r="L65">
        <f t="shared" si="2"/>
        <v>36.006162330599999</v>
      </c>
    </row>
    <row r="66" spans="1:12" x14ac:dyDescent="0.2">
      <c r="A66" s="4">
        <v>43497</v>
      </c>
      <c r="B66" t="s">
        <v>48</v>
      </c>
      <c r="C66" s="28">
        <v>6</v>
      </c>
      <c r="D66" s="35">
        <v>1</v>
      </c>
      <c r="E66">
        <f>9*3</f>
        <v>27</v>
      </c>
      <c r="F66" t="s">
        <v>311</v>
      </c>
      <c r="G66" t="s">
        <v>788</v>
      </c>
      <c r="H66" t="s">
        <v>1071</v>
      </c>
      <c r="I66">
        <f t="shared" si="3"/>
        <v>162</v>
      </c>
      <c r="J66">
        <f t="shared" si="1"/>
        <v>73.48196394</v>
      </c>
      <c r="K66">
        <v>0.49</v>
      </c>
      <c r="L66">
        <f t="shared" si="2"/>
        <v>36.006162330599999</v>
      </c>
    </row>
    <row r="67" spans="1:12" x14ac:dyDescent="0.2">
      <c r="A67" s="4">
        <v>43497</v>
      </c>
      <c r="B67" t="s">
        <v>538</v>
      </c>
      <c r="C67">
        <v>1</v>
      </c>
      <c r="D67">
        <v>6</v>
      </c>
      <c r="E67">
        <v>0.125</v>
      </c>
      <c r="F67" t="s">
        <v>657</v>
      </c>
      <c r="G67" s="6" t="s">
        <v>930</v>
      </c>
      <c r="H67" t="s">
        <v>1071</v>
      </c>
      <c r="I67">
        <f t="shared" ref="I67:I98" si="4">C67*D67*E67</f>
        <v>0.75</v>
      </c>
      <c r="J67">
        <f t="shared" ref="J67:J130" si="5">CONVERT(I67,"lbm","kg")</f>
        <v>0.34019427750000003</v>
      </c>
      <c r="K67">
        <v>0.48199999999999998</v>
      </c>
      <c r="L67">
        <f t="shared" ref="L67:L130" si="6">J67*K67</f>
        <v>0.16397364175500001</v>
      </c>
    </row>
    <row r="68" spans="1:12" x14ac:dyDescent="0.2">
      <c r="A68" s="4">
        <v>43503</v>
      </c>
      <c r="B68" t="s">
        <v>48</v>
      </c>
      <c r="C68" s="28">
        <v>2</v>
      </c>
      <c r="D68" s="35">
        <v>1</v>
      </c>
      <c r="E68">
        <v>50</v>
      </c>
      <c r="F68" t="s">
        <v>299</v>
      </c>
      <c r="G68" t="s">
        <v>299</v>
      </c>
      <c r="H68" t="s">
        <v>1071</v>
      </c>
      <c r="I68">
        <f t="shared" si="4"/>
        <v>100</v>
      </c>
      <c r="J68">
        <f t="shared" si="5"/>
        <v>45.359237</v>
      </c>
      <c r="K68">
        <v>9.1999999999999998E-2</v>
      </c>
      <c r="L68">
        <f t="shared" si="6"/>
        <v>4.1730498039999997</v>
      </c>
    </row>
    <row r="69" spans="1:12" x14ac:dyDescent="0.2">
      <c r="A69" s="4">
        <v>43503</v>
      </c>
      <c r="B69" t="s">
        <v>48</v>
      </c>
      <c r="C69" s="28">
        <v>1</v>
      </c>
      <c r="D69" s="35">
        <v>1</v>
      </c>
      <c r="E69">
        <v>10</v>
      </c>
      <c r="F69" t="s">
        <v>709</v>
      </c>
      <c r="G69" t="s">
        <v>299</v>
      </c>
      <c r="H69" t="s">
        <v>1071</v>
      </c>
      <c r="I69">
        <f t="shared" si="4"/>
        <v>10</v>
      </c>
      <c r="J69">
        <f t="shared" si="5"/>
        <v>4.5359237000000006</v>
      </c>
      <c r="K69">
        <v>9.1999999999999998E-2</v>
      </c>
      <c r="L69">
        <f t="shared" si="6"/>
        <v>0.41730498040000003</v>
      </c>
    </row>
    <row r="70" spans="1:12" x14ac:dyDescent="0.2">
      <c r="A70" s="4">
        <v>43503</v>
      </c>
      <c r="B70" t="s">
        <v>48</v>
      </c>
      <c r="C70" s="28">
        <v>1</v>
      </c>
      <c r="D70" s="35">
        <v>1</v>
      </c>
      <c r="E70">
        <v>20</v>
      </c>
      <c r="F70" t="s">
        <v>269</v>
      </c>
      <c r="G70" t="s">
        <v>299</v>
      </c>
      <c r="H70" t="s">
        <v>1071</v>
      </c>
      <c r="I70">
        <f t="shared" si="4"/>
        <v>20</v>
      </c>
      <c r="J70">
        <f t="shared" si="5"/>
        <v>9.0718474000000011</v>
      </c>
      <c r="K70">
        <v>9.1999999999999998E-2</v>
      </c>
      <c r="L70">
        <f t="shared" si="6"/>
        <v>0.83460996080000005</v>
      </c>
    </row>
    <row r="71" spans="1:12" x14ac:dyDescent="0.2">
      <c r="A71" s="4">
        <v>43502</v>
      </c>
      <c r="B71" t="s">
        <v>48</v>
      </c>
      <c r="C71" s="28">
        <v>1</v>
      </c>
      <c r="D71" s="35">
        <v>1</v>
      </c>
      <c r="E71">
        <v>20</v>
      </c>
      <c r="F71" t="s">
        <v>269</v>
      </c>
      <c r="G71" t="s">
        <v>299</v>
      </c>
      <c r="H71" t="s">
        <v>1071</v>
      </c>
      <c r="I71">
        <f t="shared" si="4"/>
        <v>20</v>
      </c>
      <c r="J71">
        <f t="shared" si="5"/>
        <v>9.0718474000000011</v>
      </c>
      <c r="K71">
        <v>9.1999999999999998E-2</v>
      </c>
      <c r="L71">
        <f t="shared" si="6"/>
        <v>0.83460996080000005</v>
      </c>
    </row>
    <row r="72" spans="1:12" x14ac:dyDescent="0.2">
      <c r="A72" s="4">
        <v>43501</v>
      </c>
      <c r="B72" t="s">
        <v>48</v>
      </c>
      <c r="C72" s="28">
        <v>1</v>
      </c>
      <c r="D72" s="35">
        <v>1</v>
      </c>
      <c r="E72">
        <v>50</v>
      </c>
      <c r="F72" t="s">
        <v>299</v>
      </c>
      <c r="G72" t="s">
        <v>299</v>
      </c>
      <c r="H72" t="s">
        <v>1071</v>
      </c>
      <c r="I72">
        <f t="shared" si="4"/>
        <v>50</v>
      </c>
      <c r="J72">
        <f t="shared" si="5"/>
        <v>22.6796185</v>
      </c>
      <c r="K72">
        <v>9.1999999999999998E-2</v>
      </c>
      <c r="L72">
        <f t="shared" si="6"/>
        <v>2.0865249019999998</v>
      </c>
    </row>
    <row r="73" spans="1:12" x14ac:dyDescent="0.2">
      <c r="A73" s="4">
        <v>43501</v>
      </c>
      <c r="B73" t="s">
        <v>48</v>
      </c>
      <c r="C73" s="28">
        <v>2</v>
      </c>
      <c r="D73" s="35">
        <v>1</v>
      </c>
      <c r="E73">
        <v>20</v>
      </c>
      <c r="F73" t="s">
        <v>269</v>
      </c>
      <c r="G73" t="s">
        <v>299</v>
      </c>
      <c r="H73" t="s">
        <v>1071</v>
      </c>
      <c r="I73">
        <f t="shared" si="4"/>
        <v>40</v>
      </c>
      <c r="J73">
        <f t="shared" si="5"/>
        <v>18.143694800000002</v>
      </c>
      <c r="K73">
        <v>9.1999999999999998E-2</v>
      </c>
      <c r="L73">
        <f t="shared" si="6"/>
        <v>1.6692199216000001</v>
      </c>
    </row>
    <row r="74" spans="1:12" x14ac:dyDescent="0.2">
      <c r="A74" s="4">
        <v>43500</v>
      </c>
      <c r="B74" t="s">
        <v>48</v>
      </c>
      <c r="C74" s="28">
        <v>1</v>
      </c>
      <c r="D74" s="35">
        <v>1</v>
      </c>
      <c r="E74">
        <v>50</v>
      </c>
      <c r="F74" t="s">
        <v>299</v>
      </c>
      <c r="G74" t="s">
        <v>299</v>
      </c>
      <c r="H74" t="s">
        <v>1071</v>
      </c>
      <c r="I74">
        <f t="shared" si="4"/>
        <v>50</v>
      </c>
      <c r="J74">
        <f t="shared" si="5"/>
        <v>22.6796185</v>
      </c>
      <c r="K74">
        <v>9.1999999999999998E-2</v>
      </c>
      <c r="L74">
        <f t="shared" si="6"/>
        <v>2.0865249019999998</v>
      </c>
    </row>
    <row r="75" spans="1:12" x14ac:dyDescent="0.2">
      <c r="A75" s="4">
        <v>43500</v>
      </c>
      <c r="B75" t="s">
        <v>48</v>
      </c>
      <c r="C75" s="28">
        <v>1</v>
      </c>
      <c r="D75" s="35">
        <v>1</v>
      </c>
      <c r="E75">
        <v>10</v>
      </c>
      <c r="F75" t="s">
        <v>709</v>
      </c>
      <c r="G75" t="s">
        <v>299</v>
      </c>
      <c r="H75" t="s">
        <v>1071</v>
      </c>
      <c r="I75">
        <f t="shared" si="4"/>
        <v>10</v>
      </c>
      <c r="J75">
        <f t="shared" si="5"/>
        <v>4.5359237000000006</v>
      </c>
      <c r="K75">
        <v>9.1999999999999998E-2</v>
      </c>
      <c r="L75">
        <f t="shared" si="6"/>
        <v>0.41730498040000003</v>
      </c>
    </row>
    <row r="76" spans="1:12" x14ac:dyDescent="0.2">
      <c r="A76" s="4">
        <v>43500</v>
      </c>
      <c r="B76" t="s">
        <v>48</v>
      </c>
      <c r="C76" s="28">
        <v>2</v>
      </c>
      <c r="D76" s="35">
        <v>1</v>
      </c>
      <c r="E76">
        <v>20</v>
      </c>
      <c r="F76" t="s">
        <v>269</v>
      </c>
      <c r="G76" t="s">
        <v>299</v>
      </c>
      <c r="H76" t="s">
        <v>1071</v>
      </c>
      <c r="I76">
        <f t="shared" si="4"/>
        <v>40</v>
      </c>
      <c r="J76">
        <f t="shared" si="5"/>
        <v>18.143694800000002</v>
      </c>
      <c r="K76">
        <v>9.1999999999999998E-2</v>
      </c>
      <c r="L76">
        <f t="shared" si="6"/>
        <v>1.6692199216000001</v>
      </c>
    </row>
    <row r="77" spans="1:12" x14ac:dyDescent="0.2">
      <c r="A77" s="4">
        <v>43498</v>
      </c>
      <c r="B77" t="s">
        <v>48</v>
      </c>
      <c r="C77" s="28">
        <v>1</v>
      </c>
      <c r="D77" s="35">
        <v>1</v>
      </c>
      <c r="E77">
        <v>20</v>
      </c>
      <c r="F77" t="s">
        <v>322</v>
      </c>
      <c r="G77" t="s">
        <v>299</v>
      </c>
      <c r="H77" t="s">
        <v>1071</v>
      </c>
      <c r="I77">
        <f t="shared" si="4"/>
        <v>20</v>
      </c>
      <c r="J77">
        <f t="shared" si="5"/>
        <v>9.0718474000000011</v>
      </c>
      <c r="K77">
        <v>9.1999999999999998E-2</v>
      </c>
      <c r="L77">
        <f t="shared" si="6"/>
        <v>0.83460996080000005</v>
      </c>
    </row>
    <row r="78" spans="1:12" x14ac:dyDescent="0.2">
      <c r="A78" s="4">
        <v>43498</v>
      </c>
      <c r="B78" t="s">
        <v>48</v>
      </c>
      <c r="C78" s="28">
        <v>1</v>
      </c>
      <c r="D78" s="35">
        <v>1</v>
      </c>
      <c r="E78">
        <v>20</v>
      </c>
      <c r="F78" t="s">
        <v>322</v>
      </c>
      <c r="G78" t="s">
        <v>299</v>
      </c>
      <c r="H78" t="s">
        <v>1071</v>
      </c>
      <c r="I78">
        <f t="shared" si="4"/>
        <v>20</v>
      </c>
      <c r="J78">
        <f t="shared" si="5"/>
        <v>9.0718474000000011</v>
      </c>
      <c r="K78">
        <v>9.1999999999999998E-2</v>
      </c>
      <c r="L78">
        <f t="shared" si="6"/>
        <v>0.83460996080000005</v>
      </c>
    </row>
    <row r="79" spans="1:12" x14ac:dyDescent="0.2">
      <c r="A79" s="4">
        <v>43501</v>
      </c>
      <c r="B79" t="s">
        <v>48</v>
      </c>
      <c r="C79" s="28">
        <v>5</v>
      </c>
      <c r="D79" s="35">
        <v>1</v>
      </c>
      <c r="E79">
        <f>12*1.3</f>
        <v>15.600000000000001</v>
      </c>
      <c r="F79" t="s">
        <v>619</v>
      </c>
      <c r="G79" t="s">
        <v>619</v>
      </c>
      <c r="H79" t="s">
        <v>1071</v>
      </c>
      <c r="I79">
        <f t="shared" si="4"/>
        <v>78</v>
      </c>
      <c r="J79">
        <f t="shared" si="5"/>
        <v>35.380204859999999</v>
      </c>
      <c r="K79">
        <v>0.93400000000000005</v>
      </c>
      <c r="L79">
        <f t="shared" si="6"/>
        <v>33.045111339240002</v>
      </c>
    </row>
    <row r="80" spans="1:12" x14ac:dyDescent="0.2">
      <c r="A80" s="4">
        <v>43500</v>
      </c>
      <c r="B80" t="s">
        <v>48</v>
      </c>
      <c r="C80" s="28">
        <v>4</v>
      </c>
      <c r="D80" s="35">
        <v>1</v>
      </c>
      <c r="E80">
        <v>12</v>
      </c>
      <c r="F80" t="s">
        <v>351</v>
      </c>
      <c r="G80" t="s">
        <v>619</v>
      </c>
      <c r="H80" t="s">
        <v>1071</v>
      </c>
      <c r="I80">
        <f t="shared" si="4"/>
        <v>48</v>
      </c>
      <c r="J80">
        <f t="shared" si="5"/>
        <v>21.772433760000002</v>
      </c>
      <c r="K80">
        <v>0.93400000000000005</v>
      </c>
      <c r="L80">
        <f t="shared" si="6"/>
        <v>20.335453131840001</v>
      </c>
    </row>
    <row r="81" spans="1:12" x14ac:dyDescent="0.2">
      <c r="A81" s="4">
        <v>43498</v>
      </c>
      <c r="B81" t="s">
        <v>48</v>
      </c>
      <c r="C81" s="28">
        <v>4</v>
      </c>
      <c r="D81" s="35">
        <v>1</v>
      </c>
      <c r="E81">
        <v>12</v>
      </c>
      <c r="F81" t="s">
        <v>323</v>
      </c>
      <c r="G81" t="s">
        <v>619</v>
      </c>
      <c r="H81" t="s">
        <v>1071</v>
      </c>
      <c r="I81">
        <f t="shared" si="4"/>
        <v>48</v>
      </c>
      <c r="J81">
        <f t="shared" si="5"/>
        <v>21.772433760000002</v>
      </c>
      <c r="K81">
        <v>0.93400000000000005</v>
      </c>
      <c r="L81">
        <f t="shared" si="6"/>
        <v>20.335453131840001</v>
      </c>
    </row>
    <row r="82" spans="1:12" x14ac:dyDescent="0.2">
      <c r="A82" s="4">
        <v>43497</v>
      </c>
      <c r="B82" t="s">
        <v>48</v>
      </c>
      <c r="C82" s="28">
        <v>4</v>
      </c>
      <c r="D82" s="35">
        <v>1</v>
      </c>
      <c r="E82">
        <v>12</v>
      </c>
      <c r="F82" t="s">
        <v>323</v>
      </c>
      <c r="G82" t="s">
        <v>619</v>
      </c>
      <c r="H82" t="s">
        <v>1071</v>
      </c>
      <c r="I82">
        <f t="shared" si="4"/>
        <v>48</v>
      </c>
      <c r="J82">
        <f t="shared" si="5"/>
        <v>21.772433760000002</v>
      </c>
      <c r="K82">
        <v>0.93400000000000005</v>
      </c>
      <c r="L82">
        <f t="shared" si="6"/>
        <v>20.335453131840001</v>
      </c>
    </row>
    <row r="83" spans="1:12" x14ac:dyDescent="0.2">
      <c r="A83" s="4">
        <v>43498</v>
      </c>
      <c r="B83" t="s">
        <v>48</v>
      </c>
      <c r="C83" s="28">
        <v>4</v>
      </c>
      <c r="D83" s="35">
        <v>1</v>
      </c>
      <c r="E83">
        <v>12</v>
      </c>
      <c r="F83" t="s">
        <v>323</v>
      </c>
      <c r="G83" t="s">
        <v>619</v>
      </c>
      <c r="H83" t="s">
        <v>1071</v>
      </c>
      <c r="I83">
        <f t="shared" si="4"/>
        <v>48</v>
      </c>
      <c r="J83">
        <f t="shared" si="5"/>
        <v>21.772433760000002</v>
      </c>
      <c r="K83">
        <v>0.93400000000000005</v>
      </c>
      <c r="L83">
        <f t="shared" si="6"/>
        <v>20.335453131840001</v>
      </c>
    </row>
    <row r="84" spans="1:12" x14ac:dyDescent="0.2">
      <c r="A84" s="4">
        <v>43503</v>
      </c>
      <c r="B84" t="s">
        <v>48</v>
      </c>
      <c r="C84" s="28">
        <v>1</v>
      </c>
      <c r="D84" s="35">
        <v>1</v>
      </c>
      <c r="E84">
        <v>20</v>
      </c>
      <c r="F84" t="s">
        <v>324</v>
      </c>
      <c r="G84" t="s">
        <v>352</v>
      </c>
      <c r="H84" t="s">
        <v>1071</v>
      </c>
      <c r="I84">
        <f t="shared" si="4"/>
        <v>20</v>
      </c>
      <c r="J84">
        <f t="shared" si="5"/>
        <v>9.0718474000000011</v>
      </c>
      <c r="K84">
        <v>0.33100000000000002</v>
      </c>
      <c r="L84">
        <f t="shared" si="6"/>
        <v>3.0027814894000007</v>
      </c>
    </row>
    <row r="85" spans="1:12" x14ac:dyDescent="0.2">
      <c r="A85" s="4">
        <v>43501</v>
      </c>
      <c r="B85" t="s">
        <v>48</v>
      </c>
      <c r="C85" s="28">
        <v>1</v>
      </c>
      <c r="D85" s="35">
        <v>1</v>
      </c>
      <c r="E85">
        <v>36</v>
      </c>
      <c r="F85" t="s">
        <v>643</v>
      </c>
      <c r="G85" t="s">
        <v>352</v>
      </c>
      <c r="H85" t="s">
        <v>1071</v>
      </c>
      <c r="I85">
        <f t="shared" si="4"/>
        <v>36</v>
      </c>
      <c r="J85">
        <f t="shared" si="5"/>
        <v>16.329325319999999</v>
      </c>
      <c r="K85">
        <v>0.33100000000000002</v>
      </c>
      <c r="L85">
        <f t="shared" si="6"/>
        <v>5.4050066809199997</v>
      </c>
    </row>
    <row r="86" spans="1:12" x14ac:dyDescent="0.2">
      <c r="A86" s="4">
        <v>43500</v>
      </c>
      <c r="B86" t="s">
        <v>48</v>
      </c>
      <c r="C86" s="28">
        <v>1</v>
      </c>
      <c r="D86" s="35">
        <v>1</v>
      </c>
      <c r="E86">
        <v>20</v>
      </c>
      <c r="F86" t="s">
        <v>324</v>
      </c>
      <c r="G86" t="s">
        <v>352</v>
      </c>
      <c r="H86" t="s">
        <v>1071</v>
      </c>
      <c r="I86">
        <f t="shared" si="4"/>
        <v>20</v>
      </c>
      <c r="J86">
        <f t="shared" si="5"/>
        <v>9.0718474000000011</v>
      </c>
      <c r="K86">
        <v>0.33100000000000002</v>
      </c>
      <c r="L86">
        <f t="shared" si="6"/>
        <v>3.0027814894000007</v>
      </c>
    </row>
    <row r="87" spans="1:12" x14ac:dyDescent="0.2">
      <c r="A87" s="4">
        <v>43498</v>
      </c>
      <c r="B87" t="s">
        <v>48</v>
      </c>
      <c r="C87" s="28">
        <v>1</v>
      </c>
      <c r="D87" s="35">
        <v>1</v>
      </c>
      <c r="E87">
        <v>20</v>
      </c>
      <c r="F87" t="s">
        <v>324</v>
      </c>
      <c r="G87" t="s">
        <v>352</v>
      </c>
      <c r="H87" t="s">
        <v>1071</v>
      </c>
      <c r="I87">
        <f t="shared" si="4"/>
        <v>20</v>
      </c>
      <c r="J87">
        <f t="shared" si="5"/>
        <v>9.0718474000000011</v>
      </c>
      <c r="K87">
        <v>0.33100000000000002</v>
      </c>
      <c r="L87">
        <f t="shared" si="6"/>
        <v>3.0027814894000007</v>
      </c>
    </row>
    <row r="88" spans="1:12" x14ac:dyDescent="0.2">
      <c r="A88" s="4">
        <v>43498</v>
      </c>
      <c r="B88" t="s">
        <v>48</v>
      </c>
      <c r="C88" s="28">
        <v>1</v>
      </c>
      <c r="D88" s="35">
        <v>1</v>
      </c>
      <c r="E88">
        <v>20</v>
      </c>
      <c r="F88" t="s">
        <v>729</v>
      </c>
      <c r="G88" t="s">
        <v>163</v>
      </c>
      <c r="H88" t="s">
        <v>1071</v>
      </c>
      <c r="I88">
        <f t="shared" si="4"/>
        <v>20</v>
      </c>
      <c r="J88">
        <f t="shared" si="5"/>
        <v>9.0718474000000011</v>
      </c>
      <c r="K88">
        <v>0.33100000000000002</v>
      </c>
      <c r="L88">
        <f t="shared" si="6"/>
        <v>3.0027814894000007</v>
      </c>
    </row>
    <row r="89" spans="1:12" x14ac:dyDescent="0.2">
      <c r="A89" s="4">
        <v>43497</v>
      </c>
      <c r="B89" t="s">
        <v>538</v>
      </c>
      <c r="C89">
        <v>1</v>
      </c>
      <c r="D89">
        <v>4</v>
      </c>
      <c r="E89">
        <v>2.5</v>
      </c>
      <c r="F89" t="s">
        <v>436</v>
      </c>
      <c r="G89" s="6" t="s">
        <v>861</v>
      </c>
      <c r="H89" t="s">
        <v>1071</v>
      </c>
      <c r="I89">
        <f t="shared" si="4"/>
        <v>10</v>
      </c>
      <c r="J89">
        <f t="shared" si="5"/>
        <v>4.5359237000000006</v>
      </c>
      <c r="K89">
        <v>1.61</v>
      </c>
      <c r="L89">
        <f t="shared" si="6"/>
        <v>7.3028371570000017</v>
      </c>
    </row>
    <row r="90" spans="1:12" x14ac:dyDescent="0.2">
      <c r="A90" s="4">
        <v>43497</v>
      </c>
      <c r="B90" t="s">
        <v>538</v>
      </c>
      <c r="C90">
        <v>1</v>
      </c>
      <c r="D90">
        <v>4</v>
      </c>
      <c r="E90">
        <v>40.3125</v>
      </c>
      <c r="F90" t="s">
        <v>548</v>
      </c>
      <c r="G90" s="6" t="s">
        <v>861</v>
      </c>
      <c r="H90" t="s">
        <v>1071</v>
      </c>
      <c r="I90">
        <f t="shared" si="4"/>
        <v>161.25</v>
      </c>
      <c r="J90">
        <f t="shared" si="5"/>
        <v>73.14176966250001</v>
      </c>
      <c r="K90">
        <v>1.61</v>
      </c>
      <c r="L90">
        <f t="shared" si="6"/>
        <v>117.75824915662503</v>
      </c>
    </row>
    <row r="91" spans="1:12" x14ac:dyDescent="0.2">
      <c r="A91" s="4">
        <v>43497</v>
      </c>
      <c r="B91" t="s">
        <v>538</v>
      </c>
      <c r="C91">
        <v>1</v>
      </c>
      <c r="D91">
        <v>4</v>
      </c>
      <c r="E91">
        <v>3.125</v>
      </c>
      <c r="F91" t="s">
        <v>453</v>
      </c>
      <c r="G91" s="6" t="s">
        <v>861</v>
      </c>
      <c r="H91" t="s">
        <v>1071</v>
      </c>
      <c r="I91">
        <f t="shared" si="4"/>
        <v>12.5</v>
      </c>
      <c r="J91">
        <f t="shared" si="5"/>
        <v>5.669904625</v>
      </c>
      <c r="K91">
        <v>1.61</v>
      </c>
      <c r="L91">
        <f t="shared" si="6"/>
        <v>9.1285464462500006</v>
      </c>
    </row>
    <row r="92" spans="1:12" x14ac:dyDescent="0.2">
      <c r="A92" s="4">
        <v>43500</v>
      </c>
      <c r="B92" t="s">
        <v>538</v>
      </c>
      <c r="C92">
        <v>2</v>
      </c>
      <c r="D92">
        <v>96</v>
      </c>
      <c r="E92">
        <v>6.25E-2</v>
      </c>
      <c r="F92" t="s">
        <v>746</v>
      </c>
      <c r="G92" s="6" t="s">
        <v>861</v>
      </c>
      <c r="H92" t="s">
        <v>1071</v>
      </c>
      <c r="I92">
        <f t="shared" si="4"/>
        <v>12</v>
      </c>
      <c r="J92">
        <f t="shared" si="5"/>
        <v>5.4431084400000005</v>
      </c>
      <c r="K92">
        <v>1.61</v>
      </c>
      <c r="L92">
        <f t="shared" si="6"/>
        <v>8.763404588400002</v>
      </c>
    </row>
    <row r="93" spans="1:12" x14ac:dyDescent="0.2">
      <c r="A93" s="4">
        <v>43500</v>
      </c>
      <c r="B93" t="s">
        <v>538</v>
      </c>
      <c r="C93">
        <v>1</v>
      </c>
      <c r="D93">
        <v>8</v>
      </c>
      <c r="E93">
        <v>5</v>
      </c>
      <c r="F93" t="s">
        <v>542</v>
      </c>
      <c r="G93" s="6" t="s">
        <v>861</v>
      </c>
      <c r="H93" t="s">
        <v>1071</v>
      </c>
      <c r="I93">
        <f t="shared" si="4"/>
        <v>40</v>
      </c>
      <c r="J93">
        <f t="shared" si="5"/>
        <v>18.143694800000002</v>
      </c>
      <c r="K93">
        <v>1.61</v>
      </c>
      <c r="L93">
        <f t="shared" si="6"/>
        <v>29.211348628000007</v>
      </c>
    </row>
    <row r="94" spans="1:12" x14ac:dyDescent="0.2">
      <c r="A94" s="4">
        <v>43500</v>
      </c>
      <c r="B94" t="s">
        <v>538</v>
      </c>
      <c r="C94">
        <v>1</v>
      </c>
      <c r="D94">
        <v>4</v>
      </c>
      <c r="E94">
        <v>30.0625</v>
      </c>
      <c r="F94" t="s">
        <v>545</v>
      </c>
      <c r="G94" s="6" t="s">
        <v>861</v>
      </c>
      <c r="H94" t="s">
        <v>1071</v>
      </c>
      <c r="I94">
        <f t="shared" si="4"/>
        <v>120.25</v>
      </c>
      <c r="J94">
        <f t="shared" si="5"/>
        <v>54.544482492500002</v>
      </c>
      <c r="K94">
        <v>1.61</v>
      </c>
      <c r="L94">
        <f t="shared" si="6"/>
        <v>87.816616812925005</v>
      </c>
    </row>
    <row r="95" spans="1:12" x14ac:dyDescent="0.2">
      <c r="A95" s="4">
        <v>43500</v>
      </c>
      <c r="B95" t="s">
        <v>538</v>
      </c>
      <c r="C95">
        <v>2</v>
      </c>
      <c r="D95">
        <v>4</v>
      </c>
      <c r="E95">
        <v>2.5</v>
      </c>
      <c r="F95" t="s">
        <v>436</v>
      </c>
      <c r="G95" s="6" t="s">
        <v>861</v>
      </c>
      <c r="H95" t="s">
        <v>1071</v>
      </c>
      <c r="I95">
        <f t="shared" si="4"/>
        <v>20</v>
      </c>
      <c r="J95">
        <f t="shared" si="5"/>
        <v>9.0718474000000011</v>
      </c>
      <c r="K95">
        <v>1.61</v>
      </c>
      <c r="L95">
        <f t="shared" si="6"/>
        <v>14.605674314000003</v>
      </c>
    </row>
    <row r="96" spans="1:12" x14ac:dyDescent="0.2">
      <c r="A96" s="4">
        <v>43500</v>
      </c>
      <c r="B96" t="s">
        <v>538</v>
      </c>
      <c r="C96">
        <v>1</v>
      </c>
      <c r="D96">
        <v>4</v>
      </c>
      <c r="E96">
        <v>1.625</v>
      </c>
      <c r="F96" t="s">
        <v>747</v>
      </c>
      <c r="G96" s="6" t="s">
        <v>861</v>
      </c>
      <c r="H96" t="s">
        <v>1071</v>
      </c>
      <c r="I96">
        <f t="shared" si="4"/>
        <v>6.5</v>
      </c>
      <c r="J96">
        <f t="shared" si="5"/>
        <v>2.9483504050000002</v>
      </c>
      <c r="K96">
        <v>1.61</v>
      </c>
      <c r="L96">
        <f t="shared" si="6"/>
        <v>4.7468441520500004</v>
      </c>
    </row>
    <row r="97" spans="1:12" x14ac:dyDescent="0.2">
      <c r="A97" s="4">
        <v>43500</v>
      </c>
      <c r="B97" t="s">
        <v>538</v>
      </c>
      <c r="C97">
        <v>1</v>
      </c>
      <c r="D97">
        <v>4</v>
      </c>
      <c r="E97">
        <v>30.3125</v>
      </c>
      <c r="F97" t="s">
        <v>470</v>
      </c>
      <c r="G97" s="6" t="s">
        <v>861</v>
      </c>
      <c r="H97" t="s">
        <v>1071</v>
      </c>
      <c r="I97">
        <f t="shared" si="4"/>
        <v>121.25</v>
      </c>
      <c r="J97">
        <f t="shared" si="5"/>
        <v>54.998074862500005</v>
      </c>
      <c r="K97">
        <v>1.61</v>
      </c>
      <c r="L97">
        <f t="shared" si="6"/>
        <v>88.546900528625017</v>
      </c>
    </row>
    <row r="98" spans="1:12" x14ac:dyDescent="0.2">
      <c r="A98" s="4">
        <v>43500</v>
      </c>
      <c r="B98" t="s">
        <v>538</v>
      </c>
      <c r="C98">
        <v>2</v>
      </c>
      <c r="D98">
        <v>4</v>
      </c>
      <c r="E98">
        <v>30.3125</v>
      </c>
      <c r="F98" t="s">
        <v>580</v>
      </c>
      <c r="G98" s="6" t="s">
        <v>861</v>
      </c>
      <c r="H98" t="s">
        <v>1071</v>
      </c>
      <c r="I98">
        <f t="shared" si="4"/>
        <v>242.5</v>
      </c>
      <c r="J98">
        <f t="shared" si="5"/>
        <v>109.99614972500001</v>
      </c>
      <c r="K98">
        <v>1.61</v>
      </c>
      <c r="L98">
        <f t="shared" si="6"/>
        <v>177.09380105725003</v>
      </c>
    </row>
    <row r="99" spans="1:12" x14ac:dyDescent="0.2">
      <c r="A99" s="4">
        <v>43500</v>
      </c>
      <c r="B99" t="s">
        <v>538</v>
      </c>
      <c r="C99">
        <v>1</v>
      </c>
      <c r="D99">
        <v>4</v>
      </c>
      <c r="E99">
        <v>40.3125</v>
      </c>
      <c r="F99" t="s">
        <v>548</v>
      </c>
      <c r="G99" s="6" t="s">
        <v>861</v>
      </c>
      <c r="H99" t="s">
        <v>1071</v>
      </c>
      <c r="I99">
        <f t="shared" ref="I99:I130" si="7">C99*D99*E99</f>
        <v>161.25</v>
      </c>
      <c r="J99">
        <f t="shared" si="5"/>
        <v>73.14176966250001</v>
      </c>
      <c r="K99">
        <v>1.61</v>
      </c>
      <c r="L99">
        <f t="shared" si="6"/>
        <v>117.75824915662503</v>
      </c>
    </row>
    <row r="100" spans="1:12" x14ac:dyDescent="0.2">
      <c r="A100" s="4">
        <v>43503</v>
      </c>
      <c r="B100" t="s">
        <v>538</v>
      </c>
      <c r="C100">
        <v>2</v>
      </c>
      <c r="D100">
        <v>4</v>
      </c>
      <c r="E100">
        <v>1.8125</v>
      </c>
      <c r="F100" t="s">
        <v>575</v>
      </c>
      <c r="G100" s="6" t="s">
        <v>861</v>
      </c>
      <c r="H100" t="s">
        <v>1071</v>
      </c>
      <c r="I100">
        <f t="shared" si="7"/>
        <v>14.5</v>
      </c>
      <c r="J100">
        <f t="shared" si="5"/>
        <v>6.577089365</v>
      </c>
      <c r="K100">
        <v>1.61</v>
      </c>
      <c r="L100">
        <f t="shared" si="6"/>
        <v>10.58911387765</v>
      </c>
    </row>
    <row r="101" spans="1:12" x14ac:dyDescent="0.2">
      <c r="A101" s="4">
        <v>43503</v>
      </c>
      <c r="B101" t="s">
        <v>538</v>
      </c>
      <c r="C101">
        <v>1</v>
      </c>
      <c r="D101">
        <v>4</v>
      </c>
      <c r="E101">
        <v>1.625</v>
      </c>
      <c r="F101" t="s">
        <v>747</v>
      </c>
      <c r="G101" s="6" t="s">
        <v>861</v>
      </c>
      <c r="H101" t="s">
        <v>1071</v>
      </c>
      <c r="I101">
        <f t="shared" si="7"/>
        <v>6.5</v>
      </c>
      <c r="J101">
        <f t="shared" si="5"/>
        <v>2.9483504050000002</v>
      </c>
      <c r="K101">
        <v>1.61</v>
      </c>
      <c r="L101">
        <f t="shared" si="6"/>
        <v>4.7468441520500004</v>
      </c>
    </row>
    <row r="102" spans="1:12" x14ac:dyDescent="0.2">
      <c r="A102" s="4">
        <v>43503</v>
      </c>
      <c r="B102" t="s">
        <v>538</v>
      </c>
      <c r="C102">
        <v>2</v>
      </c>
      <c r="D102">
        <v>4</v>
      </c>
      <c r="E102">
        <v>30.3125</v>
      </c>
      <c r="F102" t="s">
        <v>470</v>
      </c>
      <c r="G102" s="6" t="s">
        <v>861</v>
      </c>
      <c r="H102" t="s">
        <v>1071</v>
      </c>
      <c r="I102">
        <f t="shared" si="7"/>
        <v>242.5</v>
      </c>
      <c r="J102">
        <f t="shared" si="5"/>
        <v>109.99614972500001</v>
      </c>
      <c r="K102">
        <v>1.61</v>
      </c>
      <c r="L102">
        <f t="shared" si="6"/>
        <v>177.09380105725003</v>
      </c>
    </row>
    <row r="103" spans="1:12" x14ac:dyDescent="0.2">
      <c r="A103" s="4">
        <v>43503</v>
      </c>
      <c r="B103" t="s">
        <v>538</v>
      </c>
      <c r="C103">
        <v>2</v>
      </c>
      <c r="D103">
        <v>4</v>
      </c>
      <c r="E103">
        <v>30.3125</v>
      </c>
      <c r="F103" t="s">
        <v>580</v>
      </c>
      <c r="G103" s="6" t="s">
        <v>861</v>
      </c>
      <c r="H103" t="s">
        <v>1071</v>
      </c>
      <c r="I103">
        <f t="shared" si="7"/>
        <v>242.5</v>
      </c>
      <c r="J103">
        <f t="shared" si="5"/>
        <v>109.99614972500001</v>
      </c>
      <c r="K103">
        <v>1.61</v>
      </c>
      <c r="L103">
        <f t="shared" si="6"/>
        <v>177.09380105725003</v>
      </c>
    </row>
    <row r="104" spans="1:12" x14ac:dyDescent="0.2">
      <c r="A104" s="4">
        <v>43503</v>
      </c>
      <c r="B104" t="s">
        <v>538</v>
      </c>
      <c r="C104">
        <v>2</v>
      </c>
      <c r="D104">
        <v>4</v>
      </c>
      <c r="E104">
        <v>40.3125</v>
      </c>
      <c r="F104" t="s">
        <v>548</v>
      </c>
      <c r="G104" s="6" t="s">
        <v>861</v>
      </c>
      <c r="H104" t="s">
        <v>1071</v>
      </c>
      <c r="I104">
        <f t="shared" si="7"/>
        <v>322.5</v>
      </c>
      <c r="J104">
        <f t="shared" si="5"/>
        <v>146.28353932500002</v>
      </c>
      <c r="K104">
        <v>1.61</v>
      </c>
      <c r="L104">
        <f t="shared" si="6"/>
        <v>235.51649831325005</v>
      </c>
    </row>
    <row r="105" spans="1:12" x14ac:dyDescent="0.2">
      <c r="A105" s="4">
        <v>43497</v>
      </c>
      <c r="B105" t="s">
        <v>517</v>
      </c>
      <c r="C105">
        <v>1</v>
      </c>
      <c r="D105">
        <v>6</v>
      </c>
      <c r="E105">
        <v>1</v>
      </c>
      <c r="F105" t="s">
        <v>519</v>
      </c>
      <c r="G105" t="s">
        <v>847</v>
      </c>
      <c r="H105" t="s">
        <v>1073</v>
      </c>
      <c r="I105">
        <f t="shared" si="7"/>
        <v>6</v>
      </c>
      <c r="J105">
        <f t="shared" si="5"/>
        <v>2.7215542200000002</v>
      </c>
      <c r="K105">
        <v>9.9740000000000002</v>
      </c>
      <c r="L105">
        <f t="shared" si="6"/>
        <v>27.144781790280003</v>
      </c>
    </row>
    <row r="106" spans="1:12" x14ac:dyDescent="0.2">
      <c r="A106" s="4">
        <v>43497</v>
      </c>
      <c r="B106" t="s">
        <v>517</v>
      </c>
      <c r="C106">
        <v>2</v>
      </c>
      <c r="D106">
        <v>6</v>
      </c>
      <c r="E106">
        <v>3</v>
      </c>
      <c r="F106" t="s">
        <v>387</v>
      </c>
      <c r="G106" t="s">
        <v>847</v>
      </c>
      <c r="H106" t="s">
        <v>1073</v>
      </c>
      <c r="I106">
        <f t="shared" si="7"/>
        <v>36</v>
      </c>
      <c r="J106">
        <f t="shared" si="5"/>
        <v>16.329325319999999</v>
      </c>
      <c r="K106">
        <v>9.9740000000000002</v>
      </c>
      <c r="L106">
        <f t="shared" si="6"/>
        <v>162.86869074167998</v>
      </c>
    </row>
    <row r="107" spans="1:12" x14ac:dyDescent="0.2">
      <c r="A107" s="4">
        <v>43497</v>
      </c>
      <c r="B107" t="s">
        <v>517</v>
      </c>
      <c r="C107">
        <v>2</v>
      </c>
      <c r="D107">
        <v>6</v>
      </c>
      <c r="E107">
        <v>3</v>
      </c>
      <c r="F107" t="s">
        <v>387</v>
      </c>
      <c r="G107" t="s">
        <v>847</v>
      </c>
      <c r="H107" t="s">
        <v>1073</v>
      </c>
      <c r="I107">
        <f t="shared" si="7"/>
        <v>36</v>
      </c>
      <c r="J107">
        <f t="shared" si="5"/>
        <v>16.329325319999999</v>
      </c>
      <c r="K107">
        <v>9.9740000000000002</v>
      </c>
      <c r="L107">
        <f t="shared" si="6"/>
        <v>162.86869074167998</v>
      </c>
    </row>
    <row r="108" spans="1:12" x14ac:dyDescent="0.2">
      <c r="A108" s="4">
        <v>43497</v>
      </c>
      <c r="B108" t="s">
        <v>517</v>
      </c>
      <c r="C108">
        <v>2</v>
      </c>
      <c r="D108">
        <v>6</v>
      </c>
      <c r="E108">
        <v>0.6875</v>
      </c>
      <c r="F108" t="s">
        <v>388</v>
      </c>
      <c r="G108" t="s">
        <v>847</v>
      </c>
      <c r="H108" t="s">
        <v>1073</v>
      </c>
      <c r="I108">
        <f t="shared" si="7"/>
        <v>8.25</v>
      </c>
      <c r="J108">
        <f t="shared" si="5"/>
        <v>3.7421370525000004</v>
      </c>
      <c r="K108">
        <v>9.9740000000000002</v>
      </c>
      <c r="L108">
        <f t="shared" si="6"/>
        <v>37.324074961635006</v>
      </c>
    </row>
    <row r="109" spans="1:12" x14ac:dyDescent="0.2">
      <c r="A109" s="4">
        <v>43497</v>
      </c>
      <c r="B109" t="s">
        <v>517</v>
      </c>
      <c r="C109">
        <v>3</v>
      </c>
      <c r="D109">
        <v>2</v>
      </c>
      <c r="E109">
        <v>5</v>
      </c>
      <c r="F109" t="s">
        <v>389</v>
      </c>
      <c r="G109" t="s">
        <v>847</v>
      </c>
      <c r="H109" t="s">
        <v>1073</v>
      </c>
      <c r="I109">
        <f t="shared" si="7"/>
        <v>30</v>
      </c>
      <c r="J109">
        <f t="shared" si="5"/>
        <v>13.607771100000001</v>
      </c>
      <c r="K109">
        <v>9.9740000000000002</v>
      </c>
      <c r="L109">
        <f t="shared" si="6"/>
        <v>135.72390895140001</v>
      </c>
    </row>
    <row r="110" spans="1:12" x14ac:dyDescent="0.2">
      <c r="A110" s="4">
        <v>43497</v>
      </c>
      <c r="B110" t="s">
        <v>517</v>
      </c>
      <c r="C110">
        <v>1</v>
      </c>
      <c r="D110">
        <v>4</v>
      </c>
      <c r="E110">
        <v>5</v>
      </c>
      <c r="F110" t="s">
        <v>390</v>
      </c>
      <c r="G110" t="s">
        <v>847</v>
      </c>
      <c r="H110" t="s">
        <v>1073</v>
      </c>
      <c r="I110">
        <f t="shared" si="7"/>
        <v>20</v>
      </c>
      <c r="J110">
        <f t="shared" si="5"/>
        <v>9.0718474000000011</v>
      </c>
      <c r="K110">
        <v>9.9740000000000002</v>
      </c>
      <c r="L110">
        <f t="shared" si="6"/>
        <v>90.482605967600009</v>
      </c>
    </row>
    <row r="111" spans="1:12" x14ac:dyDescent="0.2">
      <c r="A111" s="4">
        <v>43497</v>
      </c>
      <c r="B111" t="s">
        <v>517</v>
      </c>
      <c r="C111">
        <v>5</v>
      </c>
      <c r="D111">
        <v>4</v>
      </c>
      <c r="E111">
        <v>5</v>
      </c>
      <c r="F111" t="s">
        <v>391</v>
      </c>
      <c r="G111" t="s">
        <v>847</v>
      </c>
      <c r="H111" t="s">
        <v>1073</v>
      </c>
      <c r="I111">
        <f t="shared" si="7"/>
        <v>100</v>
      </c>
      <c r="J111">
        <f t="shared" si="5"/>
        <v>45.359237</v>
      </c>
      <c r="K111">
        <v>9.9740000000000002</v>
      </c>
      <c r="L111">
        <f t="shared" si="6"/>
        <v>452.413029838</v>
      </c>
    </row>
    <row r="112" spans="1:12" x14ac:dyDescent="0.2">
      <c r="A112" s="4">
        <v>43497</v>
      </c>
      <c r="B112" t="s">
        <v>517</v>
      </c>
      <c r="C112">
        <v>8</v>
      </c>
      <c r="D112">
        <v>4</v>
      </c>
      <c r="E112">
        <v>5</v>
      </c>
      <c r="F112" t="s">
        <v>392</v>
      </c>
      <c r="G112" t="s">
        <v>847</v>
      </c>
      <c r="H112" t="s">
        <v>1073</v>
      </c>
      <c r="I112">
        <f t="shared" si="7"/>
        <v>160</v>
      </c>
      <c r="J112">
        <f t="shared" si="5"/>
        <v>72.574779200000009</v>
      </c>
      <c r="K112">
        <v>9.9740000000000002</v>
      </c>
      <c r="L112">
        <f t="shared" si="6"/>
        <v>723.86084774080007</v>
      </c>
    </row>
    <row r="113" spans="1:12" x14ac:dyDescent="0.2">
      <c r="A113" s="4">
        <v>43497</v>
      </c>
      <c r="B113" t="s">
        <v>517</v>
      </c>
      <c r="C113">
        <v>1</v>
      </c>
      <c r="D113">
        <v>2</v>
      </c>
      <c r="E113">
        <v>5</v>
      </c>
      <c r="F113" t="s">
        <v>732</v>
      </c>
      <c r="G113" t="s">
        <v>847</v>
      </c>
      <c r="H113" t="s">
        <v>1073</v>
      </c>
      <c r="I113">
        <f t="shared" si="7"/>
        <v>10</v>
      </c>
      <c r="J113">
        <f t="shared" si="5"/>
        <v>4.5359237000000006</v>
      </c>
      <c r="K113">
        <v>9.9740000000000002</v>
      </c>
      <c r="L113">
        <f t="shared" si="6"/>
        <v>45.241302983800004</v>
      </c>
    </row>
    <row r="114" spans="1:12" x14ac:dyDescent="0.2">
      <c r="A114" s="4">
        <v>43497</v>
      </c>
      <c r="B114" t="s">
        <v>517</v>
      </c>
      <c r="C114">
        <v>2</v>
      </c>
      <c r="D114">
        <v>4</v>
      </c>
      <c r="E114">
        <v>2.5</v>
      </c>
      <c r="F114" t="s">
        <v>1009</v>
      </c>
      <c r="G114" t="s">
        <v>847</v>
      </c>
      <c r="H114" t="s">
        <v>1073</v>
      </c>
      <c r="I114">
        <f t="shared" si="7"/>
        <v>20</v>
      </c>
      <c r="J114">
        <f t="shared" si="5"/>
        <v>9.0718474000000011</v>
      </c>
      <c r="K114">
        <v>9.9740000000000002</v>
      </c>
      <c r="L114">
        <f t="shared" si="6"/>
        <v>90.482605967600009</v>
      </c>
    </row>
    <row r="115" spans="1:12" x14ac:dyDescent="0.2">
      <c r="A115" s="4">
        <v>43497</v>
      </c>
      <c r="B115" t="s">
        <v>517</v>
      </c>
      <c r="C115">
        <v>1</v>
      </c>
      <c r="D115">
        <v>8</v>
      </c>
      <c r="E115">
        <v>1.25</v>
      </c>
      <c r="F115" t="s">
        <v>1010</v>
      </c>
      <c r="G115" t="s">
        <v>847</v>
      </c>
      <c r="H115" t="s">
        <v>1073</v>
      </c>
      <c r="I115">
        <f t="shared" si="7"/>
        <v>10</v>
      </c>
      <c r="J115">
        <f t="shared" si="5"/>
        <v>4.5359237000000006</v>
      </c>
      <c r="K115">
        <v>9.9740000000000002</v>
      </c>
      <c r="L115">
        <f t="shared" si="6"/>
        <v>45.241302983800004</v>
      </c>
    </row>
    <row r="116" spans="1:12" x14ac:dyDescent="0.2">
      <c r="A116" s="4">
        <v>43497</v>
      </c>
      <c r="B116" t="s">
        <v>517</v>
      </c>
      <c r="C116">
        <v>1</v>
      </c>
      <c r="D116">
        <v>4</v>
      </c>
      <c r="E116">
        <v>2.5</v>
      </c>
      <c r="F116" t="s">
        <v>1011</v>
      </c>
      <c r="G116" t="s">
        <v>847</v>
      </c>
      <c r="H116" t="s">
        <v>1073</v>
      </c>
      <c r="I116">
        <f t="shared" si="7"/>
        <v>10</v>
      </c>
      <c r="J116">
        <f t="shared" si="5"/>
        <v>4.5359237000000006</v>
      </c>
      <c r="K116">
        <v>9.9740000000000002</v>
      </c>
      <c r="L116">
        <f t="shared" si="6"/>
        <v>45.241302983800004</v>
      </c>
    </row>
    <row r="117" spans="1:12" x14ac:dyDescent="0.2">
      <c r="A117" s="4">
        <v>43497</v>
      </c>
      <c r="B117" t="s">
        <v>517</v>
      </c>
      <c r="C117">
        <v>2</v>
      </c>
      <c r="D117">
        <v>2</v>
      </c>
      <c r="E117">
        <v>5</v>
      </c>
      <c r="F117" t="s">
        <v>393</v>
      </c>
      <c r="G117" t="s">
        <v>847</v>
      </c>
      <c r="H117" t="s">
        <v>1073</v>
      </c>
      <c r="I117">
        <f t="shared" si="7"/>
        <v>20</v>
      </c>
      <c r="J117">
        <f t="shared" si="5"/>
        <v>9.0718474000000011</v>
      </c>
      <c r="K117">
        <v>9.9740000000000002</v>
      </c>
      <c r="L117">
        <f t="shared" si="6"/>
        <v>90.482605967600009</v>
      </c>
    </row>
    <row r="118" spans="1:12" x14ac:dyDescent="0.2">
      <c r="A118" s="4">
        <v>43500</v>
      </c>
      <c r="B118" t="s">
        <v>517</v>
      </c>
      <c r="C118">
        <v>2</v>
      </c>
      <c r="D118">
        <v>6</v>
      </c>
      <c r="E118">
        <v>3</v>
      </c>
      <c r="F118" t="s">
        <v>387</v>
      </c>
      <c r="G118" t="s">
        <v>847</v>
      </c>
      <c r="H118" t="s">
        <v>1073</v>
      </c>
      <c r="I118">
        <f t="shared" si="7"/>
        <v>36</v>
      </c>
      <c r="J118">
        <f t="shared" si="5"/>
        <v>16.329325319999999</v>
      </c>
      <c r="K118">
        <v>9.9740000000000002</v>
      </c>
      <c r="L118">
        <f t="shared" si="6"/>
        <v>162.86869074167998</v>
      </c>
    </row>
    <row r="119" spans="1:12" x14ac:dyDescent="0.2">
      <c r="A119" s="4">
        <v>43500</v>
      </c>
      <c r="B119" t="s">
        <v>517</v>
      </c>
      <c r="C119">
        <v>1</v>
      </c>
      <c r="D119">
        <v>6</v>
      </c>
      <c r="E119">
        <v>0.6875</v>
      </c>
      <c r="F119" t="s">
        <v>388</v>
      </c>
      <c r="G119" t="s">
        <v>847</v>
      </c>
      <c r="H119" t="s">
        <v>1073</v>
      </c>
      <c r="I119">
        <f t="shared" si="7"/>
        <v>4.125</v>
      </c>
      <c r="J119">
        <f t="shared" si="5"/>
        <v>1.8710685262500002</v>
      </c>
      <c r="K119">
        <v>9.9740000000000002</v>
      </c>
      <c r="L119">
        <f t="shared" si="6"/>
        <v>18.662037480817503</v>
      </c>
    </row>
    <row r="120" spans="1:12" x14ac:dyDescent="0.2">
      <c r="A120" s="4">
        <v>43500</v>
      </c>
      <c r="B120" t="s">
        <v>517</v>
      </c>
      <c r="C120">
        <v>2</v>
      </c>
      <c r="D120">
        <v>2</v>
      </c>
      <c r="E120">
        <v>5</v>
      </c>
      <c r="F120" t="s">
        <v>389</v>
      </c>
      <c r="G120" t="s">
        <v>847</v>
      </c>
      <c r="H120" t="s">
        <v>1073</v>
      </c>
      <c r="I120">
        <f t="shared" si="7"/>
        <v>20</v>
      </c>
      <c r="J120">
        <f t="shared" si="5"/>
        <v>9.0718474000000011</v>
      </c>
      <c r="K120">
        <v>9.9740000000000002</v>
      </c>
      <c r="L120">
        <f t="shared" si="6"/>
        <v>90.482605967600009</v>
      </c>
    </row>
    <row r="121" spans="1:12" x14ac:dyDescent="0.2">
      <c r="A121" s="4">
        <v>43500</v>
      </c>
      <c r="B121" t="s">
        <v>517</v>
      </c>
      <c r="C121">
        <v>1</v>
      </c>
      <c r="D121">
        <v>4</v>
      </c>
      <c r="E121">
        <v>5</v>
      </c>
      <c r="F121" t="s">
        <v>390</v>
      </c>
      <c r="G121" t="s">
        <v>847</v>
      </c>
      <c r="H121" t="s">
        <v>1073</v>
      </c>
      <c r="I121">
        <f t="shared" si="7"/>
        <v>20</v>
      </c>
      <c r="J121">
        <f t="shared" si="5"/>
        <v>9.0718474000000011</v>
      </c>
      <c r="K121">
        <v>9.9740000000000002</v>
      </c>
      <c r="L121">
        <f t="shared" si="6"/>
        <v>90.482605967600009</v>
      </c>
    </row>
    <row r="122" spans="1:12" x14ac:dyDescent="0.2">
      <c r="A122" s="4">
        <v>43500</v>
      </c>
      <c r="B122" t="s">
        <v>517</v>
      </c>
      <c r="C122">
        <v>4</v>
      </c>
      <c r="D122">
        <v>4</v>
      </c>
      <c r="E122">
        <v>5</v>
      </c>
      <c r="F122" t="s">
        <v>391</v>
      </c>
      <c r="G122" t="s">
        <v>847</v>
      </c>
      <c r="H122" t="s">
        <v>1073</v>
      </c>
      <c r="I122">
        <f t="shared" si="7"/>
        <v>80</v>
      </c>
      <c r="J122">
        <f t="shared" si="5"/>
        <v>36.287389600000004</v>
      </c>
      <c r="K122">
        <v>9.9740000000000002</v>
      </c>
      <c r="L122">
        <f t="shared" si="6"/>
        <v>361.93042387040003</v>
      </c>
    </row>
    <row r="123" spans="1:12" x14ac:dyDescent="0.2">
      <c r="A123" s="4">
        <v>43500</v>
      </c>
      <c r="B123" t="s">
        <v>517</v>
      </c>
      <c r="C123">
        <v>12</v>
      </c>
      <c r="D123">
        <v>4</v>
      </c>
      <c r="E123">
        <v>5</v>
      </c>
      <c r="F123" t="s">
        <v>392</v>
      </c>
      <c r="G123" t="s">
        <v>847</v>
      </c>
      <c r="H123" t="s">
        <v>1073</v>
      </c>
      <c r="I123">
        <f t="shared" si="7"/>
        <v>240</v>
      </c>
      <c r="J123">
        <f t="shared" si="5"/>
        <v>108.86216880000001</v>
      </c>
      <c r="K123">
        <v>9.9740000000000002</v>
      </c>
      <c r="L123">
        <f t="shared" si="6"/>
        <v>1085.7912716112</v>
      </c>
    </row>
    <row r="124" spans="1:12" x14ac:dyDescent="0.2">
      <c r="A124" s="4">
        <v>43500</v>
      </c>
      <c r="B124" t="s">
        <v>517</v>
      </c>
      <c r="C124">
        <v>1</v>
      </c>
      <c r="D124">
        <v>4</v>
      </c>
      <c r="E124">
        <v>2.5</v>
      </c>
      <c r="F124" t="s">
        <v>1008</v>
      </c>
      <c r="G124" t="s">
        <v>847</v>
      </c>
      <c r="H124" t="s">
        <v>1073</v>
      </c>
      <c r="I124">
        <f t="shared" si="7"/>
        <v>10</v>
      </c>
      <c r="J124">
        <f t="shared" si="5"/>
        <v>4.5359237000000006</v>
      </c>
      <c r="K124">
        <v>9.9740000000000002</v>
      </c>
      <c r="L124">
        <f t="shared" si="6"/>
        <v>45.241302983800004</v>
      </c>
    </row>
    <row r="125" spans="1:12" x14ac:dyDescent="0.2">
      <c r="A125" s="4">
        <v>43500</v>
      </c>
      <c r="B125" t="s">
        <v>517</v>
      </c>
      <c r="C125">
        <v>1</v>
      </c>
      <c r="D125">
        <v>8</v>
      </c>
      <c r="E125">
        <v>1.25</v>
      </c>
      <c r="F125" t="s">
        <v>1010</v>
      </c>
      <c r="G125" t="s">
        <v>847</v>
      </c>
      <c r="H125" t="s">
        <v>1073</v>
      </c>
      <c r="I125">
        <f t="shared" si="7"/>
        <v>10</v>
      </c>
      <c r="J125">
        <f t="shared" si="5"/>
        <v>4.5359237000000006</v>
      </c>
      <c r="K125">
        <v>9.9740000000000002</v>
      </c>
      <c r="L125">
        <f t="shared" si="6"/>
        <v>45.241302983800004</v>
      </c>
    </row>
    <row r="126" spans="1:12" x14ac:dyDescent="0.2">
      <c r="A126" s="4">
        <v>43500</v>
      </c>
      <c r="B126" t="s">
        <v>517</v>
      </c>
      <c r="C126">
        <v>1</v>
      </c>
      <c r="D126">
        <v>4</v>
      </c>
      <c r="E126">
        <v>2.5</v>
      </c>
      <c r="F126" t="s">
        <v>1011</v>
      </c>
      <c r="G126" t="s">
        <v>847</v>
      </c>
      <c r="H126" t="s">
        <v>1073</v>
      </c>
      <c r="I126">
        <f t="shared" si="7"/>
        <v>10</v>
      </c>
      <c r="J126">
        <f t="shared" si="5"/>
        <v>4.5359237000000006</v>
      </c>
      <c r="K126">
        <v>9.9740000000000002</v>
      </c>
      <c r="L126">
        <f t="shared" si="6"/>
        <v>45.241302983800004</v>
      </c>
    </row>
    <row r="127" spans="1:12" x14ac:dyDescent="0.2">
      <c r="A127" s="4">
        <v>43500</v>
      </c>
      <c r="B127" t="s">
        <v>517</v>
      </c>
      <c r="C127">
        <v>2</v>
      </c>
      <c r="D127">
        <v>2</v>
      </c>
      <c r="E127">
        <v>5</v>
      </c>
      <c r="F127" t="s">
        <v>393</v>
      </c>
      <c r="G127" t="s">
        <v>847</v>
      </c>
      <c r="H127" t="s">
        <v>1073</v>
      </c>
      <c r="I127">
        <f t="shared" si="7"/>
        <v>20</v>
      </c>
      <c r="J127">
        <f t="shared" si="5"/>
        <v>9.0718474000000011</v>
      </c>
      <c r="K127">
        <v>9.9740000000000002</v>
      </c>
      <c r="L127">
        <f t="shared" si="6"/>
        <v>90.482605967600009</v>
      </c>
    </row>
    <row r="128" spans="1:12" x14ac:dyDescent="0.2">
      <c r="A128" s="4">
        <v>43500</v>
      </c>
      <c r="B128" t="s">
        <v>517</v>
      </c>
      <c r="C128">
        <v>1</v>
      </c>
      <c r="D128">
        <v>6</v>
      </c>
      <c r="E128">
        <v>3</v>
      </c>
      <c r="F128" t="s">
        <v>744</v>
      </c>
      <c r="G128" t="s">
        <v>847</v>
      </c>
      <c r="H128" t="s">
        <v>1073</v>
      </c>
      <c r="I128">
        <f t="shared" si="7"/>
        <v>18</v>
      </c>
      <c r="J128">
        <f t="shared" si="5"/>
        <v>8.1646626599999994</v>
      </c>
      <c r="K128">
        <v>9.9740000000000002</v>
      </c>
      <c r="L128">
        <f t="shared" si="6"/>
        <v>81.434345370839992</v>
      </c>
    </row>
    <row r="129" spans="1:12" x14ac:dyDescent="0.2">
      <c r="A129" s="4">
        <v>43500</v>
      </c>
      <c r="B129" t="s">
        <v>517</v>
      </c>
      <c r="C129">
        <v>2</v>
      </c>
      <c r="D129">
        <v>6</v>
      </c>
      <c r="E129">
        <v>3</v>
      </c>
      <c r="F129" t="s">
        <v>387</v>
      </c>
      <c r="G129" t="s">
        <v>847</v>
      </c>
      <c r="H129" t="s">
        <v>1073</v>
      </c>
      <c r="I129">
        <f t="shared" si="7"/>
        <v>36</v>
      </c>
      <c r="J129">
        <f t="shared" si="5"/>
        <v>16.329325319999999</v>
      </c>
      <c r="K129">
        <v>9.9740000000000002</v>
      </c>
      <c r="L129">
        <f t="shared" si="6"/>
        <v>162.86869074167998</v>
      </c>
    </row>
    <row r="130" spans="1:12" x14ac:dyDescent="0.2">
      <c r="A130" s="4">
        <v>43503</v>
      </c>
      <c r="B130" t="s">
        <v>517</v>
      </c>
      <c r="C130">
        <v>2</v>
      </c>
      <c r="D130">
        <v>4</v>
      </c>
      <c r="E130">
        <v>5</v>
      </c>
      <c r="F130" t="s">
        <v>521</v>
      </c>
      <c r="G130" t="s">
        <v>847</v>
      </c>
      <c r="H130" t="s">
        <v>1073</v>
      </c>
      <c r="I130">
        <f t="shared" si="7"/>
        <v>40</v>
      </c>
      <c r="J130">
        <f t="shared" si="5"/>
        <v>18.143694800000002</v>
      </c>
      <c r="K130">
        <v>9.9740000000000002</v>
      </c>
      <c r="L130">
        <f t="shared" si="6"/>
        <v>180.96521193520002</v>
      </c>
    </row>
    <row r="131" spans="1:12" x14ac:dyDescent="0.2">
      <c r="A131" s="4">
        <v>43503</v>
      </c>
      <c r="B131" t="s">
        <v>517</v>
      </c>
      <c r="C131">
        <v>1</v>
      </c>
      <c r="D131">
        <v>4</v>
      </c>
      <c r="E131">
        <v>2.5</v>
      </c>
      <c r="F131" t="s">
        <v>1008</v>
      </c>
      <c r="G131" t="s">
        <v>847</v>
      </c>
      <c r="H131" t="s">
        <v>1073</v>
      </c>
      <c r="I131">
        <f t="shared" ref="I131:I151" si="8">C131*D131*E131</f>
        <v>10</v>
      </c>
      <c r="J131">
        <f t="shared" ref="J131:J194" si="9">CONVERT(I131,"lbm","kg")</f>
        <v>4.5359237000000006</v>
      </c>
      <c r="K131">
        <v>9.9740000000000002</v>
      </c>
      <c r="L131">
        <f t="shared" ref="L131:L194" si="10">J131*K131</f>
        <v>45.241302983800004</v>
      </c>
    </row>
    <row r="132" spans="1:12" x14ac:dyDescent="0.2">
      <c r="A132" s="4">
        <v>43503</v>
      </c>
      <c r="B132" t="s">
        <v>517</v>
      </c>
      <c r="C132">
        <v>1</v>
      </c>
      <c r="D132">
        <v>4</v>
      </c>
      <c r="E132">
        <v>2.5</v>
      </c>
      <c r="F132" t="s">
        <v>1011</v>
      </c>
      <c r="G132" t="s">
        <v>847</v>
      </c>
      <c r="H132" t="s">
        <v>1073</v>
      </c>
      <c r="I132">
        <f t="shared" si="8"/>
        <v>10</v>
      </c>
      <c r="J132">
        <f t="shared" si="9"/>
        <v>4.5359237000000006</v>
      </c>
      <c r="K132">
        <v>9.9740000000000002</v>
      </c>
      <c r="L132">
        <f t="shared" si="10"/>
        <v>45.241302983800004</v>
      </c>
    </row>
    <row r="133" spans="1:12" x14ac:dyDescent="0.2">
      <c r="A133" s="4">
        <v>43503</v>
      </c>
      <c r="B133" t="s">
        <v>201</v>
      </c>
      <c r="C133" s="35">
        <v>1</v>
      </c>
      <c r="D133" s="35">
        <v>1</v>
      </c>
      <c r="E133">
        <v>20</v>
      </c>
      <c r="F133" s="9" t="s">
        <v>51</v>
      </c>
      <c r="G133" s="9" t="s">
        <v>755</v>
      </c>
      <c r="H133" s="9" t="s">
        <v>1072</v>
      </c>
      <c r="I133">
        <f t="shared" si="8"/>
        <v>20</v>
      </c>
      <c r="J133">
        <f t="shared" si="9"/>
        <v>9.0718474000000011</v>
      </c>
      <c r="K133">
        <v>4.1879999999999997</v>
      </c>
      <c r="L133">
        <f t="shared" si="10"/>
        <v>37.992896911199999</v>
      </c>
    </row>
    <row r="134" spans="1:12" x14ac:dyDescent="0.2">
      <c r="A134" s="4">
        <v>43502</v>
      </c>
      <c r="B134" t="s">
        <v>201</v>
      </c>
      <c r="C134" s="35">
        <v>1</v>
      </c>
      <c r="D134" s="35">
        <v>1</v>
      </c>
      <c r="E134">
        <v>300</v>
      </c>
      <c r="F134" s="9" t="s">
        <v>51</v>
      </c>
      <c r="G134" s="9" t="s">
        <v>755</v>
      </c>
      <c r="H134" s="9" t="s">
        <v>1072</v>
      </c>
      <c r="I134">
        <f t="shared" si="8"/>
        <v>300</v>
      </c>
      <c r="J134">
        <f t="shared" si="9"/>
        <v>136.07771100000002</v>
      </c>
      <c r="K134">
        <v>4.1879999999999997</v>
      </c>
      <c r="L134">
        <f t="shared" si="10"/>
        <v>569.89345366800001</v>
      </c>
    </row>
    <row r="135" spans="1:12" x14ac:dyDescent="0.2">
      <c r="A135" s="4">
        <v>43502</v>
      </c>
      <c r="B135" t="s">
        <v>201</v>
      </c>
      <c r="C135" s="35">
        <v>1</v>
      </c>
      <c r="D135" s="35">
        <v>1</v>
      </c>
      <c r="E135">
        <v>300</v>
      </c>
      <c r="F135" s="9" t="s">
        <v>295</v>
      </c>
      <c r="G135" s="9" t="s">
        <v>755</v>
      </c>
      <c r="H135" s="9" t="s">
        <v>1072</v>
      </c>
      <c r="I135">
        <f t="shared" si="8"/>
        <v>300</v>
      </c>
      <c r="J135">
        <f t="shared" si="9"/>
        <v>136.07771100000002</v>
      </c>
      <c r="K135">
        <v>4.1879999999999997</v>
      </c>
      <c r="L135">
        <f t="shared" si="10"/>
        <v>569.89345366800001</v>
      </c>
    </row>
    <row r="136" spans="1:12" x14ac:dyDescent="0.2">
      <c r="A136" s="4">
        <v>43502</v>
      </c>
      <c r="B136" t="s">
        <v>201</v>
      </c>
      <c r="C136" s="35">
        <v>1</v>
      </c>
      <c r="D136" s="35">
        <v>1</v>
      </c>
      <c r="E136">
        <v>20</v>
      </c>
      <c r="F136" s="9" t="s">
        <v>474</v>
      </c>
      <c r="G136" s="9" t="s">
        <v>755</v>
      </c>
      <c r="H136" s="9" t="s">
        <v>1072</v>
      </c>
      <c r="I136">
        <f t="shared" si="8"/>
        <v>20</v>
      </c>
      <c r="J136">
        <f t="shared" si="9"/>
        <v>9.0718474000000011</v>
      </c>
      <c r="K136">
        <v>4.1879999999999997</v>
      </c>
      <c r="L136">
        <f t="shared" si="10"/>
        <v>37.992896911199999</v>
      </c>
    </row>
    <row r="137" spans="1:12" x14ac:dyDescent="0.2">
      <c r="A137" s="4">
        <v>43502</v>
      </c>
      <c r="B137" t="s">
        <v>201</v>
      </c>
      <c r="C137" s="35">
        <v>1</v>
      </c>
      <c r="D137" s="35">
        <v>1</v>
      </c>
      <c r="E137">
        <v>120</v>
      </c>
      <c r="F137" s="9" t="s">
        <v>52</v>
      </c>
      <c r="G137" s="9" t="s">
        <v>755</v>
      </c>
      <c r="H137" s="9" t="s">
        <v>1072</v>
      </c>
      <c r="I137">
        <f t="shared" si="8"/>
        <v>120</v>
      </c>
      <c r="J137">
        <f t="shared" si="9"/>
        <v>54.431084400000003</v>
      </c>
      <c r="K137">
        <v>4.1879999999999997</v>
      </c>
      <c r="L137">
        <f t="shared" si="10"/>
        <v>227.95738146720001</v>
      </c>
    </row>
    <row r="138" spans="1:12" x14ac:dyDescent="0.2">
      <c r="A138" s="4">
        <v>43497</v>
      </c>
      <c r="B138" t="s">
        <v>201</v>
      </c>
      <c r="C138" s="35">
        <v>1</v>
      </c>
      <c r="D138" s="35">
        <v>1</v>
      </c>
      <c r="E138">
        <v>300</v>
      </c>
      <c r="F138" s="9" t="s">
        <v>51</v>
      </c>
      <c r="G138" s="9" t="s">
        <v>755</v>
      </c>
      <c r="H138" s="9" t="s">
        <v>1072</v>
      </c>
      <c r="I138">
        <f t="shared" si="8"/>
        <v>300</v>
      </c>
      <c r="J138">
        <f t="shared" si="9"/>
        <v>136.07771100000002</v>
      </c>
      <c r="K138">
        <v>4.1879999999999997</v>
      </c>
      <c r="L138">
        <f t="shared" si="10"/>
        <v>569.89345366800001</v>
      </c>
    </row>
    <row r="139" spans="1:12" x14ac:dyDescent="0.2">
      <c r="A139" s="4">
        <v>43497</v>
      </c>
      <c r="B139" t="s">
        <v>201</v>
      </c>
      <c r="C139" s="35">
        <v>1</v>
      </c>
      <c r="D139" s="35">
        <v>1</v>
      </c>
      <c r="E139">
        <v>120</v>
      </c>
      <c r="F139" s="9" t="s">
        <v>52</v>
      </c>
      <c r="G139" s="9" t="s">
        <v>755</v>
      </c>
      <c r="H139" s="9" t="s">
        <v>1072</v>
      </c>
      <c r="I139">
        <f t="shared" si="8"/>
        <v>120</v>
      </c>
      <c r="J139">
        <f t="shared" si="9"/>
        <v>54.431084400000003</v>
      </c>
      <c r="K139">
        <v>4.1879999999999997</v>
      </c>
      <c r="L139">
        <f t="shared" si="10"/>
        <v>227.95738146720001</v>
      </c>
    </row>
    <row r="140" spans="1:12" x14ac:dyDescent="0.2">
      <c r="A140" s="4">
        <v>43500</v>
      </c>
      <c r="B140" t="s">
        <v>201</v>
      </c>
      <c r="C140" s="35">
        <v>1</v>
      </c>
      <c r="D140" s="35">
        <v>1</v>
      </c>
      <c r="E140">
        <v>300</v>
      </c>
      <c r="F140" s="9" t="s">
        <v>51</v>
      </c>
      <c r="G140" s="9" t="s">
        <v>755</v>
      </c>
      <c r="H140" s="9" t="s">
        <v>1072</v>
      </c>
      <c r="I140">
        <f t="shared" si="8"/>
        <v>300</v>
      </c>
      <c r="J140">
        <f t="shared" si="9"/>
        <v>136.07771100000002</v>
      </c>
      <c r="K140">
        <v>4.1879999999999997</v>
      </c>
      <c r="L140">
        <f t="shared" si="10"/>
        <v>569.89345366800001</v>
      </c>
    </row>
    <row r="141" spans="1:12" x14ac:dyDescent="0.2">
      <c r="A141" s="4">
        <v>43500</v>
      </c>
      <c r="B141" t="s">
        <v>201</v>
      </c>
      <c r="C141" s="35">
        <v>1</v>
      </c>
      <c r="D141" s="35">
        <v>1</v>
      </c>
      <c r="E141">
        <v>300</v>
      </c>
      <c r="F141" s="9" t="s">
        <v>295</v>
      </c>
      <c r="G141" s="9" t="s">
        <v>755</v>
      </c>
      <c r="H141" s="9" t="s">
        <v>1072</v>
      </c>
      <c r="I141">
        <f t="shared" si="8"/>
        <v>300</v>
      </c>
      <c r="J141">
        <f t="shared" si="9"/>
        <v>136.07771100000002</v>
      </c>
      <c r="K141">
        <v>4.1879999999999997</v>
      </c>
      <c r="L141">
        <f t="shared" si="10"/>
        <v>569.89345366800001</v>
      </c>
    </row>
    <row r="142" spans="1:12" x14ac:dyDescent="0.2">
      <c r="A142" s="4">
        <v>43500</v>
      </c>
      <c r="B142" t="s">
        <v>201</v>
      </c>
      <c r="C142" s="35">
        <v>1</v>
      </c>
      <c r="D142" s="35">
        <v>1</v>
      </c>
      <c r="E142">
        <v>20</v>
      </c>
      <c r="F142" s="9" t="s">
        <v>474</v>
      </c>
      <c r="G142" s="9" t="s">
        <v>755</v>
      </c>
      <c r="H142" s="9" t="s">
        <v>1072</v>
      </c>
      <c r="I142">
        <f t="shared" si="8"/>
        <v>20</v>
      </c>
      <c r="J142">
        <f t="shared" si="9"/>
        <v>9.0718474000000011</v>
      </c>
      <c r="K142">
        <v>4.1879999999999997</v>
      </c>
      <c r="L142">
        <f t="shared" si="10"/>
        <v>37.992896911199999</v>
      </c>
    </row>
    <row r="143" spans="1:12" x14ac:dyDescent="0.2">
      <c r="A143" s="4">
        <v>43500</v>
      </c>
      <c r="B143" t="s">
        <v>201</v>
      </c>
      <c r="C143" s="35">
        <v>1</v>
      </c>
      <c r="D143" s="35">
        <v>1</v>
      </c>
      <c r="E143">
        <v>120</v>
      </c>
      <c r="F143" s="9" t="s">
        <v>52</v>
      </c>
      <c r="G143" s="9" t="s">
        <v>755</v>
      </c>
      <c r="H143" s="9" t="s">
        <v>1072</v>
      </c>
      <c r="I143">
        <f t="shared" si="8"/>
        <v>120</v>
      </c>
      <c r="J143">
        <f t="shared" si="9"/>
        <v>54.431084400000003</v>
      </c>
      <c r="K143">
        <v>4.1879999999999997</v>
      </c>
      <c r="L143">
        <f t="shared" si="10"/>
        <v>227.95738146720001</v>
      </c>
    </row>
    <row r="144" spans="1:12" x14ac:dyDescent="0.2">
      <c r="A144" s="4">
        <v>43501</v>
      </c>
      <c r="B144" t="s">
        <v>201</v>
      </c>
      <c r="C144" s="35">
        <v>1</v>
      </c>
      <c r="D144" s="35">
        <v>1</v>
      </c>
      <c r="E144">
        <v>300</v>
      </c>
      <c r="F144" s="9" t="s">
        <v>51</v>
      </c>
      <c r="G144" s="9" t="s">
        <v>755</v>
      </c>
      <c r="H144" s="9" t="s">
        <v>1072</v>
      </c>
      <c r="I144">
        <f t="shared" si="8"/>
        <v>300</v>
      </c>
      <c r="J144">
        <f t="shared" si="9"/>
        <v>136.07771100000002</v>
      </c>
      <c r="K144">
        <v>4.1879999999999997</v>
      </c>
      <c r="L144">
        <f t="shared" si="10"/>
        <v>569.89345366800001</v>
      </c>
    </row>
    <row r="145" spans="1:12" x14ac:dyDescent="0.2">
      <c r="A145" s="4">
        <v>43497</v>
      </c>
      <c r="B145" t="s">
        <v>530</v>
      </c>
      <c r="C145">
        <v>6</v>
      </c>
      <c r="D145">
        <v>160</v>
      </c>
      <c r="E145">
        <v>6.25E-2</v>
      </c>
      <c r="F145" t="s">
        <v>401</v>
      </c>
      <c r="G145" t="s">
        <v>755</v>
      </c>
      <c r="H145" s="9" t="s">
        <v>1072</v>
      </c>
      <c r="I145">
        <f t="shared" si="8"/>
        <v>60</v>
      </c>
      <c r="J145">
        <f t="shared" si="9"/>
        <v>27.215542200000002</v>
      </c>
      <c r="K145">
        <v>4.1879999999999997</v>
      </c>
      <c r="L145">
        <f t="shared" si="10"/>
        <v>113.9786907336</v>
      </c>
    </row>
    <row r="146" spans="1:12" x14ac:dyDescent="0.2">
      <c r="A146" s="4">
        <v>43500</v>
      </c>
      <c r="B146" t="s">
        <v>530</v>
      </c>
      <c r="C146">
        <v>4</v>
      </c>
      <c r="D146">
        <v>160</v>
      </c>
      <c r="E146">
        <v>6.25E-2</v>
      </c>
      <c r="F146" t="s">
        <v>401</v>
      </c>
      <c r="G146" t="s">
        <v>755</v>
      </c>
      <c r="H146" s="9" t="s">
        <v>1072</v>
      </c>
      <c r="I146">
        <f t="shared" si="8"/>
        <v>40</v>
      </c>
      <c r="J146">
        <f t="shared" si="9"/>
        <v>18.143694800000002</v>
      </c>
      <c r="K146">
        <v>4.1879999999999997</v>
      </c>
      <c r="L146">
        <f t="shared" si="10"/>
        <v>75.985793822399998</v>
      </c>
    </row>
    <row r="147" spans="1:12" x14ac:dyDescent="0.2">
      <c r="A147" s="4">
        <v>43503</v>
      </c>
      <c r="B147" t="s">
        <v>530</v>
      </c>
      <c r="C147">
        <v>4</v>
      </c>
      <c r="D147">
        <v>160</v>
      </c>
      <c r="E147">
        <v>6.25E-2</v>
      </c>
      <c r="F147" t="s">
        <v>401</v>
      </c>
      <c r="G147" t="s">
        <v>755</v>
      </c>
      <c r="H147" s="9" t="s">
        <v>1072</v>
      </c>
      <c r="I147">
        <f t="shared" si="8"/>
        <v>40</v>
      </c>
      <c r="J147">
        <f t="shared" si="9"/>
        <v>18.143694800000002</v>
      </c>
      <c r="K147">
        <v>4.1879999999999997</v>
      </c>
      <c r="L147">
        <f t="shared" si="10"/>
        <v>75.985793822399998</v>
      </c>
    </row>
    <row r="148" spans="1:12" x14ac:dyDescent="0.2">
      <c r="A148" s="4">
        <v>43497</v>
      </c>
      <c r="B148" t="s">
        <v>538</v>
      </c>
      <c r="C148">
        <v>4</v>
      </c>
      <c r="D148">
        <v>6</v>
      </c>
      <c r="E148">
        <v>10</v>
      </c>
      <c r="F148" t="s">
        <v>539</v>
      </c>
      <c r="G148" s="6" t="s">
        <v>896</v>
      </c>
      <c r="H148" s="6" t="s">
        <v>1071</v>
      </c>
      <c r="I148">
        <f t="shared" si="8"/>
        <v>240</v>
      </c>
      <c r="J148">
        <f t="shared" si="9"/>
        <v>108.86216880000001</v>
      </c>
      <c r="K148">
        <v>0.49099999999999999</v>
      </c>
      <c r="L148">
        <f t="shared" si="10"/>
        <v>53.451324880800001</v>
      </c>
    </row>
    <row r="149" spans="1:12" x14ac:dyDescent="0.2">
      <c r="A149" s="4">
        <v>43500</v>
      </c>
      <c r="B149" t="s">
        <v>538</v>
      </c>
      <c r="C149">
        <v>4</v>
      </c>
      <c r="D149">
        <v>6</v>
      </c>
      <c r="E149">
        <v>10</v>
      </c>
      <c r="F149" t="s">
        <v>539</v>
      </c>
      <c r="G149" t="s">
        <v>896</v>
      </c>
      <c r="H149" s="6" t="s">
        <v>1071</v>
      </c>
      <c r="I149">
        <f t="shared" si="8"/>
        <v>240</v>
      </c>
      <c r="J149">
        <f t="shared" si="9"/>
        <v>108.86216880000001</v>
      </c>
      <c r="K149">
        <v>0.49099999999999999</v>
      </c>
      <c r="L149">
        <f t="shared" si="10"/>
        <v>53.451324880800001</v>
      </c>
    </row>
    <row r="150" spans="1:12" x14ac:dyDescent="0.2">
      <c r="A150" s="4">
        <v>43502</v>
      </c>
      <c r="B150" t="s">
        <v>48</v>
      </c>
      <c r="C150" s="28">
        <v>1</v>
      </c>
      <c r="D150" s="35">
        <v>1</v>
      </c>
      <c r="E150">
        <f>30*(2.8/16)</f>
        <v>5.25</v>
      </c>
      <c r="F150" t="s">
        <v>300</v>
      </c>
      <c r="G150" t="s">
        <v>300</v>
      </c>
      <c r="H150" s="6" t="s">
        <v>1071</v>
      </c>
      <c r="I150">
        <f t="shared" si="8"/>
        <v>5.25</v>
      </c>
      <c r="J150">
        <f t="shared" si="9"/>
        <v>2.3813599425</v>
      </c>
      <c r="K150">
        <v>0.26100000000000001</v>
      </c>
      <c r="L150">
        <f t="shared" si="10"/>
        <v>0.62153494499250006</v>
      </c>
    </row>
    <row r="151" spans="1:12" x14ac:dyDescent="0.2">
      <c r="A151" s="4">
        <v>43500</v>
      </c>
      <c r="B151" t="s">
        <v>48</v>
      </c>
      <c r="C151" s="28">
        <v>1</v>
      </c>
      <c r="D151" s="35">
        <v>1</v>
      </c>
      <c r="E151">
        <f>30*(2.8/16)</f>
        <v>5.25</v>
      </c>
      <c r="F151" t="s">
        <v>300</v>
      </c>
      <c r="G151" t="s">
        <v>300</v>
      </c>
      <c r="H151" s="6" t="s">
        <v>1071</v>
      </c>
      <c r="I151">
        <f t="shared" si="8"/>
        <v>5.25</v>
      </c>
      <c r="J151">
        <f t="shared" si="9"/>
        <v>2.3813599425</v>
      </c>
      <c r="K151">
        <v>0.26100000000000001</v>
      </c>
      <c r="L151">
        <f t="shared" si="10"/>
        <v>0.62153494499250006</v>
      </c>
    </row>
    <row r="152" spans="1:12" x14ac:dyDescent="0.2">
      <c r="A152" s="4">
        <v>43503</v>
      </c>
      <c r="B152" t="s">
        <v>538</v>
      </c>
      <c r="C152">
        <v>1</v>
      </c>
      <c r="D152">
        <v>6</v>
      </c>
      <c r="E152" s="14" t="s">
        <v>422</v>
      </c>
      <c r="F152" t="s">
        <v>423</v>
      </c>
      <c r="G152" t="s">
        <v>1054</v>
      </c>
      <c r="H152" s="14" t="s">
        <v>1071</v>
      </c>
      <c r="I152">
        <v>0</v>
      </c>
      <c r="J152">
        <f t="shared" si="9"/>
        <v>0</v>
      </c>
      <c r="K152">
        <v>33.646999999999998</v>
      </c>
      <c r="L152">
        <f t="shared" si="10"/>
        <v>0</v>
      </c>
    </row>
    <row r="153" spans="1:12" x14ac:dyDescent="0.2">
      <c r="A153" s="4">
        <v>43497</v>
      </c>
      <c r="B153" t="s">
        <v>538</v>
      </c>
      <c r="C153">
        <v>1</v>
      </c>
      <c r="D153">
        <v>24</v>
      </c>
      <c r="E153">
        <v>0.875</v>
      </c>
      <c r="F153" t="s">
        <v>743</v>
      </c>
      <c r="G153" t="s">
        <v>1051</v>
      </c>
      <c r="H153" s="6" t="s">
        <v>1071</v>
      </c>
      <c r="I153">
        <f t="shared" ref="I153:I178" si="11">C153*D153*E153</f>
        <v>21</v>
      </c>
      <c r="J153">
        <f t="shared" si="9"/>
        <v>9.5254397700000002</v>
      </c>
      <c r="K153">
        <v>0.79200000000000004</v>
      </c>
      <c r="L153">
        <f t="shared" si="10"/>
        <v>7.5441482978400005</v>
      </c>
    </row>
    <row r="154" spans="1:12" x14ac:dyDescent="0.2">
      <c r="A154" s="4">
        <v>43501</v>
      </c>
      <c r="B154" t="s">
        <v>291</v>
      </c>
      <c r="C154">
        <v>5</v>
      </c>
      <c r="D154" s="35">
        <v>1</v>
      </c>
      <c r="E154">
        <v>5</v>
      </c>
      <c r="F154" t="s">
        <v>697</v>
      </c>
      <c r="G154" t="s">
        <v>809</v>
      </c>
      <c r="H154" s="9" t="s">
        <v>1071</v>
      </c>
      <c r="I154">
        <f t="shared" si="11"/>
        <v>25</v>
      </c>
      <c r="J154">
        <f t="shared" si="9"/>
        <v>11.33980925</v>
      </c>
      <c r="K154">
        <v>6.2789999999999999</v>
      </c>
      <c r="L154">
        <f t="shared" si="10"/>
        <v>71.202662280750005</v>
      </c>
    </row>
    <row r="155" spans="1:12" x14ac:dyDescent="0.2">
      <c r="A155" s="4">
        <v>43501</v>
      </c>
      <c r="B155" t="s">
        <v>291</v>
      </c>
      <c r="C155" s="8">
        <v>1</v>
      </c>
      <c r="D155" s="35">
        <v>1</v>
      </c>
      <c r="E155" s="8">
        <v>5</v>
      </c>
      <c r="F155" s="8" t="s">
        <v>605</v>
      </c>
      <c r="G155" s="8" t="s">
        <v>809</v>
      </c>
      <c r="H155" s="9" t="s">
        <v>1071</v>
      </c>
      <c r="I155">
        <f t="shared" si="11"/>
        <v>5</v>
      </c>
      <c r="J155">
        <f t="shared" si="9"/>
        <v>2.2679618500000003</v>
      </c>
      <c r="K155">
        <v>6.2789999999999999</v>
      </c>
      <c r="L155">
        <f t="shared" si="10"/>
        <v>14.240532456150001</v>
      </c>
    </row>
    <row r="156" spans="1:12" x14ac:dyDescent="0.2">
      <c r="A156" s="4">
        <v>43497</v>
      </c>
      <c r="B156" t="s">
        <v>22</v>
      </c>
      <c r="C156" s="35">
        <v>1</v>
      </c>
      <c r="D156" s="35">
        <v>1</v>
      </c>
      <c r="E156">
        <v>36</v>
      </c>
      <c r="F156" t="s">
        <v>213</v>
      </c>
      <c r="G156" t="s">
        <v>213</v>
      </c>
      <c r="H156" s="9" t="s">
        <v>1071</v>
      </c>
      <c r="I156">
        <f t="shared" si="11"/>
        <v>36</v>
      </c>
      <c r="J156">
        <f t="shared" si="9"/>
        <v>16.329325319999999</v>
      </c>
      <c r="K156">
        <v>0.20599999999999999</v>
      </c>
      <c r="L156">
        <f t="shared" si="10"/>
        <v>3.3638410159199994</v>
      </c>
    </row>
    <row r="157" spans="1:12" x14ac:dyDescent="0.2">
      <c r="A157" s="4">
        <v>43503</v>
      </c>
      <c r="B157" t="s">
        <v>48</v>
      </c>
      <c r="C157" s="28">
        <v>3</v>
      </c>
      <c r="D157" s="35">
        <v>1</v>
      </c>
      <c r="E157">
        <v>10</v>
      </c>
      <c r="F157" t="s">
        <v>344</v>
      </c>
      <c r="G157" t="s">
        <v>794</v>
      </c>
      <c r="H157" s="9" t="s">
        <v>1071</v>
      </c>
      <c r="I157">
        <f t="shared" si="11"/>
        <v>30</v>
      </c>
      <c r="J157">
        <f t="shared" si="9"/>
        <v>13.607771100000001</v>
      </c>
      <c r="K157">
        <v>0.20599999999999999</v>
      </c>
      <c r="L157">
        <f t="shared" si="10"/>
        <v>2.8032008465999998</v>
      </c>
    </row>
    <row r="158" spans="1:12" x14ac:dyDescent="0.2">
      <c r="A158" s="4">
        <v>43497</v>
      </c>
      <c r="B158" t="s">
        <v>538</v>
      </c>
      <c r="C158">
        <v>2</v>
      </c>
      <c r="D158">
        <v>4</v>
      </c>
      <c r="E158">
        <v>7.79</v>
      </c>
      <c r="F158" t="s">
        <v>543</v>
      </c>
      <c r="G158" t="s">
        <v>980</v>
      </c>
      <c r="H158" s="9" t="s">
        <v>1073</v>
      </c>
      <c r="I158">
        <f t="shared" si="11"/>
        <v>62.32</v>
      </c>
      <c r="J158">
        <f t="shared" si="9"/>
        <v>28.2678764984</v>
      </c>
      <c r="K158">
        <v>3.33</v>
      </c>
      <c r="L158">
        <f t="shared" si="10"/>
        <v>94.132028739671995</v>
      </c>
    </row>
    <row r="159" spans="1:12" x14ac:dyDescent="0.2">
      <c r="A159" s="4">
        <v>43497</v>
      </c>
      <c r="B159" t="s">
        <v>538</v>
      </c>
      <c r="C159">
        <v>2</v>
      </c>
      <c r="D159">
        <v>6</v>
      </c>
      <c r="E159">
        <v>7.125</v>
      </c>
      <c r="F159" t="s">
        <v>1007</v>
      </c>
      <c r="G159" t="s">
        <v>980</v>
      </c>
      <c r="H159" s="9" t="s">
        <v>1071</v>
      </c>
      <c r="I159">
        <f t="shared" si="11"/>
        <v>85.5</v>
      </c>
      <c r="J159">
        <f t="shared" si="9"/>
        <v>38.782147635000001</v>
      </c>
      <c r="K159">
        <v>3.33</v>
      </c>
      <c r="L159">
        <f t="shared" si="10"/>
        <v>129.14455162455002</v>
      </c>
    </row>
    <row r="160" spans="1:12" x14ac:dyDescent="0.2">
      <c r="A160" s="4">
        <v>43497</v>
      </c>
      <c r="B160" t="s">
        <v>538</v>
      </c>
      <c r="C160">
        <v>1</v>
      </c>
      <c r="D160">
        <v>24</v>
      </c>
      <c r="E160">
        <v>0.3125</v>
      </c>
      <c r="F160" t="s">
        <v>585</v>
      </c>
      <c r="G160" t="s">
        <v>980</v>
      </c>
      <c r="H160" s="9" t="s">
        <v>1071</v>
      </c>
      <c r="I160">
        <f t="shared" si="11"/>
        <v>7.5</v>
      </c>
      <c r="J160">
        <f t="shared" si="9"/>
        <v>3.4019427750000002</v>
      </c>
      <c r="K160">
        <v>3.33</v>
      </c>
      <c r="L160">
        <f t="shared" si="10"/>
        <v>11.32846944075</v>
      </c>
    </row>
    <row r="161" spans="1:12" x14ac:dyDescent="0.2">
      <c r="A161" s="4">
        <v>43497</v>
      </c>
      <c r="B161" t="s">
        <v>538</v>
      </c>
      <c r="C161">
        <v>1</v>
      </c>
      <c r="D161">
        <v>12</v>
      </c>
      <c r="E161">
        <v>0.4375</v>
      </c>
      <c r="F161" t="s">
        <v>448</v>
      </c>
      <c r="G161" t="s">
        <v>980</v>
      </c>
      <c r="H161" s="9" t="s">
        <v>1073</v>
      </c>
      <c r="I161">
        <f t="shared" si="11"/>
        <v>5.25</v>
      </c>
      <c r="J161">
        <f t="shared" si="9"/>
        <v>2.3813599425</v>
      </c>
      <c r="K161">
        <v>3.33</v>
      </c>
      <c r="L161">
        <f t="shared" si="10"/>
        <v>7.9299286085250005</v>
      </c>
    </row>
    <row r="162" spans="1:12" x14ac:dyDescent="0.2">
      <c r="A162" s="4">
        <v>43497</v>
      </c>
      <c r="B162" t="s">
        <v>538</v>
      </c>
      <c r="C162">
        <v>1</v>
      </c>
      <c r="D162">
        <v>12</v>
      </c>
      <c r="E162">
        <v>1.5625</v>
      </c>
      <c r="F162" t="s">
        <v>449</v>
      </c>
      <c r="G162" t="s">
        <v>980</v>
      </c>
      <c r="H162" s="9" t="s">
        <v>1073</v>
      </c>
      <c r="I162">
        <f t="shared" si="11"/>
        <v>18.75</v>
      </c>
      <c r="J162">
        <f t="shared" si="9"/>
        <v>8.5048569375000014</v>
      </c>
      <c r="K162">
        <v>3.33</v>
      </c>
      <c r="L162">
        <f t="shared" si="10"/>
        <v>28.321173601875007</v>
      </c>
    </row>
    <row r="163" spans="1:12" x14ac:dyDescent="0.2">
      <c r="A163" s="4">
        <v>43497</v>
      </c>
      <c r="B163" t="s">
        <v>538</v>
      </c>
      <c r="C163">
        <v>1</v>
      </c>
      <c r="D163">
        <v>4</v>
      </c>
      <c r="E163">
        <v>100.3125</v>
      </c>
      <c r="F163" t="s">
        <v>456</v>
      </c>
      <c r="G163" t="s">
        <v>980</v>
      </c>
      <c r="H163" s="9" t="s">
        <v>1071</v>
      </c>
      <c r="I163">
        <f t="shared" si="11"/>
        <v>401.25</v>
      </c>
      <c r="J163">
        <f t="shared" si="9"/>
        <v>182.0039384625</v>
      </c>
      <c r="K163">
        <v>3.33</v>
      </c>
      <c r="L163">
        <f t="shared" si="10"/>
        <v>606.07311508012504</v>
      </c>
    </row>
    <row r="164" spans="1:12" x14ac:dyDescent="0.2">
      <c r="A164" s="4">
        <v>43497</v>
      </c>
      <c r="B164" t="s">
        <v>538</v>
      </c>
      <c r="C164">
        <v>1</v>
      </c>
      <c r="D164">
        <v>2</v>
      </c>
      <c r="E164">
        <v>100.3125</v>
      </c>
      <c r="F164" t="s">
        <v>561</v>
      </c>
      <c r="G164" t="s">
        <v>980</v>
      </c>
      <c r="H164" s="9" t="s">
        <v>1071</v>
      </c>
      <c r="I164">
        <f t="shared" si="11"/>
        <v>200.625</v>
      </c>
      <c r="J164">
        <f t="shared" si="9"/>
        <v>91.001969231250001</v>
      </c>
      <c r="K164">
        <v>3.33</v>
      </c>
      <c r="L164">
        <f t="shared" si="10"/>
        <v>303.03655754006252</v>
      </c>
    </row>
    <row r="165" spans="1:12" x14ac:dyDescent="0.2">
      <c r="A165" s="4">
        <v>43497</v>
      </c>
      <c r="B165" t="s">
        <v>538</v>
      </c>
      <c r="C165">
        <v>2</v>
      </c>
      <c r="D165">
        <v>4</v>
      </c>
      <c r="E165">
        <v>11.68</v>
      </c>
      <c r="F165" t="s">
        <v>585</v>
      </c>
      <c r="G165" t="s">
        <v>980</v>
      </c>
      <c r="H165" s="9" t="s">
        <v>1071</v>
      </c>
      <c r="I165">
        <f t="shared" si="11"/>
        <v>93.44</v>
      </c>
      <c r="J165">
        <f t="shared" si="9"/>
        <v>42.383671052800004</v>
      </c>
      <c r="K165">
        <v>3.33</v>
      </c>
      <c r="L165">
        <f t="shared" si="10"/>
        <v>141.13762460582402</v>
      </c>
    </row>
    <row r="166" spans="1:12" x14ac:dyDescent="0.2">
      <c r="A166" s="4">
        <v>43497</v>
      </c>
      <c r="B166" t="s">
        <v>538</v>
      </c>
      <c r="C166">
        <v>1</v>
      </c>
      <c r="D166">
        <v>12</v>
      </c>
      <c r="E166">
        <v>10.4375</v>
      </c>
      <c r="F166" t="s">
        <v>460</v>
      </c>
      <c r="G166" t="s">
        <v>980</v>
      </c>
      <c r="H166" s="9" t="s">
        <v>1071</v>
      </c>
      <c r="I166">
        <f t="shared" si="11"/>
        <v>125.25</v>
      </c>
      <c r="J166">
        <f t="shared" si="9"/>
        <v>56.812444342500001</v>
      </c>
      <c r="K166">
        <v>3.33</v>
      </c>
      <c r="L166">
        <f t="shared" si="10"/>
        <v>189.18543966052502</v>
      </c>
    </row>
    <row r="167" spans="1:12" x14ac:dyDescent="0.2">
      <c r="A167" s="4">
        <v>43500</v>
      </c>
      <c r="B167" t="s">
        <v>538</v>
      </c>
      <c r="C167">
        <v>1</v>
      </c>
      <c r="D167">
        <v>4</v>
      </c>
      <c r="E167">
        <f>1.13*10.16</f>
        <v>11.480799999999999</v>
      </c>
      <c r="F167" t="s">
        <v>572</v>
      </c>
      <c r="G167" t="s">
        <v>980</v>
      </c>
      <c r="H167" s="9" t="s">
        <v>1071</v>
      </c>
      <c r="I167">
        <f t="shared" si="11"/>
        <v>45.923199999999994</v>
      </c>
      <c r="J167">
        <f t="shared" si="9"/>
        <v>20.830413125983998</v>
      </c>
      <c r="K167">
        <v>3.33</v>
      </c>
      <c r="L167">
        <f t="shared" si="10"/>
        <v>69.365275709526713</v>
      </c>
    </row>
    <row r="168" spans="1:12" x14ac:dyDescent="0.2">
      <c r="A168" s="4">
        <v>43500</v>
      </c>
      <c r="B168" t="s">
        <v>538</v>
      </c>
      <c r="C168">
        <v>1</v>
      </c>
      <c r="D168">
        <v>6</v>
      </c>
      <c r="E168">
        <f>1.9*2.68</f>
        <v>5.0919999999999996</v>
      </c>
      <c r="F168" t="s">
        <v>681</v>
      </c>
      <c r="G168" t="s">
        <v>980</v>
      </c>
      <c r="H168" s="9" t="s">
        <v>1071</v>
      </c>
      <c r="I168">
        <f t="shared" si="11"/>
        <v>30.552</v>
      </c>
      <c r="J168">
        <f t="shared" si="9"/>
        <v>13.858154088240001</v>
      </c>
      <c r="K168">
        <v>3.33</v>
      </c>
      <c r="L168">
        <f t="shared" si="10"/>
        <v>46.147653113839205</v>
      </c>
    </row>
    <row r="169" spans="1:12" x14ac:dyDescent="0.2">
      <c r="A169" s="4">
        <v>43500</v>
      </c>
      <c r="B169" t="s">
        <v>538</v>
      </c>
      <c r="C169">
        <v>2</v>
      </c>
      <c r="D169">
        <v>12</v>
      </c>
      <c r="E169">
        <v>0.4375</v>
      </c>
      <c r="F169" t="s">
        <v>448</v>
      </c>
      <c r="G169" t="s">
        <v>980</v>
      </c>
      <c r="H169" s="9" t="s">
        <v>1071</v>
      </c>
      <c r="I169">
        <f t="shared" si="11"/>
        <v>10.5</v>
      </c>
      <c r="J169">
        <f t="shared" si="9"/>
        <v>4.7627198850000001</v>
      </c>
      <c r="K169">
        <v>3.33</v>
      </c>
      <c r="L169">
        <f t="shared" si="10"/>
        <v>15.859857217050001</v>
      </c>
    </row>
    <row r="170" spans="1:12" x14ac:dyDescent="0.2">
      <c r="A170" s="4">
        <v>43500</v>
      </c>
      <c r="B170" t="s">
        <v>538</v>
      </c>
      <c r="C170">
        <v>1</v>
      </c>
      <c r="D170">
        <v>4</v>
      </c>
      <c r="E170">
        <v>10.16</v>
      </c>
      <c r="F170" t="s">
        <v>584</v>
      </c>
      <c r="G170" t="s">
        <v>980</v>
      </c>
      <c r="H170" s="9" t="s">
        <v>1071</v>
      </c>
      <c r="I170">
        <f t="shared" si="11"/>
        <v>40.64</v>
      </c>
      <c r="J170">
        <f t="shared" si="9"/>
        <v>18.433993916800002</v>
      </c>
      <c r="K170">
        <v>3.33</v>
      </c>
      <c r="L170">
        <f t="shared" si="10"/>
        <v>61.38519974294401</v>
      </c>
    </row>
    <row r="171" spans="1:12" x14ac:dyDescent="0.2">
      <c r="A171" s="4">
        <v>43500</v>
      </c>
      <c r="B171" t="s">
        <v>538</v>
      </c>
      <c r="C171">
        <v>6</v>
      </c>
      <c r="D171">
        <v>2</v>
      </c>
      <c r="E171">
        <f>1.5*9.59</f>
        <v>14.385</v>
      </c>
      <c r="F171" t="s">
        <v>563</v>
      </c>
      <c r="G171" t="s">
        <v>980</v>
      </c>
      <c r="H171" s="9" t="s">
        <v>1071</v>
      </c>
      <c r="I171">
        <f t="shared" si="11"/>
        <v>172.62</v>
      </c>
      <c r="J171">
        <f t="shared" si="9"/>
        <v>78.299114909400004</v>
      </c>
      <c r="K171">
        <v>3.33</v>
      </c>
      <c r="L171">
        <f t="shared" si="10"/>
        <v>260.73605264830201</v>
      </c>
    </row>
    <row r="172" spans="1:12" x14ac:dyDescent="0.2">
      <c r="A172" s="4">
        <v>43503</v>
      </c>
      <c r="B172" t="s">
        <v>538</v>
      </c>
      <c r="C172">
        <v>1</v>
      </c>
      <c r="D172">
        <v>24</v>
      </c>
      <c r="E172">
        <v>0.3125</v>
      </c>
      <c r="F172" t="s">
        <v>585</v>
      </c>
      <c r="G172" t="s">
        <v>980</v>
      </c>
      <c r="H172" s="9" t="s">
        <v>1071</v>
      </c>
      <c r="I172">
        <f t="shared" si="11"/>
        <v>7.5</v>
      </c>
      <c r="J172">
        <f t="shared" si="9"/>
        <v>3.4019427750000002</v>
      </c>
      <c r="K172">
        <v>3.33</v>
      </c>
      <c r="L172">
        <f t="shared" si="10"/>
        <v>11.32846944075</v>
      </c>
    </row>
    <row r="173" spans="1:12" x14ac:dyDescent="0.2">
      <c r="A173" s="4">
        <v>43503</v>
      </c>
      <c r="B173" t="s">
        <v>538</v>
      </c>
      <c r="C173">
        <v>1</v>
      </c>
      <c r="D173">
        <v>24</v>
      </c>
      <c r="E173">
        <f>6/16</f>
        <v>0.375</v>
      </c>
      <c r="F173" t="s">
        <v>594</v>
      </c>
      <c r="G173" t="s">
        <v>980</v>
      </c>
      <c r="H173" s="9" t="s">
        <v>1071</v>
      </c>
      <c r="I173">
        <f t="shared" si="11"/>
        <v>9</v>
      </c>
      <c r="J173">
        <f t="shared" si="9"/>
        <v>4.0823313299999997</v>
      </c>
      <c r="K173">
        <v>3.33</v>
      </c>
      <c r="L173">
        <f t="shared" si="10"/>
        <v>13.594163328899999</v>
      </c>
    </row>
    <row r="174" spans="1:12" x14ac:dyDescent="0.2">
      <c r="A174" s="4">
        <v>43503</v>
      </c>
      <c r="B174" t="s">
        <v>538</v>
      </c>
      <c r="C174">
        <v>1</v>
      </c>
      <c r="D174">
        <v>4</v>
      </c>
      <c r="E174">
        <v>11.68</v>
      </c>
      <c r="F174" t="s">
        <v>585</v>
      </c>
      <c r="G174" t="s">
        <v>980</v>
      </c>
      <c r="H174" s="9" t="s">
        <v>1071</v>
      </c>
      <c r="I174">
        <f t="shared" si="11"/>
        <v>46.72</v>
      </c>
      <c r="J174">
        <f t="shared" si="9"/>
        <v>21.191835526400002</v>
      </c>
      <c r="K174">
        <v>3.33</v>
      </c>
      <c r="L174">
        <f t="shared" si="10"/>
        <v>70.568812302912008</v>
      </c>
    </row>
    <row r="175" spans="1:12" x14ac:dyDescent="0.2">
      <c r="A175" s="4">
        <v>43500</v>
      </c>
      <c r="B175" t="s">
        <v>538</v>
      </c>
      <c r="C175">
        <v>2</v>
      </c>
      <c r="D175">
        <v>4</v>
      </c>
      <c r="E175">
        <v>11.68</v>
      </c>
      <c r="F175" t="s">
        <v>585</v>
      </c>
      <c r="G175" t="s">
        <v>980</v>
      </c>
      <c r="H175" s="9" t="s">
        <v>1071</v>
      </c>
      <c r="I175">
        <f t="shared" si="11"/>
        <v>93.44</v>
      </c>
      <c r="J175">
        <f t="shared" si="9"/>
        <v>42.383671052800004</v>
      </c>
      <c r="K175">
        <v>3.33</v>
      </c>
      <c r="L175">
        <f t="shared" si="10"/>
        <v>141.13762460582402</v>
      </c>
    </row>
    <row r="176" spans="1:12" x14ac:dyDescent="0.2">
      <c r="A176" s="4">
        <v>43500</v>
      </c>
      <c r="B176" t="s">
        <v>538</v>
      </c>
      <c r="C176">
        <v>3</v>
      </c>
      <c r="D176">
        <v>4</v>
      </c>
      <c r="E176">
        <v>7.79</v>
      </c>
      <c r="F176" t="s">
        <v>543</v>
      </c>
      <c r="G176" t="s">
        <v>1089</v>
      </c>
      <c r="H176" s="9" t="s">
        <v>1073</v>
      </c>
      <c r="I176">
        <f t="shared" si="11"/>
        <v>93.48</v>
      </c>
      <c r="J176">
        <f t="shared" si="9"/>
        <v>42.4018147476</v>
      </c>
      <c r="K176">
        <v>3.33</v>
      </c>
      <c r="L176">
        <f t="shared" si="10"/>
        <v>141.19804310950801</v>
      </c>
    </row>
    <row r="177" spans="1:12" x14ac:dyDescent="0.2">
      <c r="A177" s="4">
        <v>43497</v>
      </c>
      <c r="B177" t="s">
        <v>538</v>
      </c>
      <c r="C177">
        <v>1</v>
      </c>
      <c r="D177">
        <v>24</v>
      </c>
      <c r="E177">
        <v>1</v>
      </c>
      <c r="F177" t="s">
        <v>433</v>
      </c>
      <c r="G177" t="s">
        <v>900</v>
      </c>
      <c r="H177" s="9" t="s">
        <v>1071</v>
      </c>
      <c r="I177">
        <f t="shared" si="11"/>
        <v>24</v>
      </c>
      <c r="J177">
        <f t="shared" si="9"/>
        <v>10.886216880000001</v>
      </c>
      <c r="K177">
        <v>0.76</v>
      </c>
      <c r="L177">
        <f t="shared" si="10"/>
        <v>8.2735248288000012</v>
      </c>
    </row>
    <row r="178" spans="1:12" x14ac:dyDescent="0.2">
      <c r="A178" s="4">
        <v>43503</v>
      </c>
      <c r="B178" t="s">
        <v>538</v>
      </c>
      <c r="C178">
        <v>1</v>
      </c>
      <c r="D178">
        <v>24</v>
      </c>
      <c r="E178">
        <v>1</v>
      </c>
      <c r="F178" t="s">
        <v>433</v>
      </c>
      <c r="G178" t="s">
        <v>900</v>
      </c>
      <c r="H178" s="9" t="s">
        <v>1071</v>
      </c>
      <c r="I178">
        <f t="shared" si="11"/>
        <v>24</v>
      </c>
      <c r="J178">
        <f t="shared" si="9"/>
        <v>10.886216880000001</v>
      </c>
      <c r="K178">
        <v>0.76</v>
      </c>
      <c r="L178">
        <f t="shared" si="10"/>
        <v>8.2735248288000012</v>
      </c>
    </row>
    <row r="179" spans="1:12" x14ac:dyDescent="0.2">
      <c r="A179" s="4">
        <v>43503</v>
      </c>
      <c r="B179" t="s">
        <v>538</v>
      </c>
      <c r="C179">
        <v>1</v>
      </c>
      <c r="D179">
        <v>500</v>
      </c>
      <c r="E179" s="6" t="s">
        <v>1088</v>
      </c>
      <c r="F179" s="6" t="s">
        <v>430</v>
      </c>
      <c r="G179" s="6" t="s">
        <v>881</v>
      </c>
      <c r="H179" s="9" t="s">
        <v>1071</v>
      </c>
      <c r="I179">
        <v>0</v>
      </c>
      <c r="J179">
        <f t="shared" si="9"/>
        <v>0</v>
      </c>
      <c r="K179">
        <v>2.5299999999999998</v>
      </c>
      <c r="L179">
        <f t="shared" si="10"/>
        <v>0</v>
      </c>
    </row>
    <row r="180" spans="1:12" x14ac:dyDescent="0.2">
      <c r="A180" s="4">
        <v>43497</v>
      </c>
      <c r="B180" t="s">
        <v>538</v>
      </c>
      <c r="C180">
        <v>1</v>
      </c>
      <c r="D180">
        <v>6</v>
      </c>
      <c r="E180">
        <v>30.0625</v>
      </c>
      <c r="F180" t="s">
        <v>680</v>
      </c>
      <c r="G180" t="s">
        <v>1047</v>
      </c>
      <c r="H180" s="9" t="s">
        <v>1071</v>
      </c>
      <c r="I180">
        <f t="shared" ref="I180:I211" si="12">C180*D180*E180</f>
        <v>180.375</v>
      </c>
      <c r="J180">
        <f t="shared" si="9"/>
        <v>81.816723738750014</v>
      </c>
      <c r="K180">
        <v>2.5299999999999998</v>
      </c>
      <c r="L180">
        <f t="shared" si="10"/>
        <v>206.99631105903751</v>
      </c>
    </row>
    <row r="181" spans="1:12" x14ac:dyDescent="0.2">
      <c r="A181" s="4">
        <v>43497</v>
      </c>
      <c r="B181" t="s">
        <v>538</v>
      </c>
      <c r="C181">
        <v>1</v>
      </c>
      <c r="D181">
        <v>1</v>
      </c>
      <c r="E181">
        <v>10</v>
      </c>
      <c r="F181" t="s">
        <v>454</v>
      </c>
      <c r="G181" t="s">
        <v>1053</v>
      </c>
      <c r="H181" s="9" t="s">
        <v>1071</v>
      </c>
      <c r="I181">
        <f t="shared" si="12"/>
        <v>10</v>
      </c>
      <c r="J181">
        <f t="shared" si="9"/>
        <v>4.5359237000000006</v>
      </c>
      <c r="K181">
        <v>3.8250000000000002</v>
      </c>
      <c r="L181">
        <f t="shared" si="10"/>
        <v>17.349908152500003</v>
      </c>
    </row>
    <row r="182" spans="1:12" x14ac:dyDescent="0.2">
      <c r="A182" s="4">
        <v>43500</v>
      </c>
      <c r="B182" t="s">
        <v>538</v>
      </c>
      <c r="C182">
        <v>1</v>
      </c>
      <c r="D182">
        <v>1</v>
      </c>
      <c r="E182">
        <v>10</v>
      </c>
      <c r="F182" t="s">
        <v>454</v>
      </c>
      <c r="G182" t="s">
        <v>1053</v>
      </c>
      <c r="H182" s="9" t="s">
        <v>1071</v>
      </c>
      <c r="I182">
        <f t="shared" si="12"/>
        <v>10</v>
      </c>
      <c r="J182">
        <f t="shared" si="9"/>
        <v>4.5359237000000006</v>
      </c>
      <c r="K182">
        <v>3.8250000000000002</v>
      </c>
      <c r="L182">
        <f t="shared" si="10"/>
        <v>17.349908152500003</v>
      </c>
    </row>
    <row r="183" spans="1:12" x14ac:dyDescent="0.2">
      <c r="A183" s="4">
        <v>43497</v>
      </c>
      <c r="B183" t="s">
        <v>517</v>
      </c>
      <c r="C183">
        <v>2</v>
      </c>
      <c r="D183">
        <v>1</v>
      </c>
      <c r="E183">
        <v>2</v>
      </c>
      <c r="F183" t="s">
        <v>380</v>
      </c>
      <c r="G183" t="s">
        <v>841</v>
      </c>
      <c r="H183" s="9" t="s">
        <v>1073</v>
      </c>
      <c r="I183">
        <f t="shared" si="12"/>
        <v>4</v>
      </c>
      <c r="J183">
        <f t="shared" si="9"/>
        <v>1.8143694800000001</v>
      </c>
      <c r="K183">
        <v>5.2</v>
      </c>
      <c r="L183">
        <f t="shared" si="10"/>
        <v>9.4347212960000011</v>
      </c>
    </row>
    <row r="184" spans="1:12" x14ac:dyDescent="0.2">
      <c r="A184" s="4">
        <v>43503</v>
      </c>
      <c r="B184" t="s">
        <v>48</v>
      </c>
      <c r="C184" s="28">
        <v>2</v>
      </c>
      <c r="D184" s="35">
        <v>1</v>
      </c>
      <c r="E184">
        <f>10/9*(50)</f>
        <v>55.555555555555557</v>
      </c>
      <c r="F184" t="s">
        <v>620</v>
      </c>
      <c r="G184" t="s">
        <v>620</v>
      </c>
      <c r="H184" s="9" t="s">
        <v>1071</v>
      </c>
      <c r="I184">
        <f t="shared" si="12"/>
        <v>111.11111111111111</v>
      </c>
      <c r="J184">
        <f t="shared" si="9"/>
        <v>50.399152222222227</v>
      </c>
      <c r="K184">
        <v>0.40899999999999997</v>
      </c>
      <c r="L184">
        <f t="shared" si="10"/>
        <v>20.613253258888889</v>
      </c>
    </row>
    <row r="185" spans="1:12" x14ac:dyDescent="0.2">
      <c r="A185" s="4">
        <v>43502</v>
      </c>
      <c r="B185" t="s">
        <v>48</v>
      </c>
      <c r="C185" s="28">
        <v>1</v>
      </c>
      <c r="D185" s="35">
        <v>1</v>
      </c>
      <c r="E185">
        <f>10/9*(50)</f>
        <v>55.555555555555557</v>
      </c>
      <c r="F185" t="s">
        <v>620</v>
      </c>
      <c r="G185" t="s">
        <v>620</v>
      </c>
      <c r="H185" s="9" t="s">
        <v>1071</v>
      </c>
      <c r="I185">
        <f t="shared" si="12"/>
        <v>55.555555555555557</v>
      </c>
      <c r="J185">
        <f t="shared" si="9"/>
        <v>25.199576111111114</v>
      </c>
      <c r="K185">
        <v>0.40899999999999997</v>
      </c>
      <c r="L185">
        <f t="shared" si="10"/>
        <v>10.306626629444445</v>
      </c>
    </row>
    <row r="186" spans="1:12" x14ac:dyDescent="0.2">
      <c r="A186" s="4">
        <v>43500</v>
      </c>
      <c r="B186" t="s">
        <v>48</v>
      </c>
      <c r="C186" s="28">
        <v>1</v>
      </c>
      <c r="D186" s="35">
        <v>1</v>
      </c>
      <c r="E186">
        <f>10/9*(50)</f>
        <v>55.555555555555557</v>
      </c>
      <c r="F186" t="s">
        <v>620</v>
      </c>
      <c r="G186" t="s">
        <v>620</v>
      </c>
      <c r="H186" s="9" t="s">
        <v>1071</v>
      </c>
      <c r="I186">
        <f t="shared" si="12"/>
        <v>55.555555555555557</v>
      </c>
      <c r="J186">
        <f t="shared" si="9"/>
        <v>25.199576111111114</v>
      </c>
      <c r="K186">
        <v>0.40899999999999997</v>
      </c>
      <c r="L186">
        <f t="shared" si="10"/>
        <v>10.306626629444445</v>
      </c>
    </row>
    <row r="187" spans="1:12" x14ac:dyDescent="0.2">
      <c r="A187" s="4">
        <v>43497</v>
      </c>
      <c r="B187" t="s">
        <v>48</v>
      </c>
      <c r="C187" s="28">
        <v>2</v>
      </c>
      <c r="D187" s="35">
        <v>1</v>
      </c>
      <c r="E187">
        <f>10/9*(50)</f>
        <v>55.555555555555557</v>
      </c>
      <c r="F187" t="s">
        <v>620</v>
      </c>
      <c r="G187" t="s">
        <v>620</v>
      </c>
      <c r="H187" s="9" t="s">
        <v>1071</v>
      </c>
      <c r="I187">
        <f t="shared" si="12"/>
        <v>111.11111111111111</v>
      </c>
      <c r="J187">
        <f t="shared" si="9"/>
        <v>50.399152222222227</v>
      </c>
      <c r="K187">
        <v>0.40899999999999997</v>
      </c>
      <c r="L187">
        <f t="shared" si="10"/>
        <v>20.613253258888889</v>
      </c>
    </row>
    <row r="188" spans="1:12" x14ac:dyDescent="0.2">
      <c r="A188" s="4">
        <v>43497</v>
      </c>
      <c r="B188" t="s">
        <v>538</v>
      </c>
      <c r="C188">
        <v>1</v>
      </c>
      <c r="D188">
        <v>4</v>
      </c>
      <c r="E188">
        <v>8.4700000000000006</v>
      </c>
      <c r="F188" t="s">
        <v>738</v>
      </c>
      <c r="G188" s="6" t="s">
        <v>998</v>
      </c>
      <c r="H188" s="9" t="s">
        <v>1071</v>
      </c>
      <c r="I188">
        <f t="shared" si="12"/>
        <v>33.880000000000003</v>
      </c>
      <c r="J188">
        <f t="shared" si="9"/>
        <v>15.367709495600002</v>
      </c>
      <c r="K188">
        <v>3.33</v>
      </c>
      <c r="L188">
        <f t="shared" si="10"/>
        <v>51.174472620348006</v>
      </c>
    </row>
    <row r="189" spans="1:12" x14ac:dyDescent="0.2">
      <c r="A189" s="4">
        <v>43497</v>
      </c>
      <c r="B189" t="s">
        <v>517</v>
      </c>
      <c r="C189">
        <v>18</v>
      </c>
      <c r="D189">
        <v>2</v>
      </c>
      <c r="E189">
        <v>20</v>
      </c>
      <c r="F189" t="s">
        <v>381</v>
      </c>
      <c r="G189" t="s">
        <v>843</v>
      </c>
      <c r="H189" s="9" t="s">
        <v>1073</v>
      </c>
      <c r="I189">
        <f t="shared" si="12"/>
        <v>720</v>
      </c>
      <c r="J189">
        <f t="shared" si="9"/>
        <v>326.58650640000002</v>
      </c>
      <c r="K189">
        <v>3.754</v>
      </c>
      <c r="L189">
        <f t="shared" si="10"/>
        <v>1226.0057450256002</v>
      </c>
    </row>
    <row r="190" spans="1:12" x14ac:dyDescent="0.2">
      <c r="A190" s="4">
        <v>43497</v>
      </c>
      <c r="B190" t="s">
        <v>517</v>
      </c>
      <c r="C190">
        <v>2</v>
      </c>
      <c r="D190">
        <v>15</v>
      </c>
      <c r="E190">
        <v>2</v>
      </c>
      <c r="F190" t="s">
        <v>385</v>
      </c>
      <c r="G190" t="s">
        <v>843</v>
      </c>
      <c r="H190" s="9" t="s">
        <v>1073</v>
      </c>
      <c r="I190">
        <f t="shared" si="12"/>
        <v>60</v>
      </c>
      <c r="J190">
        <f t="shared" si="9"/>
        <v>27.215542200000002</v>
      </c>
      <c r="K190">
        <v>3.754</v>
      </c>
      <c r="L190">
        <f t="shared" si="10"/>
        <v>102.1671454188</v>
      </c>
    </row>
    <row r="191" spans="1:12" x14ac:dyDescent="0.2">
      <c r="A191" s="4">
        <v>43497</v>
      </c>
      <c r="B191" t="s">
        <v>517</v>
      </c>
      <c r="C191">
        <v>3</v>
      </c>
      <c r="D191">
        <v>1</v>
      </c>
      <c r="E191">
        <f>15*(24/16)</f>
        <v>22.5</v>
      </c>
      <c r="F191" t="s">
        <v>731</v>
      </c>
      <c r="G191" t="s">
        <v>843</v>
      </c>
      <c r="H191" s="9" t="s">
        <v>1073</v>
      </c>
      <c r="I191">
        <f t="shared" si="12"/>
        <v>67.5</v>
      </c>
      <c r="J191">
        <f t="shared" si="9"/>
        <v>30.617484975</v>
      </c>
      <c r="K191">
        <v>3.754</v>
      </c>
      <c r="L191">
        <f t="shared" si="10"/>
        <v>114.93803859614999</v>
      </c>
    </row>
    <row r="192" spans="1:12" x14ac:dyDescent="0.2">
      <c r="A192" s="4">
        <v>43500</v>
      </c>
      <c r="B192" t="s">
        <v>517</v>
      </c>
      <c r="C192">
        <v>8</v>
      </c>
      <c r="D192">
        <v>2</v>
      </c>
      <c r="E192">
        <v>20</v>
      </c>
      <c r="F192" t="s">
        <v>381</v>
      </c>
      <c r="G192" t="s">
        <v>843</v>
      </c>
      <c r="H192" s="9" t="s">
        <v>1073</v>
      </c>
      <c r="I192">
        <f t="shared" si="12"/>
        <v>320</v>
      </c>
      <c r="J192">
        <f t="shared" si="9"/>
        <v>145.14955840000002</v>
      </c>
      <c r="K192">
        <v>3.754</v>
      </c>
      <c r="L192">
        <f t="shared" si="10"/>
        <v>544.89144223360006</v>
      </c>
    </row>
    <row r="193" spans="1:12" x14ac:dyDescent="0.2">
      <c r="A193" s="4">
        <v>43500</v>
      </c>
      <c r="B193" t="s">
        <v>517</v>
      </c>
      <c r="C193">
        <v>2</v>
      </c>
      <c r="D193">
        <v>15</v>
      </c>
      <c r="E193">
        <v>2</v>
      </c>
      <c r="F193" t="s">
        <v>385</v>
      </c>
      <c r="G193" t="s">
        <v>843</v>
      </c>
      <c r="H193" s="9" t="s">
        <v>1073</v>
      </c>
      <c r="I193">
        <f t="shared" si="12"/>
        <v>60</v>
      </c>
      <c r="J193">
        <f t="shared" si="9"/>
        <v>27.215542200000002</v>
      </c>
      <c r="K193">
        <v>3.754</v>
      </c>
      <c r="L193">
        <f t="shared" si="10"/>
        <v>102.1671454188</v>
      </c>
    </row>
    <row r="194" spans="1:12" x14ac:dyDescent="0.2">
      <c r="A194" s="4">
        <v>43500</v>
      </c>
      <c r="B194" t="s">
        <v>517</v>
      </c>
      <c r="C194">
        <v>2</v>
      </c>
      <c r="D194">
        <v>15</v>
      </c>
      <c r="E194">
        <f>24/16</f>
        <v>1.5</v>
      </c>
      <c r="F194" t="s">
        <v>386</v>
      </c>
      <c r="G194" t="s">
        <v>843</v>
      </c>
      <c r="H194" s="9" t="s">
        <v>1073</v>
      </c>
      <c r="I194">
        <f t="shared" si="12"/>
        <v>45</v>
      </c>
      <c r="J194">
        <f t="shared" si="9"/>
        <v>20.411656650000001</v>
      </c>
      <c r="K194">
        <v>3.754</v>
      </c>
      <c r="L194">
        <f t="shared" si="10"/>
        <v>76.62535906410001</v>
      </c>
    </row>
    <row r="195" spans="1:12" x14ac:dyDescent="0.2">
      <c r="A195" s="4">
        <v>43503</v>
      </c>
      <c r="B195" t="s">
        <v>517</v>
      </c>
      <c r="C195">
        <v>3</v>
      </c>
      <c r="D195">
        <v>2</v>
      </c>
      <c r="E195">
        <v>20</v>
      </c>
      <c r="F195" t="s">
        <v>381</v>
      </c>
      <c r="G195" t="s">
        <v>843</v>
      </c>
      <c r="H195" s="9" t="s">
        <v>1073</v>
      </c>
      <c r="I195">
        <f t="shared" si="12"/>
        <v>120</v>
      </c>
      <c r="J195">
        <f t="shared" ref="J195:J258" si="13">CONVERT(I195,"lbm","kg")</f>
        <v>54.431084400000003</v>
      </c>
      <c r="K195">
        <v>3.754</v>
      </c>
      <c r="L195">
        <f t="shared" ref="L195:L258" si="14">J195*K195</f>
        <v>204.33429083760001</v>
      </c>
    </row>
    <row r="196" spans="1:12" x14ac:dyDescent="0.2">
      <c r="A196" s="4">
        <v>43503</v>
      </c>
      <c r="B196" t="s">
        <v>48</v>
      </c>
      <c r="C196" s="28">
        <v>1</v>
      </c>
      <c r="D196" s="35">
        <v>1</v>
      </c>
      <c r="E196">
        <f>10/9*(35)</f>
        <v>38.888888888888893</v>
      </c>
      <c r="F196" t="s">
        <v>302</v>
      </c>
      <c r="G196" t="s">
        <v>785</v>
      </c>
      <c r="H196" s="9" t="s">
        <v>1071</v>
      </c>
      <c r="I196">
        <f t="shared" si="12"/>
        <v>38.888888888888893</v>
      </c>
      <c r="J196">
        <f t="shared" si="13"/>
        <v>17.63970327777778</v>
      </c>
      <c r="K196">
        <v>0.52600000000000002</v>
      </c>
      <c r="L196">
        <f t="shared" si="14"/>
        <v>9.2784839241111126</v>
      </c>
    </row>
    <row r="197" spans="1:12" x14ac:dyDescent="0.2">
      <c r="A197" s="4">
        <v>43502</v>
      </c>
      <c r="B197" t="s">
        <v>48</v>
      </c>
      <c r="C197" s="28">
        <v>2</v>
      </c>
      <c r="D197" s="35">
        <v>1</v>
      </c>
      <c r="E197">
        <f>10/9*(35)</f>
        <v>38.888888888888893</v>
      </c>
      <c r="F197" t="s">
        <v>621</v>
      </c>
      <c r="G197" t="s">
        <v>785</v>
      </c>
      <c r="H197" s="9" t="s">
        <v>1071</v>
      </c>
      <c r="I197">
        <f t="shared" si="12"/>
        <v>77.777777777777786</v>
      </c>
      <c r="J197">
        <f t="shared" si="13"/>
        <v>35.27940655555556</v>
      </c>
      <c r="K197">
        <v>0.52600000000000002</v>
      </c>
      <c r="L197">
        <f t="shared" si="14"/>
        <v>18.556967848222225</v>
      </c>
    </row>
    <row r="198" spans="1:12" x14ac:dyDescent="0.2">
      <c r="A198" s="4">
        <v>43502</v>
      </c>
      <c r="B198" t="s">
        <v>48</v>
      </c>
      <c r="C198" s="28">
        <v>0</v>
      </c>
      <c r="D198" s="35">
        <v>1</v>
      </c>
      <c r="E198">
        <v>10</v>
      </c>
      <c r="F198" t="s">
        <v>713</v>
      </c>
      <c r="G198" t="s">
        <v>785</v>
      </c>
      <c r="H198" s="9" t="s">
        <v>1071</v>
      </c>
      <c r="I198">
        <f t="shared" si="12"/>
        <v>0</v>
      </c>
      <c r="J198">
        <f t="shared" si="13"/>
        <v>0</v>
      </c>
      <c r="K198">
        <v>0.52600000000000002</v>
      </c>
      <c r="L198">
        <f t="shared" si="14"/>
        <v>0</v>
      </c>
    </row>
    <row r="199" spans="1:12" x14ac:dyDescent="0.2">
      <c r="A199" s="4">
        <v>43500</v>
      </c>
      <c r="B199" t="s">
        <v>48</v>
      </c>
      <c r="C199" s="28">
        <v>2</v>
      </c>
      <c r="D199" s="35">
        <v>1</v>
      </c>
      <c r="E199">
        <f>10/9*(35)</f>
        <v>38.888888888888893</v>
      </c>
      <c r="F199" t="s">
        <v>621</v>
      </c>
      <c r="G199" t="s">
        <v>785</v>
      </c>
      <c r="H199" s="9" t="s">
        <v>1071</v>
      </c>
      <c r="I199">
        <f t="shared" si="12"/>
        <v>77.777777777777786</v>
      </c>
      <c r="J199">
        <f t="shared" si="13"/>
        <v>35.27940655555556</v>
      </c>
      <c r="K199">
        <v>0.52600000000000002</v>
      </c>
      <c r="L199">
        <f t="shared" si="14"/>
        <v>18.556967848222225</v>
      </c>
    </row>
    <row r="200" spans="1:12" x14ac:dyDescent="0.2">
      <c r="A200" s="4">
        <v>43497</v>
      </c>
      <c r="B200" t="s">
        <v>48</v>
      </c>
      <c r="C200" s="28">
        <v>2</v>
      </c>
      <c r="D200" s="35">
        <v>1</v>
      </c>
      <c r="E200">
        <f>10/9*(35)</f>
        <v>38.888888888888893</v>
      </c>
      <c r="F200" t="s">
        <v>621</v>
      </c>
      <c r="G200" t="s">
        <v>785</v>
      </c>
      <c r="H200" s="9" t="s">
        <v>1071</v>
      </c>
      <c r="I200">
        <f t="shared" si="12"/>
        <v>77.777777777777786</v>
      </c>
      <c r="J200">
        <f t="shared" si="13"/>
        <v>35.27940655555556</v>
      </c>
      <c r="K200">
        <v>0.52600000000000002</v>
      </c>
      <c r="L200">
        <f t="shared" si="14"/>
        <v>18.556967848222225</v>
      </c>
    </row>
    <row r="201" spans="1:12" x14ac:dyDescent="0.2">
      <c r="A201" s="4">
        <v>43500</v>
      </c>
      <c r="B201" t="s">
        <v>531</v>
      </c>
      <c r="C201">
        <v>6</v>
      </c>
      <c r="D201">
        <v>72</v>
      </c>
      <c r="E201">
        <f>3/16</f>
        <v>0.1875</v>
      </c>
      <c r="F201" t="s">
        <v>751</v>
      </c>
      <c r="G201" s="6" t="s">
        <v>1000</v>
      </c>
      <c r="H201" s="9" t="s">
        <v>1071</v>
      </c>
      <c r="I201">
        <f t="shared" si="12"/>
        <v>81</v>
      </c>
      <c r="J201">
        <f t="shared" si="13"/>
        <v>36.74098197</v>
      </c>
      <c r="K201">
        <v>3.46</v>
      </c>
      <c r="L201">
        <f t="shared" si="14"/>
        <v>127.12379761619999</v>
      </c>
    </row>
    <row r="202" spans="1:12" x14ac:dyDescent="0.2">
      <c r="A202" s="4">
        <v>43497</v>
      </c>
      <c r="B202" t="s">
        <v>538</v>
      </c>
      <c r="C202">
        <v>1</v>
      </c>
      <c r="D202">
        <v>6</v>
      </c>
      <c r="E202">
        <v>0.125</v>
      </c>
      <c r="F202" t="s">
        <v>664</v>
      </c>
      <c r="G202" s="14" t="s">
        <v>931</v>
      </c>
      <c r="H202" s="9" t="s">
        <v>1071</v>
      </c>
      <c r="I202">
        <f t="shared" si="12"/>
        <v>0.75</v>
      </c>
      <c r="J202">
        <f t="shared" si="13"/>
        <v>0.34019427750000003</v>
      </c>
      <c r="L202">
        <f t="shared" si="14"/>
        <v>0</v>
      </c>
    </row>
    <row r="203" spans="1:12" x14ac:dyDescent="0.2">
      <c r="A203" s="4">
        <v>43500</v>
      </c>
      <c r="B203" t="s">
        <v>48</v>
      </c>
      <c r="C203" s="28">
        <v>1</v>
      </c>
      <c r="D203" s="35">
        <v>1</v>
      </c>
      <c r="E203">
        <f>24*(3.07/16)</f>
        <v>4.6049999999999995</v>
      </c>
      <c r="F203" t="s">
        <v>720</v>
      </c>
      <c r="G203" t="s">
        <v>720</v>
      </c>
      <c r="H203" s="9" t="s">
        <v>1071</v>
      </c>
      <c r="I203">
        <f t="shared" si="12"/>
        <v>4.6049999999999995</v>
      </c>
      <c r="J203">
        <f t="shared" si="13"/>
        <v>2.0887928638499997</v>
      </c>
      <c r="K203">
        <v>0.33100000000000002</v>
      </c>
      <c r="L203">
        <f t="shared" si="14"/>
        <v>0.69139043793434996</v>
      </c>
    </row>
    <row r="204" spans="1:12" x14ac:dyDescent="0.2">
      <c r="A204" s="4">
        <v>43497</v>
      </c>
      <c r="B204" t="s">
        <v>527</v>
      </c>
      <c r="C204">
        <v>10</v>
      </c>
      <c r="D204">
        <v>1</v>
      </c>
      <c r="E204">
        <v>10</v>
      </c>
      <c r="F204" t="s">
        <v>1012</v>
      </c>
      <c r="G204" t="s">
        <v>1044</v>
      </c>
      <c r="H204" s="9" t="s">
        <v>1072</v>
      </c>
      <c r="I204">
        <f t="shared" si="12"/>
        <v>100</v>
      </c>
      <c r="J204">
        <f t="shared" si="13"/>
        <v>45.359237</v>
      </c>
      <c r="K204">
        <v>3.0209999999999999</v>
      </c>
      <c r="L204">
        <f t="shared" si="14"/>
        <v>137.030254977</v>
      </c>
    </row>
    <row r="205" spans="1:12" x14ac:dyDescent="0.2">
      <c r="A205" s="4">
        <v>43500</v>
      </c>
      <c r="B205" t="s">
        <v>527</v>
      </c>
      <c r="C205">
        <v>6</v>
      </c>
      <c r="D205">
        <v>1</v>
      </c>
      <c r="E205">
        <v>10</v>
      </c>
      <c r="F205" t="s">
        <v>528</v>
      </c>
      <c r="G205" t="s">
        <v>1044</v>
      </c>
      <c r="H205" s="9" t="s">
        <v>1072</v>
      </c>
      <c r="I205">
        <f t="shared" si="12"/>
        <v>60</v>
      </c>
      <c r="J205">
        <f t="shared" si="13"/>
        <v>27.215542200000002</v>
      </c>
      <c r="K205">
        <v>3.0209999999999999</v>
      </c>
      <c r="L205">
        <f t="shared" si="14"/>
        <v>82.218152986199996</v>
      </c>
    </row>
    <row r="206" spans="1:12" x14ac:dyDescent="0.2">
      <c r="A206" s="4">
        <v>43500</v>
      </c>
      <c r="B206" t="s">
        <v>527</v>
      </c>
      <c r="C206">
        <v>6</v>
      </c>
      <c r="D206">
        <v>1</v>
      </c>
      <c r="E206">
        <v>10</v>
      </c>
      <c r="F206" t="s">
        <v>1012</v>
      </c>
      <c r="G206" t="s">
        <v>1044</v>
      </c>
      <c r="H206" s="9" t="s">
        <v>1072</v>
      </c>
      <c r="I206">
        <f t="shared" si="12"/>
        <v>60</v>
      </c>
      <c r="J206">
        <f t="shared" si="13"/>
        <v>27.215542200000002</v>
      </c>
      <c r="K206">
        <v>3.0209999999999999</v>
      </c>
      <c r="L206">
        <f t="shared" si="14"/>
        <v>82.218152986199996</v>
      </c>
    </row>
    <row r="207" spans="1:12" x14ac:dyDescent="0.2">
      <c r="A207" s="4">
        <v>43500</v>
      </c>
      <c r="B207" t="s">
        <v>527</v>
      </c>
      <c r="C207">
        <v>6</v>
      </c>
      <c r="D207">
        <v>1</v>
      </c>
      <c r="E207">
        <v>10</v>
      </c>
      <c r="F207" t="s">
        <v>399</v>
      </c>
      <c r="G207" t="s">
        <v>1044</v>
      </c>
      <c r="H207" s="9" t="s">
        <v>1072</v>
      </c>
      <c r="I207">
        <f t="shared" si="12"/>
        <v>60</v>
      </c>
      <c r="J207">
        <f t="shared" si="13"/>
        <v>27.215542200000002</v>
      </c>
      <c r="K207">
        <v>3.0209999999999999</v>
      </c>
      <c r="L207">
        <f t="shared" si="14"/>
        <v>82.218152986199996</v>
      </c>
    </row>
    <row r="208" spans="1:12" x14ac:dyDescent="0.2">
      <c r="A208" s="4">
        <v>43503</v>
      </c>
      <c r="B208" t="s">
        <v>527</v>
      </c>
      <c r="C208">
        <v>9</v>
      </c>
      <c r="D208">
        <v>1</v>
      </c>
      <c r="E208">
        <v>10</v>
      </c>
      <c r="F208" t="s">
        <v>528</v>
      </c>
      <c r="G208" t="s">
        <v>1044</v>
      </c>
      <c r="H208" s="9" t="s">
        <v>1072</v>
      </c>
      <c r="I208">
        <f t="shared" si="12"/>
        <v>90</v>
      </c>
      <c r="J208">
        <f t="shared" si="13"/>
        <v>40.823313300000002</v>
      </c>
      <c r="K208">
        <v>3.0209999999999999</v>
      </c>
      <c r="L208">
        <f t="shared" si="14"/>
        <v>123.3272294793</v>
      </c>
    </row>
    <row r="209" spans="1:12" x14ac:dyDescent="0.2">
      <c r="A209" s="4">
        <v>43503</v>
      </c>
      <c r="B209" t="s">
        <v>527</v>
      </c>
      <c r="C209">
        <v>8</v>
      </c>
      <c r="D209">
        <v>1</v>
      </c>
      <c r="E209">
        <v>10</v>
      </c>
      <c r="F209" t="s">
        <v>399</v>
      </c>
      <c r="G209" t="s">
        <v>1044</v>
      </c>
      <c r="H209" s="9" t="s">
        <v>1072</v>
      </c>
      <c r="I209">
        <f t="shared" si="12"/>
        <v>80</v>
      </c>
      <c r="J209">
        <f t="shared" si="13"/>
        <v>36.287389600000004</v>
      </c>
      <c r="K209">
        <v>3.0209999999999999</v>
      </c>
      <c r="L209">
        <f t="shared" si="14"/>
        <v>109.6242039816</v>
      </c>
    </row>
    <row r="210" spans="1:12" x14ac:dyDescent="0.2">
      <c r="A210" s="4">
        <v>43497</v>
      </c>
      <c r="B210" t="s">
        <v>538</v>
      </c>
      <c r="C210">
        <v>4</v>
      </c>
      <c r="D210">
        <v>1</v>
      </c>
      <c r="E210">
        <v>50</v>
      </c>
      <c r="F210" t="s">
        <v>431</v>
      </c>
      <c r="G210" t="s">
        <v>863</v>
      </c>
      <c r="H210" s="9" t="s">
        <v>1071</v>
      </c>
      <c r="I210">
        <f t="shared" si="12"/>
        <v>200</v>
      </c>
      <c r="J210">
        <f t="shared" si="13"/>
        <v>90.718474000000001</v>
      </c>
      <c r="K210">
        <v>0.35799999999999998</v>
      </c>
      <c r="L210">
        <f t="shared" si="14"/>
        <v>32.477213691999999</v>
      </c>
    </row>
    <row r="211" spans="1:12" x14ac:dyDescent="0.2">
      <c r="A211" s="4">
        <v>43500</v>
      </c>
      <c r="B211" t="s">
        <v>538</v>
      </c>
      <c r="C211">
        <v>3</v>
      </c>
      <c r="D211">
        <v>1</v>
      </c>
      <c r="E211">
        <v>50</v>
      </c>
      <c r="F211" t="s">
        <v>431</v>
      </c>
      <c r="G211" t="s">
        <v>863</v>
      </c>
      <c r="H211" s="9" t="s">
        <v>1071</v>
      </c>
      <c r="I211">
        <f t="shared" si="12"/>
        <v>150</v>
      </c>
      <c r="J211">
        <f t="shared" si="13"/>
        <v>68.038855500000011</v>
      </c>
      <c r="K211">
        <v>0.35799999999999998</v>
      </c>
      <c r="L211">
        <f t="shared" si="14"/>
        <v>24.357910269000001</v>
      </c>
    </row>
    <row r="212" spans="1:12" x14ac:dyDescent="0.2">
      <c r="A212" s="4">
        <v>43503</v>
      </c>
      <c r="B212" t="s">
        <v>538</v>
      </c>
      <c r="C212">
        <v>2</v>
      </c>
      <c r="D212">
        <v>1</v>
      </c>
      <c r="E212">
        <v>50</v>
      </c>
      <c r="F212" t="s">
        <v>431</v>
      </c>
      <c r="G212" t="s">
        <v>863</v>
      </c>
      <c r="H212" s="9" t="s">
        <v>1071</v>
      </c>
      <c r="I212">
        <f t="shared" ref="I212:I243" si="15">C212*D212*E212</f>
        <v>100</v>
      </c>
      <c r="J212">
        <f t="shared" si="13"/>
        <v>45.359237</v>
      </c>
      <c r="K212">
        <v>0.35799999999999998</v>
      </c>
      <c r="L212">
        <f t="shared" si="14"/>
        <v>16.238606846</v>
      </c>
    </row>
    <row r="213" spans="1:12" x14ac:dyDescent="0.2">
      <c r="A213" s="4">
        <v>43502</v>
      </c>
      <c r="B213" t="s">
        <v>48</v>
      </c>
      <c r="C213" s="28">
        <v>1</v>
      </c>
      <c r="D213" s="35">
        <v>1</v>
      </c>
      <c r="E213">
        <f>4*4.54</f>
        <v>18.16</v>
      </c>
      <c r="F213" t="s">
        <v>714</v>
      </c>
      <c r="G213" t="s">
        <v>811</v>
      </c>
      <c r="H213" s="9" t="s">
        <v>1071</v>
      </c>
      <c r="I213">
        <f t="shared" si="15"/>
        <v>18.16</v>
      </c>
      <c r="J213">
        <f t="shared" si="13"/>
        <v>8.2372374392000012</v>
      </c>
      <c r="K213">
        <v>0.74299999999999999</v>
      </c>
      <c r="L213">
        <f t="shared" si="14"/>
        <v>6.1202674173256009</v>
      </c>
    </row>
    <row r="214" spans="1:12" x14ac:dyDescent="0.2">
      <c r="A214" s="4">
        <v>43501</v>
      </c>
      <c r="B214" t="s">
        <v>48</v>
      </c>
      <c r="C214" s="28">
        <v>1</v>
      </c>
      <c r="D214" s="35">
        <v>1</v>
      </c>
      <c r="E214">
        <f>4*4.54</f>
        <v>18.16</v>
      </c>
      <c r="F214" t="s">
        <v>303</v>
      </c>
      <c r="G214" t="s">
        <v>811</v>
      </c>
      <c r="H214" s="9" t="s">
        <v>1071</v>
      </c>
      <c r="I214">
        <f t="shared" si="15"/>
        <v>18.16</v>
      </c>
      <c r="J214">
        <f t="shared" si="13"/>
        <v>8.2372374392000012</v>
      </c>
      <c r="K214">
        <v>0.74299999999999999</v>
      </c>
      <c r="L214">
        <f t="shared" si="14"/>
        <v>6.1202674173256009</v>
      </c>
    </row>
    <row r="215" spans="1:12" x14ac:dyDescent="0.2">
      <c r="A215" s="4">
        <v>43500</v>
      </c>
      <c r="B215" t="s">
        <v>48</v>
      </c>
      <c r="C215" s="28">
        <v>2</v>
      </c>
      <c r="D215" s="35">
        <v>1</v>
      </c>
      <c r="E215">
        <v>25</v>
      </c>
      <c r="F215" t="s">
        <v>493</v>
      </c>
      <c r="G215" t="s">
        <v>215</v>
      </c>
      <c r="H215" s="9" t="s">
        <v>1071</v>
      </c>
      <c r="I215">
        <f t="shared" si="15"/>
        <v>50</v>
      </c>
      <c r="J215">
        <f t="shared" si="13"/>
        <v>22.6796185</v>
      </c>
      <c r="K215">
        <v>0.95</v>
      </c>
      <c r="L215">
        <f t="shared" si="14"/>
        <v>21.545637575000001</v>
      </c>
    </row>
    <row r="216" spans="1:12" x14ac:dyDescent="0.2">
      <c r="A216" s="4">
        <v>43503</v>
      </c>
      <c r="B216" t="s">
        <v>48</v>
      </c>
      <c r="C216" s="28">
        <v>8</v>
      </c>
      <c r="D216" s="35">
        <v>1</v>
      </c>
      <c r="E216">
        <v>18</v>
      </c>
      <c r="F216" t="s">
        <v>304</v>
      </c>
      <c r="G216" t="s">
        <v>786</v>
      </c>
      <c r="H216" s="9" t="s">
        <v>1071</v>
      </c>
      <c r="I216">
        <f t="shared" si="15"/>
        <v>144</v>
      </c>
      <c r="J216">
        <f t="shared" si="13"/>
        <v>65.317301279999995</v>
      </c>
      <c r="K216">
        <v>0.47799999999999998</v>
      </c>
      <c r="L216">
        <f t="shared" si="14"/>
        <v>31.221670011839997</v>
      </c>
    </row>
    <row r="217" spans="1:12" x14ac:dyDescent="0.2">
      <c r="A217" s="4">
        <v>43502</v>
      </c>
      <c r="B217" t="s">
        <v>48</v>
      </c>
      <c r="C217" s="28">
        <v>8</v>
      </c>
      <c r="D217" s="35">
        <v>1</v>
      </c>
      <c r="E217">
        <v>18</v>
      </c>
      <c r="F217" t="s">
        <v>304</v>
      </c>
      <c r="G217" t="s">
        <v>786</v>
      </c>
      <c r="H217" s="9" t="s">
        <v>1071</v>
      </c>
      <c r="I217">
        <f t="shared" si="15"/>
        <v>144</v>
      </c>
      <c r="J217">
        <f t="shared" si="13"/>
        <v>65.317301279999995</v>
      </c>
      <c r="K217">
        <v>0.47799999999999998</v>
      </c>
      <c r="L217">
        <f t="shared" si="14"/>
        <v>31.221670011839997</v>
      </c>
    </row>
    <row r="218" spans="1:12" x14ac:dyDescent="0.2">
      <c r="A218" s="4">
        <v>43501</v>
      </c>
      <c r="B218" t="s">
        <v>48</v>
      </c>
      <c r="C218" s="28">
        <v>8</v>
      </c>
      <c r="D218" s="35">
        <v>1</v>
      </c>
      <c r="E218">
        <v>18</v>
      </c>
      <c r="F218" t="s">
        <v>304</v>
      </c>
      <c r="G218" t="s">
        <v>786</v>
      </c>
      <c r="H218" s="9" t="s">
        <v>1071</v>
      </c>
      <c r="I218">
        <f t="shared" si="15"/>
        <v>144</v>
      </c>
      <c r="J218">
        <f t="shared" si="13"/>
        <v>65.317301279999995</v>
      </c>
      <c r="K218">
        <v>0.47799999999999998</v>
      </c>
      <c r="L218">
        <f t="shared" si="14"/>
        <v>31.221670011839997</v>
      </c>
    </row>
    <row r="219" spans="1:12" x14ac:dyDescent="0.2">
      <c r="A219" s="4">
        <v>43500</v>
      </c>
      <c r="B219" t="s">
        <v>48</v>
      </c>
      <c r="C219" s="28">
        <v>6</v>
      </c>
      <c r="D219" s="35">
        <v>1</v>
      </c>
      <c r="E219">
        <v>18</v>
      </c>
      <c r="F219" t="s">
        <v>304</v>
      </c>
      <c r="G219" t="s">
        <v>786</v>
      </c>
      <c r="H219" s="9" t="s">
        <v>1071</v>
      </c>
      <c r="I219">
        <f t="shared" si="15"/>
        <v>108</v>
      </c>
      <c r="J219">
        <f t="shared" si="13"/>
        <v>48.987975960000007</v>
      </c>
      <c r="K219">
        <v>0.47799999999999998</v>
      </c>
      <c r="L219">
        <f t="shared" si="14"/>
        <v>23.416252508880003</v>
      </c>
    </row>
    <row r="220" spans="1:12" x14ac:dyDescent="0.2">
      <c r="A220" s="4">
        <v>43501</v>
      </c>
      <c r="B220" t="s">
        <v>48</v>
      </c>
      <c r="C220" s="28">
        <v>2</v>
      </c>
      <c r="D220" s="35">
        <v>1</v>
      </c>
      <c r="E220">
        <f>2*36*(8.7/16)</f>
        <v>39.15</v>
      </c>
      <c r="F220" t="s">
        <v>481</v>
      </c>
      <c r="G220" t="s">
        <v>836</v>
      </c>
      <c r="H220" s="9" t="s">
        <v>1071</v>
      </c>
      <c r="I220">
        <f t="shared" si="15"/>
        <v>78.3</v>
      </c>
      <c r="J220">
        <f t="shared" si="13"/>
        <v>35.516282571000005</v>
      </c>
      <c r="K220">
        <v>1.21</v>
      </c>
      <c r="L220">
        <f t="shared" si="14"/>
        <v>42.974701910910007</v>
      </c>
    </row>
    <row r="221" spans="1:12" x14ac:dyDescent="0.2">
      <c r="A221" s="4">
        <v>43500</v>
      </c>
      <c r="B221" t="s">
        <v>38</v>
      </c>
      <c r="C221" s="9">
        <v>12</v>
      </c>
      <c r="D221" s="35">
        <v>1</v>
      </c>
      <c r="E221">
        <v>2.0499999999999998</v>
      </c>
      <c r="F221" s="9" t="s">
        <v>610</v>
      </c>
      <c r="G221" s="9" t="s">
        <v>957</v>
      </c>
      <c r="H221" s="9" t="s">
        <v>1073</v>
      </c>
      <c r="I221">
        <f t="shared" si="15"/>
        <v>24.599999999999998</v>
      </c>
      <c r="J221">
        <f t="shared" si="13"/>
        <v>11.158372302</v>
      </c>
      <c r="K221">
        <f>(0.5*1.323)+(0.5*5.2)</f>
        <v>3.2614999999999998</v>
      </c>
      <c r="L221">
        <f t="shared" si="14"/>
        <v>36.393031262972997</v>
      </c>
    </row>
    <row r="222" spans="1:12" x14ac:dyDescent="0.2">
      <c r="A222" s="4">
        <v>43497</v>
      </c>
      <c r="B222" t="s">
        <v>38</v>
      </c>
      <c r="C222" s="9">
        <v>24</v>
      </c>
      <c r="D222" s="35">
        <v>1</v>
      </c>
      <c r="E222">
        <v>2.0499999999999998</v>
      </c>
      <c r="F222" s="9" t="s">
        <v>610</v>
      </c>
      <c r="G222" s="9" t="s">
        <v>957</v>
      </c>
      <c r="H222" s="9" t="s">
        <v>1073</v>
      </c>
      <c r="I222">
        <f t="shared" si="15"/>
        <v>49.199999999999996</v>
      </c>
      <c r="J222">
        <f t="shared" si="13"/>
        <v>22.316744604</v>
      </c>
      <c r="K222">
        <f>(0.5*1.323)+(0.5*5.2)</f>
        <v>3.2614999999999998</v>
      </c>
      <c r="L222">
        <f t="shared" si="14"/>
        <v>72.786062525945994</v>
      </c>
    </row>
    <row r="223" spans="1:12" x14ac:dyDescent="0.2">
      <c r="A223" s="4">
        <v>43503</v>
      </c>
      <c r="B223" t="s">
        <v>517</v>
      </c>
      <c r="C223">
        <v>2</v>
      </c>
      <c r="D223">
        <v>12</v>
      </c>
      <c r="E223">
        <v>2.0499999999999998</v>
      </c>
      <c r="F223" t="s">
        <v>752</v>
      </c>
      <c r="G223" t="s">
        <v>957</v>
      </c>
      <c r="H223" s="9" t="s">
        <v>1073</v>
      </c>
      <c r="I223">
        <f t="shared" si="15"/>
        <v>49.199999999999996</v>
      </c>
      <c r="J223">
        <f t="shared" si="13"/>
        <v>22.316744604</v>
      </c>
      <c r="K223">
        <f>(0.5*1.323)+(0.5*5.2)</f>
        <v>3.2614999999999998</v>
      </c>
      <c r="L223">
        <f t="shared" si="14"/>
        <v>72.786062525945994</v>
      </c>
    </row>
    <row r="224" spans="1:12" x14ac:dyDescent="0.2">
      <c r="A224" s="4">
        <v>43500</v>
      </c>
      <c r="B224" t="s">
        <v>38</v>
      </c>
      <c r="C224" s="9">
        <v>12</v>
      </c>
      <c r="D224" s="35">
        <v>1</v>
      </c>
      <c r="E224" s="9">
        <v>1.06</v>
      </c>
      <c r="F224" s="9" t="s">
        <v>698</v>
      </c>
      <c r="G224" s="9" t="s">
        <v>698</v>
      </c>
      <c r="H224" s="9" t="s">
        <v>1073</v>
      </c>
      <c r="I224">
        <f t="shared" si="15"/>
        <v>12.72</v>
      </c>
      <c r="J224">
        <f t="shared" si="13"/>
        <v>5.7696949464000014</v>
      </c>
      <c r="K224">
        <v>5.32</v>
      </c>
      <c r="L224">
        <f t="shared" si="14"/>
        <v>30.694777114848009</v>
      </c>
    </row>
    <row r="225" spans="1:13" x14ac:dyDescent="0.2">
      <c r="A225" s="4">
        <v>43497</v>
      </c>
      <c r="B225" t="s">
        <v>38</v>
      </c>
      <c r="C225" s="9">
        <v>12</v>
      </c>
      <c r="D225" s="35">
        <v>1</v>
      </c>
      <c r="E225" s="9">
        <v>1.06</v>
      </c>
      <c r="F225" s="9" t="s">
        <v>698</v>
      </c>
      <c r="G225" s="9" t="s">
        <v>698</v>
      </c>
      <c r="H225" s="9" t="s">
        <v>1073</v>
      </c>
      <c r="I225">
        <f t="shared" si="15"/>
        <v>12.72</v>
      </c>
      <c r="J225">
        <f t="shared" si="13"/>
        <v>5.7696949464000014</v>
      </c>
      <c r="K225">
        <v>5.32</v>
      </c>
      <c r="L225">
        <f t="shared" si="14"/>
        <v>30.694777114848009</v>
      </c>
    </row>
    <row r="226" spans="1:13" x14ac:dyDescent="0.2">
      <c r="A226" s="4">
        <v>43503</v>
      </c>
      <c r="B226" t="s">
        <v>517</v>
      </c>
      <c r="C226">
        <v>1</v>
      </c>
      <c r="D226">
        <v>12</v>
      </c>
      <c r="E226">
        <v>0.125</v>
      </c>
      <c r="F226" t="s">
        <v>668</v>
      </c>
      <c r="G226" t="s">
        <v>698</v>
      </c>
      <c r="H226" s="9" t="s">
        <v>1073</v>
      </c>
      <c r="I226">
        <f t="shared" si="15"/>
        <v>1.5</v>
      </c>
      <c r="J226">
        <f t="shared" si="13"/>
        <v>0.68038855500000006</v>
      </c>
      <c r="K226">
        <v>5.32</v>
      </c>
      <c r="L226">
        <f t="shared" si="14"/>
        <v>3.6196671126000006</v>
      </c>
    </row>
    <row r="227" spans="1:13" x14ac:dyDescent="0.2">
      <c r="A227" s="4">
        <v>43503</v>
      </c>
      <c r="B227" t="s">
        <v>48</v>
      </c>
      <c r="C227" s="28">
        <v>1</v>
      </c>
      <c r="D227" s="35">
        <v>1</v>
      </c>
      <c r="E227">
        <v>0.25</v>
      </c>
      <c r="F227" t="s">
        <v>706</v>
      </c>
      <c r="G227" t="s">
        <v>812</v>
      </c>
      <c r="H227" s="9" t="s">
        <v>1071</v>
      </c>
      <c r="I227">
        <f t="shared" si="15"/>
        <v>0.25</v>
      </c>
      <c r="J227">
        <f t="shared" si="13"/>
        <v>0.11339809250000001</v>
      </c>
      <c r="K227">
        <v>0.221</v>
      </c>
      <c r="L227">
        <f t="shared" si="14"/>
        <v>2.5060978442500003E-2</v>
      </c>
    </row>
    <row r="228" spans="1:13" x14ac:dyDescent="0.2">
      <c r="A228" s="4">
        <v>43503</v>
      </c>
      <c r="B228" t="s">
        <v>48</v>
      </c>
      <c r="C228" s="28">
        <v>1</v>
      </c>
      <c r="D228" s="35">
        <v>1</v>
      </c>
      <c r="E228">
        <v>1</v>
      </c>
      <c r="F228" t="s">
        <v>309</v>
      </c>
      <c r="G228" t="s">
        <v>812</v>
      </c>
      <c r="H228" s="9" t="s">
        <v>1071</v>
      </c>
      <c r="I228">
        <f t="shared" si="15"/>
        <v>1</v>
      </c>
      <c r="J228">
        <f t="shared" si="13"/>
        <v>0.45359237000000002</v>
      </c>
      <c r="K228">
        <v>0.221</v>
      </c>
      <c r="L228">
        <f t="shared" si="14"/>
        <v>0.10024391377000001</v>
      </c>
    </row>
    <row r="229" spans="1:13" x14ac:dyDescent="0.2">
      <c r="A229" s="4">
        <v>43501</v>
      </c>
      <c r="B229" t="s">
        <v>48</v>
      </c>
      <c r="C229" s="28">
        <v>1</v>
      </c>
      <c r="D229" s="35">
        <v>1</v>
      </c>
      <c r="E229">
        <v>1</v>
      </c>
      <c r="F229" t="s">
        <v>309</v>
      </c>
      <c r="G229" t="s">
        <v>812</v>
      </c>
      <c r="H229" s="9" t="s">
        <v>1071</v>
      </c>
      <c r="I229">
        <f t="shared" si="15"/>
        <v>1</v>
      </c>
      <c r="J229">
        <f t="shared" si="13"/>
        <v>0.45359237000000002</v>
      </c>
      <c r="K229">
        <v>0.221</v>
      </c>
      <c r="L229">
        <f t="shared" si="14"/>
        <v>0.10024391377000001</v>
      </c>
    </row>
    <row r="230" spans="1:13" x14ac:dyDescent="0.2">
      <c r="A230" s="4">
        <v>43497</v>
      </c>
      <c r="B230" t="s">
        <v>48</v>
      </c>
      <c r="C230" s="28">
        <v>1</v>
      </c>
      <c r="D230" s="35">
        <v>1</v>
      </c>
      <c r="E230">
        <v>0.25</v>
      </c>
      <c r="F230" t="s">
        <v>306</v>
      </c>
      <c r="G230" t="s">
        <v>812</v>
      </c>
      <c r="H230" s="9" t="s">
        <v>1071</v>
      </c>
      <c r="I230">
        <f t="shared" si="15"/>
        <v>0.25</v>
      </c>
      <c r="J230">
        <f t="shared" si="13"/>
        <v>0.11339809250000001</v>
      </c>
      <c r="K230">
        <v>0.221</v>
      </c>
      <c r="L230">
        <f t="shared" si="14"/>
        <v>2.5060978442500003E-2</v>
      </c>
    </row>
    <row r="231" spans="1:13" x14ac:dyDescent="0.2">
      <c r="A231" s="4">
        <v>43503</v>
      </c>
      <c r="B231" t="s">
        <v>48</v>
      </c>
      <c r="C231" s="28">
        <v>1</v>
      </c>
      <c r="D231" s="35">
        <v>1</v>
      </c>
      <c r="E231">
        <v>18</v>
      </c>
      <c r="F231" t="s">
        <v>353</v>
      </c>
      <c r="G231" t="s">
        <v>995</v>
      </c>
      <c r="H231" s="9" t="s">
        <v>1071</v>
      </c>
      <c r="I231">
        <f t="shared" si="15"/>
        <v>18</v>
      </c>
      <c r="J231">
        <f t="shared" si="13"/>
        <v>8.1646626599999994</v>
      </c>
      <c r="K231">
        <v>2.44</v>
      </c>
      <c r="L231">
        <f t="shared" si="14"/>
        <v>19.921776890399997</v>
      </c>
    </row>
    <row r="232" spans="1:13" x14ac:dyDescent="0.2">
      <c r="A232" s="4">
        <v>43497</v>
      </c>
      <c r="B232" t="s">
        <v>538</v>
      </c>
      <c r="C232">
        <v>1</v>
      </c>
      <c r="D232">
        <v>6</v>
      </c>
      <c r="E232">
        <v>5</v>
      </c>
      <c r="F232" t="s">
        <v>571</v>
      </c>
      <c r="G232" t="s">
        <v>878</v>
      </c>
      <c r="H232" s="9" t="s">
        <v>1071</v>
      </c>
      <c r="I232">
        <f t="shared" si="15"/>
        <v>30</v>
      </c>
      <c r="J232">
        <f t="shared" si="13"/>
        <v>13.607771100000001</v>
      </c>
      <c r="K232">
        <v>2.44</v>
      </c>
      <c r="L232">
        <f t="shared" si="14"/>
        <v>33.202961483999999</v>
      </c>
    </row>
    <row r="233" spans="1:13" x14ac:dyDescent="0.2">
      <c r="A233" s="4">
        <v>43500</v>
      </c>
      <c r="B233" t="s">
        <v>538</v>
      </c>
      <c r="C233">
        <v>1</v>
      </c>
      <c r="D233">
        <v>6</v>
      </c>
      <c r="E233">
        <v>5</v>
      </c>
      <c r="F233" t="s">
        <v>571</v>
      </c>
      <c r="G233" t="s">
        <v>878</v>
      </c>
      <c r="H233" s="9" t="s">
        <v>1071</v>
      </c>
      <c r="I233">
        <f t="shared" si="15"/>
        <v>30</v>
      </c>
      <c r="J233">
        <f t="shared" si="13"/>
        <v>13.607771100000001</v>
      </c>
      <c r="K233">
        <v>2.44</v>
      </c>
      <c r="L233">
        <f t="shared" si="14"/>
        <v>33.202961483999999</v>
      </c>
    </row>
    <row r="234" spans="1:13" x14ac:dyDescent="0.2">
      <c r="A234" s="4">
        <v>43503</v>
      </c>
      <c r="B234" t="s">
        <v>48</v>
      </c>
      <c r="C234" s="28">
        <v>8</v>
      </c>
      <c r="D234" s="35">
        <v>1</v>
      </c>
      <c r="E234">
        <f>6*4</f>
        <v>24</v>
      </c>
      <c r="F234" t="s">
        <v>708</v>
      </c>
      <c r="G234" t="s">
        <v>789</v>
      </c>
      <c r="H234" s="9" t="s">
        <v>1071</v>
      </c>
      <c r="I234">
        <f t="shared" si="15"/>
        <v>192</v>
      </c>
      <c r="J234">
        <f t="shared" si="13"/>
        <v>87.089735040000008</v>
      </c>
      <c r="K234">
        <v>0.28399999999999997</v>
      </c>
      <c r="L234">
        <f t="shared" si="14"/>
        <v>24.733484751359999</v>
      </c>
    </row>
    <row r="235" spans="1:13" x14ac:dyDescent="0.2">
      <c r="A235" s="4">
        <v>43502</v>
      </c>
      <c r="B235" t="s">
        <v>48</v>
      </c>
      <c r="C235" s="28">
        <v>8</v>
      </c>
      <c r="D235" s="35">
        <v>1</v>
      </c>
      <c r="E235">
        <f>6*4</f>
        <v>24</v>
      </c>
      <c r="F235" t="s">
        <v>708</v>
      </c>
      <c r="G235" t="s">
        <v>789</v>
      </c>
      <c r="H235" s="9" t="s">
        <v>1071</v>
      </c>
      <c r="I235">
        <f t="shared" si="15"/>
        <v>192</v>
      </c>
      <c r="J235">
        <f t="shared" si="13"/>
        <v>87.089735040000008</v>
      </c>
      <c r="K235">
        <v>0.28399999999999997</v>
      </c>
      <c r="L235">
        <f t="shared" si="14"/>
        <v>24.733484751359999</v>
      </c>
      <c r="M235" s="6"/>
    </row>
    <row r="236" spans="1:13" x14ac:dyDescent="0.2">
      <c r="A236" s="4">
        <v>43501</v>
      </c>
      <c r="B236" t="s">
        <v>48</v>
      </c>
      <c r="C236" s="28">
        <v>8</v>
      </c>
      <c r="D236" s="35">
        <v>1</v>
      </c>
      <c r="E236">
        <f>9*4</f>
        <v>36</v>
      </c>
      <c r="F236" t="s">
        <v>312</v>
      </c>
      <c r="G236" t="s">
        <v>789</v>
      </c>
      <c r="H236" s="9" t="s">
        <v>1071</v>
      </c>
      <c r="I236">
        <f t="shared" si="15"/>
        <v>288</v>
      </c>
      <c r="J236">
        <f t="shared" si="13"/>
        <v>130.63460255999999</v>
      </c>
      <c r="K236">
        <v>0.28399999999999997</v>
      </c>
      <c r="L236">
        <f t="shared" si="14"/>
        <v>37.100227127039993</v>
      </c>
      <c r="M236" s="9"/>
    </row>
    <row r="237" spans="1:13" x14ac:dyDescent="0.2">
      <c r="A237" s="4">
        <v>43500</v>
      </c>
      <c r="B237" t="s">
        <v>48</v>
      </c>
      <c r="C237" s="28">
        <v>6</v>
      </c>
      <c r="D237" s="35">
        <v>1</v>
      </c>
      <c r="E237">
        <f>9*4</f>
        <v>36</v>
      </c>
      <c r="F237" t="s">
        <v>312</v>
      </c>
      <c r="G237" t="s">
        <v>789</v>
      </c>
      <c r="H237" s="9" t="s">
        <v>1071</v>
      </c>
      <c r="I237">
        <f t="shared" si="15"/>
        <v>216</v>
      </c>
      <c r="J237">
        <f t="shared" si="13"/>
        <v>97.975951920000014</v>
      </c>
      <c r="K237">
        <v>0.28399999999999997</v>
      </c>
      <c r="L237">
        <f t="shared" si="14"/>
        <v>27.82517034528</v>
      </c>
    </row>
    <row r="238" spans="1:13" x14ac:dyDescent="0.2">
      <c r="A238" s="4">
        <v>43497</v>
      </c>
      <c r="B238" t="s">
        <v>48</v>
      </c>
      <c r="C238" s="28">
        <v>8</v>
      </c>
      <c r="D238" s="35">
        <v>1</v>
      </c>
      <c r="E238">
        <f>9*4</f>
        <v>36</v>
      </c>
      <c r="F238" t="s">
        <v>312</v>
      </c>
      <c r="G238" t="s">
        <v>789</v>
      </c>
      <c r="H238" s="9" t="s">
        <v>1071</v>
      </c>
      <c r="I238">
        <f t="shared" si="15"/>
        <v>288</v>
      </c>
      <c r="J238">
        <f t="shared" si="13"/>
        <v>130.63460255999999</v>
      </c>
      <c r="K238">
        <v>0.28399999999999997</v>
      </c>
      <c r="L238">
        <f t="shared" si="14"/>
        <v>37.100227127039993</v>
      </c>
    </row>
    <row r="239" spans="1:13" x14ac:dyDescent="0.2">
      <c r="A239" s="10">
        <v>43497</v>
      </c>
      <c r="B239" s="8" t="s">
        <v>946</v>
      </c>
      <c r="C239" s="9">
        <v>1</v>
      </c>
      <c r="D239" s="35">
        <v>1</v>
      </c>
      <c r="E239" s="8">
        <v>20</v>
      </c>
      <c r="F239" s="9" t="s">
        <v>956</v>
      </c>
      <c r="G239" s="9" t="s">
        <v>950</v>
      </c>
      <c r="H239" s="9" t="s">
        <v>1073</v>
      </c>
      <c r="I239">
        <f t="shared" si="15"/>
        <v>20</v>
      </c>
      <c r="J239">
        <f t="shared" si="13"/>
        <v>9.0718474000000011</v>
      </c>
      <c r="K239">
        <v>3.84</v>
      </c>
      <c r="L239">
        <f t="shared" si="14"/>
        <v>34.835894016000005</v>
      </c>
    </row>
    <row r="240" spans="1:13" x14ac:dyDescent="0.2">
      <c r="A240" s="10">
        <v>43497</v>
      </c>
      <c r="B240" s="8" t="s">
        <v>946</v>
      </c>
      <c r="C240" s="9">
        <v>1</v>
      </c>
      <c r="D240" s="35">
        <v>1</v>
      </c>
      <c r="E240" s="9">
        <v>30</v>
      </c>
      <c r="F240" s="9" t="s">
        <v>955</v>
      </c>
      <c r="G240" s="9" t="s">
        <v>950</v>
      </c>
      <c r="H240" s="9" t="s">
        <v>1073</v>
      </c>
      <c r="I240">
        <f t="shared" si="15"/>
        <v>30</v>
      </c>
      <c r="J240">
        <f t="shared" si="13"/>
        <v>13.607771100000001</v>
      </c>
      <c r="K240">
        <v>3.84</v>
      </c>
      <c r="L240">
        <f t="shared" si="14"/>
        <v>52.253841024000003</v>
      </c>
    </row>
    <row r="241" spans="1:12" x14ac:dyDescent="0.2">
      <c r="A241" s="10">
        <v>43497</v>
      </c>
      <c r="B241" s="8" t="s">
        <v>946</v>
      </c>
      <c r="C241" s="9">
        <v>1</v>
      </c>
      <c r="D241" s="35">
        <v>1</v>
      </c>
      <c r="E241" s="9">
        <v>10</v>
      </c>
      <c r="F241" s="9" t="s">
        <v>953</v>
      </c>
      <c r="G241" s="9" t="s">
        <v>950</v>
      </c>
      <c r="H241" s="9" t="s">
        <v>1073</v>
      </c>
      <c r="I241">
        <f t="shared" si="15"/>
        <v>10</v>
      </c>
      <c r="J241">
        <f t="shared" si="13"/>
        <v>4.5359237000000006</v>
      </c>
      <c r="K241">
        <v>3.84</v>
      </c>
      <c r="L241">
        <f t="shared" si="14"/>
        <v>17.417947008000002</v>
      </c>
    </row>
    <row r="242" spans="1:12" x14ac:dyDescent="0.2">
      <c r="A242" s="13">
        <v>43497</v>
      </c>
      <c r="B242" s="6" t="s">
        <v>688</v>
      </c>
      <c r="C242" s="6">
        <v>3</v>
      </c>
      <c r="D242" s="39">
        <v>1</v>
      </c>
      <c r="E242" s="6">
        <f>3*6.07</f>
        <v>18.21</v>
      </c>
      <c r="F242" s="6" t="s">
        <v>689</v>
      </c>
      <c r="G242" s="6" t="s">
        <v>950</v>
      </c>
      <c r="H242" s="9" t="s">
        <v>1073</v>
      </c>
      <c r="I242">
        <f t="shared" si="15"/>
        <v>54.63</v>
      </c>
      <c r="J242">
        <f t="shared" si="13"/>
        <v>24.779751173100003</v>
      </c>
      <c r="K242">
        <v>3.84</v>
      </c>
      <c r="L242">
        <f t="shared" si="14"/>
        <v>95.15424450470401</v>
      </c>
    </row>
    <row r="243" spans="1:12" x14ac:dyDescent="0.2">
      <c r="A243" s="13">
        <v>43497</v>
      </c>
      <c r="B243" s="6" t="s">
        <v>688</v>
      </c>
      <c r="C243" s="6">
        <v>3</v>
      </c>
      <c r="D243" s="39">
        <v>1</v>
      </c>
      <c r="E243" s="6">
        <f>3*6.07</f>
        <v>18.21</v>
      </c>
      <c r="F243" s="6" t="s">
        <v>690</v>
      </c>
      <c r="G243" s="6" t="s">
        <v>950</v>
      </c>
      <c r="H243" s="9" t="s">
        <v>1073</v>
      </c>
      <c r="I243">
        <f t="shared" si="15"/>
        <v>54.63</v>
      </c>
      <c r="J243">
        <f t="shared" si="13"/>
        <v>24.779751173100003</v>
      </c>
      <c r="K243">
        <v>3.84</v>
      </c>
      <c r="L243">
        <f t="shared" si="14"/>
        <v>95.15424450470401</v>
      </c>
    </row>
    <row r="244" spans="1:12" x14ac:dyDescent="0.2">
      <c r="A244" s="13">
        <v>43497</v>
      </c>
      <c r="B244" s="6" t="s">
        <v>688</v>
      </c>
      <c r="C244" s="6">
        <v>3</v>
      </c>
      <c r="D244" s="39">
        <v>1</v>
      </c>
      <c r="E244" s="6">
        <f>3*6.07</f>
        <v>18.21</v>
      </c>
      <c r="F244" s="6" t="s">
        <v>691</v>
      </c>
      <c r="G244" s="6" t="s">
        <v>950</v>
      </c>
      <c r="H244" s="9" t="s">
        <v>1073</v>
      </c>
      <c r="I244">
        <f t="shared" ref="I244:I275" si="16">C244*D244*E244</f>
        <v>54.63</v>
      </c>
      <c r="J244">
        <f t="shared" si="13"/>
        <v>24.779751173100003</v>
      </c>
      <c r="K244">
        <v>3.84</v>
      </c>
      <c r="L244">
        <f t="shared" si="14"/>
        <v>95.15424450470401</v>
      </c>
    </row>
    <row r="245" spans="1:12" x14ac:dyDescent="0.2">
      <c r="A245" s="4">
        <v>43497</v>
      </c>
      <c r="B245" t="s">
        <v>538</v>
      </c>
      <c r="C245">
        <v>1</v>
      </c>
      <c r="D245">
        <v>6</v>
      </c>
      <c r="E245">
        <v>4</v>
      </c>
      <c r="F245" t="s">
        <v>438</v>
      </c>
      <c r="G245" t="s">
        <v>1049</v>
      </c>
      <c r="H245" s="9" t="s">
        <v>1071</v>
      </c>
      <c r="I245">
        <f t="shared" si="16"/>
        <v>24</v>
      </c>
      <c r="J245">
        <f t="shared" si="13"/>
        <v>10.886216880000001</v>
      </c>
      <c r="K245">
        <v>3.25</v>
      </c>
      <c r="L245">
        <f t="shared" si="14"/>
        <v>35.380204860000006</v>
      </c>
    </row>
    <row r="246" spans="1:12" x14ac:dyDescent="0.2">
      <c r="A246" s="4">
        <v>43503</v>
      </c>
      <c r="B246" t="s">
        <v>538</v>
      </c>
      <c r="C246">
        <v>1</v>
      </c>
      <c r="D246">
        <v>6</v>
      </c>
      <c r="E246">
        <v>4</v>
      </c>
      <c r="F246" t="s">
        <v>438</v>
      </c>
      <c r="G246" t="s">
        <v>1049</v>
      </c>
      <c r="H246" s="9" t="s">
        <v>1071</v>
      </c>
      <c r="I246">
        <f t="shared" si="16"/>
        <v>24</v>
      </c>
      <c r="J246">
        <f t="shared" si="13"/>
        <v>10.886216880000001</v>
      </c>
      <c r="K246">
        <v>3.25</v>
      </c>
      <c r="L246">
        <f t="shared" si="14"/>
        <v>35.380204860000006</v>
      </c>
    </row>
    <row r="247" spans="1:12" x14ac:dyDescent="0.2">
      <c r="A247" s="4">
        <v>43498</v>
      </c>
      <c r="B247" t="s">
        <v>48</v>
      </c>
      <c r="C247" s="28">
        <v>2</v>
      </c>
      <c r="D247" s="35">
        <v>1</v>
      </c>
      <c r="E247">
        <f>24*(6.5/16)</f>
        <v>9.75</v>
      </c>
      <c r="F247" t="s">
        <v>507</v>
      </c>
      <c r="G247" t="s">
        <v>507</v>
      </c>
      <c r="H247" s="9" t="s">
        <v>1071</v>
      </c>
      <c r="I247">
        <f t="shared" si="16"/>
        <v>19.5</v>
      </c>
      <c r="J247">
        <f t="shared" si="13"/>
        <v>8.8450512149999998</v>
      </c>
      <c r="K247">
        <v>0.193</v>
      </c>
      <c r="L247">
        <f t="shared" si="14"/>
        <v>1.707094884495</v>
      </c>
    </row>
    <row r="248" spans="1:12" x14ac:dyDescent="0.2">
      <c r="A248" s="4">
        <v>43497</v>
      </c>
      <c r="B248" t="s">
        <v>48</v>
      </c>
      <c r="C248" s="28">
        <v>3</v>
      </c>
      <c r="D248" s="35">
        <v>1</v>
      </c>
      <c r="E248">
        <v>10</v>
      </c>
      <c r="F248" t="s">
        <v>356</v>
      </c>
      <c r="G248" t="s">
        <v>819</v>
      </c>
      <c r="H248" s="9" t="s">
        <v>1071</v>
      </c>
      <c r="I248">
        <f t="shared" si="16"/>
        <v>30</v>
      </c>
      <c r="J248">
        <f t="shared" si="13"/>
        <v>13.607771100000001</v>
      </c>
      <c r="K248">
        <v>0.193</v>
      </c>
      <c r="L248">
        <f t="shared" si="14"/>
        <v>2.6262998223</v>
      </c>
    </row>
    <row r="249" spans="1:12" x14ac:dyDescent="0.2">
      <c r="A249" s="4">
        <v>43497</v>
      </c>
      <c r="B249" t="s">
        <v>48</v>
      </c>
      <c r="C249" s="28">
        <v>1</v>
      </c>
      <c r="D249" s="35">
        <v>1</v>
      </c>
      <c r="E249">
        <f>12*2.12</f>
        <v>25.44</v>
      </c>
      <c r="F249" t="s">
        <v>336</v>
      </c>
      <c r="G249" t="s">
        <v>185</v>
      </c>
      <c r="H249" s="9" t="s">
        <v>1071</v>
      </c>
      <c r="I249">
        <f t="shared" si="16"/>
        <v>25.44</v>
      </c>
      <c r="J249">
        <f t="shared" si="13"/>
        <v>11.539389892800003</v>
      </c>
      <c r="K249">
        <v>0.33200000000000002</v>
      </c>
      <c r="L249">
        <f t="shared" si="14"/>
        <v>3.8310774444096012</v>
      </c>
    </row>
    <row r="250" spans="1:12" x14ac:dyDescent="0.2">
      <c r="A250" s="4">
        <v>43497</v>
      </c>
      <c r="B250" t="s">
        <v>538</v>
      </c>
      <c r="C250">
        <v>1</v>
      </c>
      <c r="D250">
        <v>1</v>
      </c>
      <c r="E250">
        <v>20</v>
      </c>
      <c r="F250" t="s">
        <v>656</v>
      </c>
      <c r="G250" t="s">
        <v>973</v>
      </c>
      <c r="H250" s="9" t="s">
        <v>1071</v>
      </c>
      <c r="I250">
        <f t="shared" si="16"/>
        <v>20</v>
      </c>
      <c r="J250">
        <f t="shared" si="13"/>
        <v>9.0718474000000011</v>
      </c>
      <c r="K250">
        <v>1.88</v>
      </c>
      <c r="L250">
        <f t="shared" si="14"/>
        <v>17.055073112000002</v>
      </c>
    </row>
    <row r="251" spans="1:12" x14ac:dyDescent="0.2">
      <c r="A251" s="4">
        <v>43503</v>
      </c>
      <c r="B251" t="s">
        <v>48</v>
      </c>
      <c r="C251" s="28">
        <v>4</v>
      </c>
      <c r="D251" s="35">
        <v>1</v>
      </c>
      <c r="E251">
        <v>12</v>
      </c>
      <c r="F251" t="s">
        <v>488</v>
      </c>
      <c r="G251" t="s">
        <v>787</v>
      </c>
      <c r="H251" s="9" t="s">
        <v>1071</v>
      </c>
      <c r="I251">
        <f t="shared" si="16"/>
        <v>48</v>
      </c>
      <c r="J251">
        <f t="shared" si="13"/>
        <v>21.772433760000002</v>
      </c>
      <c r="K251">
        <v>0.22</v>
      </c>
      <c r="L251">
        <f t="shared" si="14"/>
        <v>4.7899354272000005</v>
      </c>
    </row>
    <row r="252" spans="1:12" x14ac:dyDescent="0.2">
      <c r="A252" s="4">
        <v>43500</v>
      </c>
      <c r="B252" t="s">
        <v>48</v>
      </c>
      <c r="C252" s="28">
        <v>3</v>
      </c>
      <c r="D252" s="35">
        <v>1</v>
      </c>
      <c r="E252">
        <v>12</v>
      </c>
      <c r="F252" t="s">
        <v>488</v>
      </c>
      <c r="G252" t="s">
        <v>787</v>
      </c>
      <c r="H252" s="9" t="s">
        <v>1071</v>
      </c>
      <c r="I252">
        <f t="shared" si="16"/>
        <v>36</v>
      </c>
      <c r="J252">
        <f t="shared" si="13"/>
        <v>16.329325319999999</v>
      </c>
      <c r="K252">
        <v>0.22</v>
      </c>
      <c r="L252">
        <f t="shared" si="14"/>
        <v>3.5924515703999997</v>
      </c>
    </row>
    <row r="253" spans="1:12" x14ac:dyDescent="0.2">
      <c r="A253" s="4">
        <v>43497</v>
      </c>
      <c r="B253" t="s">
        <v>48</v>
      </c>
      <c r="C253" s="28">
        <v>2</v>
      </c>
      <c r="D253" s="35">
        <v>1</v>
      </c>
      <c r="E253">
        <v>12</v>
      </c>
      <c r="F253" t="s">
        <v>488</v>
      </c>
      <c r="G253" t="s">
        <v>787</v>
      </c>
      <c r="H253" s="9" t="s">
        <v>1071</v>
      </c>
      <c r="I253">
        <f t="shared" si="16"/>
        <v>24</v>
      </c>
      <c r="J253">
        <f t="shared" si="13"/>
        <v>10.886216880000001</v>
      </c>
      <c r="K253">
        <v>0.22</v>
      </c>
      <c r="L253">
        <f t="shared" si="14"/>
        <v>2.3949677136000003</v>
      </c>
    </row>
    <row r="254" spans="1:12" x14ac:dyDescent="0.2">
      <c r="A254" s="4">
        <v>43502</v>
      </c>
      <c r="B254" t="s">
        <v>48</v>
      </c>
      <c r="C254" s="28">
        <v>1</v>
      </c>
      <c r="D254" s="35">
        <v>1</v>
      </c>
      <c r="E254">
        <f>12*2.135</f>
        <v>25.619999999999997</v>
      </c>
      <c r="F254" t="s">
        <v>622</v>
      </c>
      <c r="G254" t="s">
        <v>1040</v>
      </c>
      <c r="H254" s="9" t="s">
        <v>1071</v>
      </c>
      <c r="I254">
        <f t="shared" si="16"/>
        <v>25.619999999999997</v>
      </c>
      <c r="J254">
        <f t="shared" si="13"/>
        <v>11.621036519399999</v>
      </c>
      <c r="K254">
        <v>1.9430000000000001</v>
      </c>
      <c r="L254">
        <f t="shared" si="14"/>
        <v>22.579673957194199</v>
      </c>
    </row>
    <row r="255" spans="1:12" x14ac:dyDescent="0.2">
      <c r="A255" s="4">
        <v>43497</v>
      </c>
      <c r="B255" t="s">
        <v>531</v>
      </c>
      <c r="C255">
        <v>1</v>
      </c>
      <c r="D255">
        <v>2</v>
      </c>
      <c r="E255">
        <v>5</v>
      </c>
      <c r="F255" t="s">
        <v>735</v>
      </c>
      <c r="G255" t="s">
        <v>997</v>
      </c>
      <c r="H255" s="9" t="s">
        <v>1071</v>
      </c>
      <c r="I255">
        <f t="shared" si="16"/>
        <v>10</v>
      </c>
      <c r="J255">
        <f t="shared" si="13"/>
        <v>4.5359237000000006</v>
      </c>
      <c r="K255">
        <v>0.63900000000000001</v>
      </c>
      <c r="L255">
        <f t="shared" si="14"/>
        <v>2.8984552443000005</v>
      </c>
    </row>
    <row r="256" spans="1:12" x14ac:dyDescent="0.2">
      <c r="A256" s="4">
        <v>43497</v>
      </c>
      <c r="B256" t="s">
        <v>517</v>
      </c>
      <c r="C256">
        <v>1</v>
      </c>
      <c r="D256">
        <v>6</v>
      </c>
      <c r="E256">
        <v>5</v>
      </c>
      <c r="F256" t="s">
        <v>646</v>
      </c>
      <c r="G256" s="14" t="s">
        <v>926</v>
      </c>
      <c r="H256" s="9" t="s">
        <v>1071</v>
      </c>
      <c r="I256">
        <f t="shared" si="16"/>
        <v>30</v>
      </c>
      <c r="J256">
        <f t="shared" si="13"/>
        <v>13.607771100000001</v>
      </c>
      <c r="L256">
        <f t="shared" si="14"/>
        <v>0</v>
      </c>
    </row>
    <row r="257" spans="1:12" x14ac:dyDescent="0.2">
      <c r="A257" s="4">
        <v>43500</v>
      </c>
      <c r="B257" t="s">
        <v>517</v>
      </c>
      <c r="C257">
        <v>1</v>
      </c>
      <c r="D257">
        <v>6</v>
      </c>
      <c r="E257">
        <v>5</v>
      </c>
      <c r="F257" t="s">
        <v>646</v>
      </c>
      <c r="G257" s="14" t="s">
        <v>926</v>
      </c>
      <c r="H257" s="9" t="s">
        <v>1071</v>
      </c>
      <c r="I257">
        <f t="shared" si="16"/>
        <v>30</v>
      </c>
      <c r="J257">
        <f t="shared" si="13"/>
        <v>13.607771100000001</v>
      </c>
      <c r="L257">
        <f t="shared" si="14"/>
        <v>0</v>
      </c>
    </row>
    <row r="258" spans="1:12" x14ac:dyDescent="0.2">
      <c r="A258" s="4">
        <v>43500</v>
      </c>
      <c r="B258" t="s">
        <v>38</v>
      </c>
      <c r="C258" s="9">
        <v>6</v>
      </c>
      <c r="D258" s="35">
        <v>1</v>
      </c>
      <c r="E258">
        <f t="shared" ref="E258:E269" si="17">8.6*5</f>
        <v>43</v>
      </c>
      <c r="F258" s="9" t="s">
        <v>608</v>
      </c>
      <c r="G258" s="9" t="s">
        <v>774</v>
      </c>
      <c r="H258" s="9" t="s">
        <v>1073</v>
      </c>
      <c r="I258">
        <f t="shared" si="16"/>
        <v>258</v>
      </c>
      <c r="J258">
        <f t="shared" si="13"/>
        <v>117.02683146</v>
      </c>
      <c r="K258">
        <v>1.23</v>
      </c>
      <c r="L258">
        <f t="shared" si="14"/>
        <v>143.9430026958</v>
      </c>
    </row>
    <row r="259" spans="1:12" x14ac:dyDescent="0.2">
      <c r="A259" s="4">
        <v>43500</v>
      </c>
      <c r="B259" t="s">
        <v>38</v>
      </c>
      <c r="C259" s="9">
        <v>5</v>
      </c>
      <c r="D259" s="35">
        <v>1</v>
      </c>
      <c r="E259">
        <f t="shared" si="17"/>
        <v>43</v>
      </c>
      <c r="F259" s="9" t="s">
        <v>609</v>
      </c>
      <c r="G259" s="9" t="s">
        <v>774</v>
      </c>
      <c r="H259" s="9" t="s">
        <v>1073</v>
      </c>
      <c r="I259">
        <f t="shared" si="16"/>
        <v>215</v>
      </c>
      <c r="J259">
        <f t="shared" ref="J259:J322" si="18">CONVERT(I259,"lbm","kg")</f>
        <v>97.522359550000004</v>
      </c>
      <c r="K259">
        <v>1.23</v>
      </c>
      <c r="L259">
        <f t="shared" ref="L259:L322" si="19">J259*K259</f>
        <v>119.9525022465</v>
      </c>
    </row>
    <row r="260" spans="1:12" x14ac:dyDescent="0.2">
      <c r="A260" s="4">
        <v>43500</v>
      </c>
      <c r="B260" t="s">
        <v>38</v>
      </c>
      <c r="C260" s="9">
        <v>2</v>
      </c>
      <c r="D260" s="35">
        <v>1</v>
      </c>
      <c r="E260">
        <f t="shared" si="17"/>
        <v>43</v>
      </c>
      <c r="F260" s="9" t="s">
        <v>611</v>
      </c>
      <c r="G260" s="9" t="s">
        <v>774</v>
      </c>
      <c r="H260" s="9" t="s">
        <v>1073</v>
      </c>
      <c r="I260">
        <f t="shared" si="16"/>
        <v>86</v>
      </c>
      <c r="J260">
        <f t="shared" si="18"/>
        <v>39.008943819999999</v>
      </c>
      <c r="K260">
        <v>1.23</v>
      </c>
      <c r="L260">
        <f t="shared" si="19"/>
        <v>47.981000898600001</v>
      </c>
    </row>
    <row r="261" spans="1:12" x14ac:dyDescent="0.2">
      <c r="A261" s="4">
        <v>43500</v>
      </c>
      <c r="B261" t="s">
        <v>38</v>
      </c>
      <c r="C261" s="9">
        <v>5</v>
      </c>
      <c r="D261" s="35">
        <v>1</v>
      </c>
      <c r="E261">
        <f t="shared" si="17"/>
        <v>43</v>
      </c>
      <c r="F261" s="9" t="s">
        <v>612</v>
      </c>
      <c r="G261" s="9" t="s">
        <v>774</v>
      </c>
      <c r="H261" s="9" t="s">
        <v>1073</v>
      </c>
      <c r="I261">
        <f t="shared" si="16"/>
        <v>215</v>
      </c>
      <c r="J261">
        <f t="shared" si="18"/>
        <v>97.522359550000004</v>
      </c>
      <c r="K261">
        <v>1.23</v>
      </c>
      <c r="L261">
        <f t="shared" si="19"/>
        <v>119.9525022465</v>
      </c>
    </row>
    <row r="262" spans="1:12" x14ac:dyDescent="0.2">
      <c r="A262" s="4">
        <v>43497</v>
      </c>
      <c r="B262" t="s">
        <v>38</v>
      </c>
      <c r="C262" s="9">
        <v>11</v>
      </c>
      <c r="D262" s="35">
        <v>1</v>
      </c>
      <c r="E262">
        <f t="shared" si="17"/>
        <v>43</v>
      </c>
      <c r="F262" s="9" t="s">
        <v>608</v>
      </c>
      <c r="G262" s="9" t="s">
        <v>774</v>
      </c>
      <c r="H262" s="9" t="s">
        <v>1073</v>
      </c>
      <c r="I262">
        <f t="shared" si="16"/>
        <v>473</v>
      </c>
      <c r="J262">
        <f t="shared" si="18"/>
        <v>214.54919101000002</v>
      </c>
      <c r="K262">
        <v>1.23</v>
      </c>
      <c r="L262">
        <f t="shared" si="19"/>
        <v>263.89550494230002</v>
      </c>
    </row>
    <row r="263" spans="1:12" x14ac:dyDescent="0.2">
      <c r="A263" s="4">
        <v>43497</v>
      </c>
      <c r="B263" t="s">
        <v>38</v>
      </c>
      <c r="C263" s="9">
        <v>5</v>
      </c>
      <c r="D263" s="35">
        <v>1</v>
      </c>
      <c r="E263">
        <f t="shared" si="17"/>
        <v>43</v>
      </c>
      <c r="F263" s="9" t="s">
        <v>609</v>
      </c>
      <c r="G263" s="9" t="s">
        <v>774</v>
      </c>
      <c r="H263" s="9" t="s">
        <v>1073</v>
      </c>
      <c r="I263">
        <f t="shared" si="16"/>
        <v>215</v>
      </c>
      <c r="J263">
        <f t="shared" si="18"/>
        <v>97.522359550000004</v>
      </c>
      <c r="K263">
        <v>1.23</v>
      </c>
      <c r="L263">
        <f t="shared" si="19"/>
        <v>119.9525022465</v>
      </c>
    </row>
    <row r="264" spans="1:12" x14ac:dyDescent="0.2">
      <c r="A264" s="4">
        <v>43497</v>
      </c>
      <c r="B264" t="s">
        <v>38</v>
      </c>
      <c r="C264" s="9">
        <v>2</v>
      </c>
      <c r="D264" s="35">
        <v>1</v>
      </c>
      <c r="E264">
        <f t="shared" si="17"/>
        <v>43</v>
      </c>
      <c r="F264" s="9" t="s">
        <v>611</v>
      </c>
      <c r="G264" s="9" t="s">
        <v>774</v>
      </c>
      <c r="H264" s="9" t="s">
        <v>1073</v>
      </c>
      <c r="I264">
        <f t="shared" si="16"/>
        <v>86</v>
      </c>
      <c r="J264">
        <f t="shared" si="18"/>
        <v>39.008943819999999</v>
      </c>
      <c r="K264">
        <v>1.23</v>
      </c>
      <c r="L264">
        <f t="shared" si="19"/>
        <v>47.981000898600001</v>
      </c>
    </row>
    <row r="265" spans="1:12" x14ac:dyDescent="0.2">
      <c r="A265" s="4">
        <v>43497</v>
      </c>
      <c r="B265" t="s">
        <v>38</v>
      </c>
      <c r="C265" s="9">
        <v>5</v>
      </c>
      <c r="D265" s="35">
        <v>1</v>
      </c>
      <c r="E265">
        <f t="shared" si="17"/>
        <v>43</v>
      </c>
      <c r="F265" s="9" t="s">
        <v>612</v>
      </c>
      <c r="G265" s="9" t="s">
        <v>774</v>
      </c>
      <c r="H265" s="9" t="s">
        <v>1073</v>
      </c>
      <c r="I265">
        <f t="shared" si="16"/>
        <v>215</v>
      </c>
      <c r="J265">
        <f t="shared" si="18"/>
        <v>97.522359550000004</v>
      </c>
      <c r="K265">
        <v>1.23</v>
      </c>
      <c r="L265">
        <f t="shared" si="19"/>
        <v>119.9525022465</v>
      </c>
    </row>
    <row r="266" spans="1:12" x14ac:dyDescent="0.2">
      <c r="A266" s="4">
        <v>43502</v>
      </c>
      <c r="B266" s="6" t="s">
        <v>1059</v>
      </c>
      <c r="C266">
        <v>10</v>
      </c>
      <c r="D266" s="35">
        <v>1</v>
      </c>
      <c r="E266">
        <f t="shared" si="17"/>
        <v>43</v>
      </c>
      <c r="F266" t="s">
        <v>695</v>
      </c>
      <c r="G266" t="s">
        <v>774</v>
      </c>
      <c r="H266" s="9" t="s">
        <v>1073</v>
      </c>
      <c r="I266">
        <f t="shared" si="16"/>
        <v>430</v>
      </c>
      <c r="J266">
        <f t="shared" si="18"/>
        <v>195.04471910000001</v>
      </c>
      <c r="K266">
        <v>1.23</v>
      </c>
      <c r="L266">
        <f t="shared" si="19"/>
        <v>239.90500449300001</v>
      </c>
    </row>
    <row r="267" spans="1:12" x14ac:dyDescent="0.2">
      <c r="A267" s="4">
        <v>43502</v>
      </c>
      <c r="B267" s="6" t="s">
        <v>1059</v>
      </c>
      <c r="C267">
        <v>8</v>
      </c>
      <c r="D267" s="35">
        <v>1</v>
      </c>
      <c r="E267">
        <f t="shared" si="17"/>
        <v>43</v>
      </c>
      <c r="F267" t="s">
        <v>609</v>
      </c>
      <c r="G267" t="s">
        <v>774</v>
      </c>
      <c r="H267" s="9" t="s">
        <v>1073</v>
      </c>
      <c r="I267">
        <f t="shared" si="16"/>
        <v>344</v>
      </c>
      <c r="J267">
        <f t="shared" si="18"/>
        <v>156.03577528</v>
      </c>
      <c r="K267">
        <v>1.23</v>
      </c>
      <c r="L267">
        <f t="shared" si="19"/>
        <v>191.92400359440001</v>
      </c>
    </row>
    <row r="268" spans="1:12" x14ac:dyDescent="0.2">
      <c r="A268" s="4">
        <v>43502</v>
      </c>
      <c r="B268" s="6" t="s">
        <v>1059</v>
      </c>
      <c r="C268">
        <v>2</v>
      </c>
      <c r="D268" s="35">
        <v>1</v>
      </c>
      <c r="E268">
        <f t="shared" si="17"/>
        <v>43</v>
      </c>
      <c r="F268" t="s">
        <v>611</v>
      </c>
      <c r="G268" t="s">
        <v>774</v>
      </c>
      <c r="H268" s="9" t="s">
        <v>1073</v>
      </c>
      <c r="I268">
        <f t="shared" si="16"/>
        <v>86</v>
      </c>
      <c r="J268">
        <f t="shared" si="18"/>
        <v>39.008943819999999</v>
      </c>
      <c r="K268">
        <v>1.23</v>
      </c>
      <c r="L268">
        <f t="shared" si="19"/>
        <v>47.981000898600001</v>
      </c>
    </row>
    <row r="269" spans="1:12" x14ac:dyDescent="0.2">
      <c r="A269" s="4">
        <v>43502</v>
      </c>
      <c r="B269" s="6" t="s">
        <v>1059</v>
      </c>
      <c r="C269">
        <v>4</v>
      </c>
      <c r="D269" s="35">
        <v>1</v>
      </c>
      <c r="E269">
        <f t="shared" si="17"/>
        <v>43</v>
      </c>
      <c r="F269" t="s">
        <v>696</v>
      </c>
      <c r="G269" t="s">
        <v>774</v>
      </c>
      <c r="H269" s="9" t="s">
        <v>1073</v>
      </c>
      <c r="I269">
        <f t="shared" si="16"/>
        <v>172</v>
      </c>
      <c r="J269">
        <f t="shared" si="18"/>
        <v>78.017887639999998</v>
      </c>
      <c r="K269">
        <v>1.23</v>
      </c>
      <c r="L269">
        <f t="shared" si="19"/>
        <v>95.962001797200003</v>
      </c>
    </row>
    <row r="270" spans="1:12" x14ac:dyDescent="0.2">
      <c r="A270" s="4">
        <v>43497</v>
      </c>
      <c r="B270" t="s">
        <v>517</v>
      </c>
      <c r="C270">
        <v>2</v>
      </c>
      <c r="D270">
        <v>20</v>
      </c>
      <c r="E270">
        <v>0.5</v>
      </c>
      <c r="F270" t="s">
        <v>465</v>
      </c>
      <c r="G270" t="s">
        <v>842</v>
      </c>
      <c r="H270" s="9" t="s">
        <v>1073</v>
      </c>
      <c r="I270">
        <f t="shared" si="16"/>
        <v>20</v>
      </c>
      <c r="J270">
        <f t="shared" si="18"/>
        <v>9.0718474000000011</v>
      </c>
      <c r="K270">
        <v>1.23</v>
      </c>
      <c r="L270">
        <f t="shared" si="19"/>
        <v>11.158372302000002</v>
      </c>
    </row>
    <row r="271" spans="1:12" x14ac:dyDescent="0.2">
      <c r="A271" s="4">
        <v>43500</v>
      </c>
      <c r="B271" t="s">
        <v>517</v>
      </c>
      <c r="C271">
        <v>2</v>
      </c>
      <c r="D271">
        <v>20</v>
      </c>
      <c r="E271">
        <v>0.5</v>
      </c>
      <c r="F271" t="s">
        <v>465</v>
      </c>
      <c r="G271" t="s">
        <v>842</v>
      </c>
      <c r="H271" s="9" t="s">
        <v>1073</v>
      </c>
      <c r="I271">
        <f t="shared" si="16"/>
        <v>20</v>
      </c>
      <c r="J271">
        <f t="shared" si="18"/>
        <v>9.0718474000000011</v>
      </c>
      <c r="K271">
        <v>1.23</v>
      </c>
      <c r="L271">
        <f t="shared" si="19"/>
        <v>11.158372302000002</v>
      </c>
    </row>
    <row r="272" spans="1:12" x14ac:dyDescent="0.2">
      <c r="A272" s="4">
        <v>43503</v>
      </c>
      <c r="B272" t="s">
        <v>517</v>
      </c>
      <c r="C272">
        <v>2</v>
      </c>
      <c r="D272">
        <v>20</v>
      </c>
      <c r="E272">
        <v>0.5</v>
      </c>
      <c r="F272" t="s">
        <v>465</v>
      </c>
      <c r="G272" t="s">
        <v>842</v>
      </c>
      <c r="H272" s="9" t="s">
        <v>1073</v>
      </c>
      <c r="I272">
        <f t="shared" si="16"/>
        <v>20</v>
      </c>
      <c r="J272">
        <f t="shared" si="18"/>
        <v>9.0718474000000011</v>
      </c>
      <c r="K272">
        <v>1.23</v>
      </c>
      <c r="L272">
        <f t="shared" si="19"/>
        <v>11.158372302000002</v>
      </c>
    </row>
    <row r="273" spans="1:12" x14ac:dyDescent="0.2">
      <c r="A273" s="4">
        <v>43497</v>
      </c>
      <c r="B273" t="s">
        <v>538</v>
      </c>
      <c r="C273">
        <v>1</v>
      </c>
      <c r="D273">
        <v>4</v>
      </c>
      <c r="E273">
        <v>11.89</v>
      </c>
      <c r="F273" t="s">
        <v>547</v>
      </c>
      <c r="G273" t="s">
        <v>1048</v>
      </c>
      <c r="H273" s="9" t="s">
        <v>1071</v>
      </c>
      <c r="I273">
        <f t="shared" si="16"/>
        <v>47.56</v>
      </c>
      <c r="J273">
        <f t="shared" si="18"/>
        <v>21.572853117200001</v>
      </c>
      <c r="K273">
        <v>0.48799999999999999</v>
      </c>
      <c r="L273">
        <f t="shared" si="19"/>
        <v>10.5275523211936</v>
      </c>
    </row>
    <row r="274" spans="1:12" x14ac:dyDescent="0.2">
      <c r="A274" s="4">
        <v>43500</v>
      </c>
      <c r="B274" t="s">
        <v>538</v>
      </c>
      <c r="C274">
        <v>1</v>
      </c>
      <c r="D274">
        <v>4</v>
      </c>
      <c r="E274">
        <v>11.89</v>
      </c>
      <c r="F274" t="s">
        <v>547</v>
      </c>
      <c r="G274" t="s">
        <v>1048</v>
      </c>
      <c r="H274" s="9" t="s">
        <v>1071</v>
      </c>
      <c r="I274">
        <f t="shared" si="16"/>
        <v>47.56</v>
      </c>
      <c r="J274">
        <f t="shared" si="18"/>
        <v>21.572853117200001</v>
      </c>
      <c r="K274">
        <v>0.48799999999999999</v>
      </c>
      <c r="L274">
        <f t="shared" si="19"/>
        <v>10.5275523211936</v>
      </c>
    </row>
    <row r="275" spans="1:12" x14ac:dyDescent="0.2">
      <c r="A275" s="4">
        <v>43503</v>
      </c>
      <c r="B275" t="s">
        <v>48</v>
      </c>
      <c r="C275" s="28">
        <v>5</v>
      </c>
      <c r="D275" s="35">
        <v>1</v>
      </c>
      <c r="E275">
        <v>5</v>
      </c>
      <c r="F275" t="s">
        <v>313</v>
      </c>
      <c r="G275" t="s">
        <v>313</v>
      </c>
      <c r="H275" s="9" t="s">
        <v>1071</v>
      </c>
      <c r="I275">
        <f t="shared" si="16"/>
        <v>25</v>
      </c>
      <c r="J275">
        <f t="shared" si="18"/>
        <v>11.33980925</v>
      </c>
      <c r="K275">
        <v>3.093</v>
      </c>
      <c r="L275">
        <f t="shared" si="19"/>
        <v>35.074030010249999</v>
      </c>
    </row>
    <row r="276" spans="1:12" x14ac:dyDescent="0.2">
      <c r="A276" s="4">
        <v>43502</v>
      </c>
      <c r="B276" t="s">
        <v>48</v>
      </c>
      <c r="C276" s="28">
        <v>4</v>
      </c>
      <c r="D276" s="35">
        <v>1</v>
      </c>
      <c r="E276">
        <v>5</v>
      </c>
      <c r="F276" t="s">
        <v>313</v>
      </c>
      <c r="G276" t="s">
        <v>313</v>
      </c>
      <c r="H276" s="9" t="s">
        <v>1071</v>
      </c>
      <c r="I276">
        <f t="shared" ref="I276:I307" si="20">C276*D276*E276</f>
        <v>20</v>
      </c>
      <c r="J276">
        <f t="shared" si="18"/>
        <v>9.0718474000000011</v>
      </c>
      <c r="K276">
        <v>3.093</v>
      </c>
      <c r="L276">
        <f t="shared" si="19"/>
        <v>28.059224008200005</v>
      </c>
    </row>
    <row r="277" spans="1:12" x14ac:dyDescent="0.2">
      <c r="A277" s="4">
        <v>43502</v>
      </c>
      <c r="B277" t="s">
        <v>48</v>
      </c>
      <c r="C277" s="28">
        <v>8</v>
      </c>
      <c r="D277" s="35">
        <v>1</v>
      </c>
      <c r="E277">
        <v>5</v>
      </c>
      <c r="F277" t="s">
        <v>313</v>
      </c>
      <c r="G277" t="s">
        <v>313</v>
      </c>
      <c r="H277" s="9" t="s">
        <v>1071</v>
      </c>
      <c r="I277">
        <f t="shared" si="20"/>
        <v>40</v>
      </c>
      <c r="J277">
        <f t="shared" si="18"/>
        <v>18.143694800000002</v>
      </c>
      <c r="K277">
        <v>3.093</v>
      </c>
      <c r="L277">
        <f t="shared" si="19"/>
        <v>56.118448016400009</v>
      </c>
    </row>
    <row r="278" spans="1:12" x14ac:dyDescent="0.2">
      <c r="A278" s="4">
        <v>43501</v>
      </c>
      <c r="B278" t="s">
        <v>48</v>
      </c>
      <c r="C278" s="28">
        <v>2</v>
      </c>
      <c r="D278" s="35">
        <v>1</v>
      </c>
      <c r="E278">
        <v>5</v>
      </c>
      <c r="F278" t="s">
        <v>313</v>
      </c>
      <c r="G278" t="s">
        <v>313</v>
      </c>
      <c r="H278" s="9" t="s">
        <v>1071</v>
      </c>
      <c r="I278">
        <f t="shared" si="20"/>
        <v>10</v>
      </c>
      <c r="J278">
        <f t="shared" si="18"/>
        <v>4.5359237000000006</v>
      </c>
      <c r="K278">
        <v>3.093</v>
      </c>
      <c r="L278">
        <f t="shared" si="19"/>
        <v>14.029612004100002</v>
      </c>
    </row>
    <row r="279" spans="1:12" x14ac:dyDescent="0.2">
      <c r="A279" s="4">
        <v>43501</v>
      </c>
      <c r="B279" t="s">
        <v>48</v>
      </c>
      <c r="C279" s="28">
        <v>4</v>
      </c>
      <c r="D279" s="35">
        <v>1</v>
      </c>
      <c r="E279">
        <v>5</v>
      </c>
      <c r="F279" t="s">
        <v>313</v>
      </c>
      <c r="G279" t="s">
        <v>313</v>
      </c>
      <c r="H279" s="9" t="s">
        <v>1071</v>
      </c>
      <c r="I279">
        <f t="shared" si="20"/>
        <v>20</v>
      </c>
      <c r="J279">
        <f t="shared" si="18"/>
        <v>9.0718474000000011</v>
      </c>
      <c r="K279">
        <v>3.093</v>
      </c>
      <c r="L279">
        <f t="shared" si="19"/>
        <v>28.059224008200005</v>
      </c>
    </row>
    <row r="280" spans="1:12" x14ac:dyDescent="0.2">
      <c r="A280" s="4">
        <v>43500</v>
      </c>
      <c r="B280" t="s">
        <v>48</v>
      </c>
      <c r="C280" s="28">
        <v>4</v>
      </c>
      <c r="D280" s="35">
        <v>1</v>
      </c>
      <c r="E280">
        <v>3</v>
      </c>
      <c r="F280" t="s">
        <v>313</v>
      </c>
      <c r="G280" t="s">
        <v>313</v>
      </c>
      <c r="H280" s="9" t="s">
        <v>1071</v>
      </c>
      <c r="I280">
        <f t="shared" si="20"/>
        <v>12</v>
      </c>
      <c r="J280">
        <f t="shared" si="18"/>
        <v>5.4431084400000005</v>
      </c>
      <c r="K280">
        <v>3.093</v>
      </c>
      <c r="L280">
        <f t="shared" si="19"/>
        <v>16.835534404920001</v>
      </c>
    </row>
    <row r="281" spans="1:12" x14ac:dyDescent="0.2">
      <c r="A281" s="4">
        <v>43500</v>
      </c>
      <c r="B281" t="s">
        <v>48</v>
      </c>
      <c r="C281" s="28">
        <v>6</v>
      </c>
      <c r="D281" s="35">
        <v>1</v>
      </c>
      <c r="E281">
        <v>5</v>
      </c>
      <c r="F281" t="s">
        <v>313</v>
      </c>
      <c r="G281" t="s">
        <v>313</v>
      </c>
      <c r="H281" s="9" t="s">
        <v>1071</v>
      </c>
      <c r="I281">
        <f t="shared" si="20"/>
        <v>30</v>
      </c>
      <c r="J281">
        <f t="shared" si="18"/>
        <v>13.607771100000001</v>
      </c>
      <c r="K281">
        <v>3.093</v>
      </c>
      <c r="L281">
        <f t="shared" si="19"/>
        <v>42.0888360123</v>
      </c>
    </row>
    <row r="282" spans="1:12" x14ac:dyDescent="0.2">
      <c r="A282" s="4">
        <v>43497</v>
      </c>
      <c r="B282" t="s">
        <v>538</v>
      </c>
      <c r="C282">
        <v>3</v>
      </c>
      <c r="D282">
        <v>4</v>
      </c>
      <c r="E282">
        <v>5</v>
      </c>
      <c r="F282" t="s">
        <v>586</v>
      </c>
      <c r="G282" s="6" t="s">
        <v>876</v>
      </c>
      <c r="H282" s="9" t="s">
        <v>1071</v>
      </c>
      <c r="I282">
        <f t="shared" si="20"/>
        <v>60</v>
      </c>
      <c r="J282">
        <f t="shared" si="18"/>
        <v>27.215542200000002</v>
      </c>
      <c r="K282">
        <v>5.99</v>
      </c>
      <c r="L282">
        <f t="shared" si="19"/>
        <v>163.02109777800001</v>
      </c>
    </row>
    <row r="283" spans="1:12" x14ac:dyDescent="0.2">
      <c r="A283" s="4">
        <v>43497</v>
      </c>
      <c r="B283" t="s">
        <v>531</v>
      </c>
      <c r="C283">
        <v>4</v>
      </c>
      <c r="D283">
        <v>4</v>
      </c>
      <c r="E283">
        <v>5</v>
      </c>
      <c r="F283" t="s">
        <v>418</v>
      </c>
      <c r="G283" s="6" t="s">
        <v>876</v>
      </c>
      <c r="H283" s="9" t="s">
        <v>1071</v>
      </c>
      <c r="I283">
        <f t="shared" si="20"/>
        <v>80</v>
      </c>
      <c r="J283">
        <f t="shared" si="18"/>
        <v>36.287389600000004</v>
      </c>
      <c r="K283">
        <v>5.99</v>
      </c>
      <c r="L283">
        <f t="shared" si="19"/>
        <v>217.36146370400004</v>
      </c>
    </row>
    <row r="284" spans="1:12" x14ac:dyDescent="0.2">
      <c r="A284" s="4">
        <v>43500</v>
      </c>
      <c r="B284" t="s">
        <v>48</v>
      </c>
      <c r="C284" s="28">
        <v>3</v>
      </c>
      <c r="D284" s="35">
        <v>1</v>
      </c>
      <c r="E284">
        <v>11</v>
      </c>
      <c r="F284" t="s">
        <v>722</v>
      </c>
      <c r="G284" t="s">
        <v>722</v>
      </c>
      <c r="H284" s="9" t="s">
        <v>1071</v>
      </c>
      <c r="I284">
        <f t="shared" si="20"/>
        <v>33</v>
      </c>
      <c r="J284">
        <f t="shared" si="18"/>
        <v>14.968548210000002</v>
      </c>
      <c r="K284">
        <v>0.496</v>
      </c>
      <c r="L284">
        <f t="shared" si="19"/>
        <v>7.4243999121600011</v>
      </c>
    </row>
    <row r="285" spans="1:12" x14ac:dyDescent="0.2">
      <c r="A285" s="4">
        <v>43497</v>
      </c>
      <c r="B285" t="s">
        <v>48</v>
      </c>
      <c r="C285" s="28">
        <v>2</v>
      </c>
      <c r="D285" s="35">
        <v>1</v>
      </c>
      <c r="E285">
        <v>11</v>
      </c>
      <c r="F285" t="s">
        <v>722</v>
      </c>
      <c r="G285" t="s">
        <v>722</v>
      </c>
      <c r="H285" s="9" t="s">
        <v>1071</v>
      </c>
      <c r="I285">
        <f t="shared" si="20"/>
        <v>22</v>
      </c>
      <c r="J285">
        <f t="shared" si="18"/>
        <v>9.979032140000001</v>
      </c>
      <c r="K285">
        <v>0.496</v>
      </c>
      <c r="L285">
        <f t="shared" si="19"/>
        <v>4.9495999414400007</v>
      </c>
    </row>
    <row r="286" spans="1:12" x14ac:dyDescent="0.2">
      <c r="A286" s="4">
        <v>43497</v>
      </c>
      <c r="B286" t="s">
        <v>538</v>
      </c>
      <c r="C286">
        <v>1</v>
      </c>
      <c r="D286">
        <v>6</v>
      </c>
      <c r="E286">
        <v>10</v>
      </c>
      <c r="F286" t="s">
        <v>445</v>
      </c>
      <c r="G286" t="s">
        <v>883</v>
      </c>
      <c r="H286" s="9" t="s">
        <v>1071</v>
      </c>
      <c r="I286">
        <f t="shared" si="20"/>
        <v>60</v>
      </c>
      <c r="J286">
        <f t="shared" si="18"/>
        <v>27.215542200000002</v>
      </c>
      <c r="K286">
        <v>0.48199999999999998</v>
      </c>
      <c r="L286">
        <f t="shared" si="19"/>
        <v>13.1178913404</v>
      </c>
    </row>
    <row r="287" spans="1:12" x14ac:dyDescent="0.2">
      <c r="A287" s="4">
        <v>43503</v>
      </c>
      <c r="B287" t="s">
        <v>538</v>
      </c>
      <c r="C287">
        <v>1</v>
      </c>
      <c r="D287">
        <v>6</v>
      </c>
      <c r="E287">
        <v>10</v>
      </c>
      <c r="F287" t="s">
        <v>445</v>
      </c>
      <c r="G287" t="s">
        <v>1060</v>
      </c>
      <c r="H287" s="9" t="s">
        <v>1071</v>
      </c>
      <c r="I287">
        <f t="shared" si="20"/>
        <v>60</v>
      </c>
      <c r="J287">
        <f t="shared" si="18"/>
        <v>27.215542200000002</v>
      </c>
      <c r="K287">
        <v>0.48199999999999998</v>
      </c>
      <c r="L287">
        <f t="shared" si="19"/>
        <v>13.1178913404</v>
      </c>
    </row>
    <row r="288" spans="1:12" x14ac:dyDescent="0.2">
      <c r="A288" s="4">
        <v>43497</v>
      </c>
      <c r="B288" t="s">
        <v>538</v>
      </c>
      <c r="C288">
        <v>1</v>
      </c>
      <c r="D288">
        <v>6</v>
      </c>
      <c r="E288">
        <v>7.9</v>
      </c>
      <c r="F288" t="s">
        <v>736</v>
      </c>
      <c r="G288" t="s">
        <v>1046</v>
      </c>
      <c r="H288" s="9" t="s">
        <v>1071</v>
      </c>
      <c r="I288">
        <f t="shared" si="20"/>
        <v>47.400000000000006</v>
      </c>
      <c r="J288">
        <f t="shared" si="18"/>
        <v>21.500278338000005</v>
      </c>
      <c r="K288">
        <v>3.206</v>
      </c>
      <c r="L288">
        <f t="shared" si="19"/>
        <v>68.929892351628013</v>
      </c>
    </row>
    <row r="289" spans="1:12" x14ac:dyDescent="0.2">
      <c r="A289" s="4">
        <v>43503</v>
      </c>
      <c r="B289" t="s">
        <v>48</v>
      </c>
      <c r="C289" s="28">
        <v>1</v>
      </c>
      <c r="D289" s="35">
        <v>1</v>
      </c>
      <c r="E289">
        <v>20</v>
      </c>
      <c r="F289" t="s">
        <v>326</v>
      </c>
      <c r="G289" t="s">
        <v>790</v>
      </c>
      <c r="H289" s="9" t="s">
        <v>1071</v>
      </c>
      <c r="I289">
        <f t="shared" si="20"/>
        <v>20</v>
      </c>
      <c r="J289">
        <f t="shared" si="18"/>
        <v>9.0718474000000011</v>
      </c>
      <c r="K289">
        <v>0.26900000000000002</v>
      </c>
      <c r="L289">
        <f t="shared" si="19"/>
        <v>2.4403269506000003</v>
      </c>
    </row>
    <row r="290" spans="1:12" x14ac:dyDescent="0.2">
      <c r="A290" s="4">
        <v>43502</v>
      </c>
      <c r="B290" t="s">
        <v>48</v>
      </c>
      <c r="C290" s="28">
        <v>1</v>
      </c>
      <c r="D290" s="35">
        <v>1</v>
      </c>
      <c r="E290">
        <v>50</v>
      </c>
      <c r="F290" t="s">
        <v>315</v>
      </c>
      <c r="G290" t="s">
        <v>790</v>
      </c>
      <c r="H290" s="9" t="s">
        <v>1071</v>
      </c>
      <c r="I290">
        <f t="shared" si="20"/>
        <v>50</v>
      </c>
      <c r="J290">
        <f t="shared" si="18"/>
        <v>22.6796185</v>
      </c>
      <c r="K290">
        <v>0.26900000000000002</v>
      </c>
      <c r="L290">
        <f t="shared" si="19"/>
        <v>6.1008173765000002</v>
      </c>
    </row>
    <row r="291" spans="1:12" x14ac:dyDescent="0.2">
      <c r="A291" s="4">
        <v>43498</v>
      </c>
      <c r="B291" t="s">
        <v>48</v>
      </c>
      <c r="C291" s="28">
        <v>2</v>
      </c>
      <c r="D291" s="35">
        <v>1</v>
      </c>
      <c r="E291">
        <v>20</v>
      </c>
      <c r="F291" t="s">
        <v>222</v>
      </c>
      <c r="G291" t="s">
        <v>762</v>
      </c>
      <c r="H291" s="9" t="s">
        <v>1071</v>
      </c>
      <c r="I291">
        <f t="shared" si="20"/>
        <v>40</v>
      </c>
      <c r="J291">
        <f t="shared" si="18"/>
        <v>18.143694800000002</v>
      </c>
      <c r="K291">
        <v>0.26900000000000002</v>
      </c>
      <c r="L291">
        <f t="shared" si="19"/>
        <v>4.8806539012000005</v>
      </c>
    </row>
    <row r="292" spans="1:12" x14ac:dyDescent="0.2">
      <c r="A292" s="4">
        <v>43503</v>
      </c>
      <c r="B292" t="s">
        <v>48</v>
      </c>
      <c r="C292" s="28">
        <v>2</v>
      </c>
      <c r="D292" s="35">
        <v>1</v>
      </c>
      <c r="E292">
        <v>50</v>
      </c>
      <c r="F292" t="s">
        <v>315</v>
      </c>
      <c r="G292" t="s">
        <v>762</v>
      </c>
      <c r="H292" s="9" t="s">
        <v>1071</v>
      </c>
      <c r="I292">
        <f t="shared" si="20"/>
        <v>100</v>
      </c>
      <c r="J292">
        <f t="shared" si="18"/>
        <v>45.359237</v>
      </c>
      <c r="K292">
        <v>0.26900000000000002</v>
      </c>
      <c r="L292">
        <f t="shared" si="19"/>
        <v>12.201634753</v>
      </c>
    </row>
    <row r="293" spans="1:12" x14ac:dyDescent="0.2">
      <c r="A293" s="4">
        <v>43500</v>
      </c>
      <c r="B293" t="s">
        <v>48</v>
      </c>
      <c r="C293" s="28">
        <v>1</v>
      </c>
      <c r="D293" s="35">
        <v>1</v>
      </c>
      <c r="E293">
        <f>24/16</f>
        <v>1.5</v>
      </c>
      <c r="F293" t="s">
        <v>314</v>
      </c>
      <c r="G293" t="s">
        <v>824</v>
      </c>
      <c r="H293" s="9" t="s">
        <v>1071</v>
      </c>
      <c r="I293">
        <f t="shared" si="20"/>
        <v>1.5</v>
      </c>
      <c r="J293">
        <f t="shared" si="18"/>
        <v>0.68038855500000006</v>
      </c>
      <c r="K293">
        <v>8.5000000000000006E-2</v>
      </c>
      <c r="L293">
        <f t="shared" si="19"/>
        <v>5.783302717500001E-2</v>
      </c>
    </row>
    <row r="294" spans="1:12" x14ac:dyDescent="0.2">
      <c r="A294" s="4">
        <v>43497</v>
      </c>
      <c r="B294" t="s">
        <v>22</v>
      </c>
      <c r="C294" s="35">
        <v>1</v>
      </c>
      <c r="D294" s="35">
        <v>1</v>
      </c>
      <c r="E294">
        <v>79.2</v>
      </c>
      <c r="F294" t="s">
        <v>606</v>
      </c>
      <c r="G294" t="s">
        <v>923</v>
      </c>
      <c r="H294" s="9" t="s">
        <v>1071</v>
      </c>
      <c r="I294">
        <f t="shared" si="20"/>
        <v>79.2</v>
      </c>
      <c r="J294">
        <f t="shared" si="18"/>
        <v>35.924515704000008</v>
      </c>
      <c r="K294">
        <v>0.29399999999999998</v>
      </c>
      <c r="L294">
        <f t="shared" si="19"/>
        <v>10.561807616976001</v>
      </c>
    </row>
    <row r="295" spans="1:12" x14ac:dyDescent="0.2">
      <c r="A295" s="4">
        <v>43501</v>
      </c>
      <c r="B295" t="s">
        <v>22</v>
      </c>
      <c r="C295" s="35">
        <v>1</v>
      </c>
      <c r="D295" s="35">
        <v>1</v>
      </c>
      <c r="E295">
        <v>79.2</v>
      </c>
      <c r="F295" t="s">
        <v>606</v>
      </c>
      <c r="G295" t="s">
        <v>923</v>
      </c>
      <c r="H295" s="9" t="s">
        <v>1071</v>
      </c>
      <c r="I295">
        <f t="shared" si="20"/>
        <v>79.2</v>
      </c>
      <c r="J295">
        <f t="shared" si="18"/>
        <v>35.924515704000008</v>
      </c>
      <c r="K295">
        <v>0.29399999999999998</v>
      </c>
      <c r="L295">
        <f t="shared" si="19"/>
        <v>10.561807616976001</v>
      </c>
    </row>
    <row r="296" spans="1:12" x14ac:dyDescent="0.2">
      <c r="A296" s="4">
        <v>43503</v>
      </c>
      <c r="B296" t="s">
        <v>48</v>
      </c>
      <c r="C296">
        <v>2</v>
      </c>
      <c r="D296" s="35">
        <v>1</v>
      </c>
      <c r="E296">
        <f>88*0.288806</f>
        <v>25.414928</v>
      </c>
      <c r="F296" s="9" t="s">
        <v>55</v>
      </c>
      <c r="G296" s="9" t="s">
        <v>55</v>
      </c>
      <c r="H296" s="9" t="s">
        <v>1071</v>
      </c>
      <c r="I296">
        <f t="shared" si="20"/>
        <v>50.829855999999999</v>
      </c>
      <c r="J296">
        <f t="shared" si="18"/>
        <v>23.056034849798721</v>
      </c>
      <c r="K296">
        <v>0.29399999999999998</v>
      </c>
      <c r="L296">
        <f t="shared" si="19"/>
        <v>6.7784742458408234</v>
      </c>
    </row>
    <row r="297" spans="1:12" x14ac:dyDescent="0.2">
      <c r="A297" s="4">
        <v>43503</v>
      </c>
      <c r="B297" t="s">
        <v>48</v>
      </c>
      <c r="C297">
        <v>10</v>
      </c>
      <c r="D297" s="35">
        <v>1</v>
      </c>
      <c r="E297">
        <f>113*0.288806</f>
        <v>32.635078</v>
      </c>
      <c r="F297" s="9" t="s">
        <v>55</v>
      </c>
      <c r="G297" s="9" t="s">
        <v>55</v>
      </c>
      <c r="H297" s="9" t="s">
        <v>1071</v>
      </c>
      <c r="I297">
        <f t="shared" si="20"/>
        <v>326.35077999999999</v>
      </c>
      <c r="J297">
        <f t="shared" si="18"/>
        <v>148.03022375154859</v>
      </c>
      <c r="K297">
        <v>0.29399999999999998</v>
      </c>
      <c r="L297">
        <f t="shared" si="19"/>
        <v>43.520885782955283</v>
      </c>
    </row>
    <row r="298" spans="1:12" x14ac:dyDescent="0.2">
      <c r="A298" s="4">
        <v>43502</v>
      </c>
      <c r="B298" t="s">
        <v>48</v>
      </c>
      <c r="C298" s="28">
        <v>20</v>
      </c>
      <c r="D298" s="35">
        <v>1</v>
      </c>
      <c r="E298">
        <f>113*0.288806</f>
        <v>32.635078</v>
      </c>
      <c r="F298" t="s">
        <v>55</v>
      </c>
      <c r="G298" t="s">
        <v>55</v>
      </c>
      <c r="H298" s="9" t="s">
        <v>1071</v>
      </c>
      <c r="I298">
        <f t="shared" si="20"/>
        <v>652.70155999999997</v>
      </c>
      <c r="J298">
        <f t="shared" si="18"/>
        <v>296.06044750309718</v>
      </c>
      <c r="K298">
        <v>0.29399999999999998</v>
      </c>
      <c r="L298">
        <f t="shared" si="19"/>
        <v>87.041771565910565</v>
      </c>
    </row>
    <row r="299" spans="1:12" x14ac:dyDescent="0.2">
      <c r="A299" s="4">
        <v>43501</v>
      </c>
      <c r="B299" t="s">
        <v>48</v>
      </c>
      <c r="C299" s="28">
        <v>10</v>
      </c>
      <c r="D299" s="35">
        <v>1</v>
      </c>
      <c r="E299">
        <f>113*0.288806</f>
        <v>32.635078</v>
      </c>
      <c r="F299" t="s">
        <v>55</v>
      </c>
      <c r="G299" t="s">
        <v>55</v>
      </c>
      <c r="H299" s="9" t="s">
        <v>1071</v>
      </c>
      <c r="I299">
        <f t="shared" si="20"/>
        <v>326.35077999999999</v>
      </c>
      <c r="J299">
        <f t="shared" si="18"/>
        <v>148.03022375154859</v>
      </c>
      <c r="K299">
        <v>0.29399999999999998</v>
      </c>
      <c r="L299">
        <f t="shared" si="19"/>
        <v>43.520885782955283</v>
      </c>
    </row>
    <row r="300" spans="1:12" x14ac:dyDescent="0.2">
      <c r="A300" s="4">
        <v>43500</v>
      </c>
      <c r="B300" t="s">
        <v>48</v>
      </c>
      <c r="C300" s="28">
        <v>13</v>
      </c>
      <c r="D300" s="35">
        <v>1</v>
      </c>
      <c r="E300">
        <f>113*0.288806</f>
        <v>32.635078</v>
      </c>
      <c r="F300" t="s">
        <v>55</v>
      </c>
      <c r="G300" t="s">
        <v>55</v>
      </c>
      <c r="H300" s="9" t="s">
        <v>1071</v>
      </c>
      <c r="I300">
        <f t="shared" si="20"/>
        <v>424.25601399999999</v>
      </c>
      <c r="J300">
        <f t="shared" si="18"/>
        <v>192.43929087701318</v>
      </c>
      <c r="K300">
        <v>0.29399999999999998</v>
      </c>
      <c r="L300">
        <f t="shared" si="19"/>
        <v>56.57715151784187</v>
      </c>
    </row>
    <row r="301" spans="1:12" x14ac:dyDescent="0.2">
      <c r="A301" s="4">
        <v>43498</v>
      </c>
      <c r="B301" t="s">
        <v>48</v>
      </c>
      <c r="C301" s="28">
        <v>30</v>
      </c>
      <c r="D301" s="35">
        <v>1</v>
      </c>
      <c r="E301">
        <f>113*0.288806</f>
        <v>32.635078</v>
      </c>
      <c r="F301" t="s">
        <v>55</v>
      </c>
      <c r="G301" t="s">
        <v>55</v>
      </c>
      <c r="H301" s="9" t="s">
        <v>1071</v>
      </c>
      <c r="I301">
        <f t="shared" si="20"/>
        <v>979.05233999999996</v>
      </c>
      <c r="J301">
        <f t="shared" si="18"/>
        <v>444.09067125464583</v>
      </c>
      <c r="K301">
        <v>0.29399999999999998</v>
      </c>
      <c r="L301">
        <f t="shared" si="19"/>
        <v>130.56265734886586</v>
      </c>
    </row>
    <row r="302" spans="1:12" x14ac:dyDescent="0.2">
      <c r="A302" s="4">
        <v>43500</v>
      </c>
      <c r="B302" t="s">
        <v>538</v>
      </c>
      <c r="C302">
        <v>4</v>
      </c>
      <c r="D302">
        <v>6</v>
      </c>
      <c r="E302">
        <v>5</v>
      </c>
      <c r="F302" t="s">
        <v>439</v>
      </c>
      <c r="G302" s="14" t="s">
        <v>976</v>
      </c>
      <c r="H302" s="9" t="s">
        <v>1071</v>
      </c>
      <c r="I302">
        <f t="shared" si="20"/>
        <v>120</v>
      </c>
      <c r="J302">
        <f t="shared" si="18"/>
        <v>54.431084400000003</v>
      </c>
      <c r="L302">
        <f t="shared" si="19"/>
        <v>0</v>
      </c>
    </row>
    <row r="303" spans="1:12" x14ac:dyDescent="0.2">
      <c r="A303" s="4">
        <v>43501</v>
      </c>
      <c r="B303" t="s">
        <v>48</v>
      </c>
      <c r="C303" s="28">
        <v>1</v>
      </c>
      <c r="D303" s="35">
        <v>1</v>
      </c>
      <c r="E303">
        <f>10*3*(1/8)</f>
        <v>3.75</v>
      </c>
      <c r="F303" t="s">
        <v>483</v>
      </c>
      <c r="G303" t="s">
        <v>814</v>
      </c>
      <c r="H303" s="9" t="s">
        <v>1071</v>
      </c>
      <c r="I303">
        <f t="shared" si="20"/>
        <v>3.75</v>
      </c>
      <c r="J303">
        <f t="shared" si="18"/>
        <v>1.7009713875000001</v>
      </c>
      <c r="K303">
        <v>0.23200000000000001</v>
      </c>
      <c r="L303">
        <f t="shared" si="19"/>
        <v>0.39462536190000003</v>
      </c>
    </row>
    <row r="304" spans="1:12" x14ac:dyDescent="0.2">
      <c r="A304" s="4">
        <v>43497</v>
      </c>
      <c r="B304" t="s">
        <v>538</v>
      </c>
      <c r="C304">
        <v>1</v>
      </c>
      <c r="D304">
        <v>2</v>
      </c>
      <c r="E304">
        <v>5</v>
      </c>
      <c r="F304" t="s">
        <v>739</v>
      </c>
      <c r="G304" s="6" t="s">
        <v>875</v>
      </c>
      <c r="H304" s="9" t="s">
        <v>1071</v>
      </c>
      <c r="I304">
        <f t="shared" si="20"/>
        <v>10</v>
      </c>
      <c r="J304">
        <f t="shared" si="18"/>
        <v>4.5359237000000006</v>
      </c>
      <c r="K304">
        <v>5.99</v>
      </c>
      <c r="L304">
        <f t="shared" si="19"/>
        <v>27.170182963000006</v>
      </c>
    </row>
    <row r="305" spans="1:12" x14ac:dyDescent="0.2">
      <c r="A305" s="4">
        <v>43497</v>
      </c>
      <c r="B305" t="s">
        <v>538</v>
      </c>
      <c r="C305">
        <v>4</v>
      </c>
      <c r="D305">
        <v>2</v>
      </c>
      <c r="E305">
        <v>10</v>
      </c>
      <c r="F305" t="s">
        <v>458</v>
      </c>
      <c r="G305" t="s">
        <v>875</v>
      </c>
      <c r="H305" s="9" t="s">
        <v>1071</v>
      </c>
      <c r="I305">
        <f t="shared" si="20"/>
        <v>80</v>
      </c>
      <c r="J305">
        <f t="shared" si="18"/>
        <v>36.287389600000004</v>
      </c>
      <c r="K305">
        <v>5.99</v>
      </c>
      <c r="L305">
        <f t="shared" si="19"/>
        <v>217.36146370400004</v>
      </c>
    </row>
    <row r="306" spans="1:12" x14ac:dyDescent="0.2">
      <c r="A306" s="4">
        <v>43497</v>
      </c>
      <c r="B306" t="s">
        <v>538</v>
      </c>
      <c r="C306">
        <v>4</v>
      </c>
      <c r="D306">
        <v>2</v>
      </c>
      <c r="E306">
        <v>10</v>
      </c>
      <c r="F306" t="s">
        <v>461</v>
      </c>
      <c r="G306" t="s">
        <v>875</v>
      </c>
      <c r="H306" s="9" t="s">
        <v>1071</v>
      </c>
      <c r="I306">
        <f t="shared" si="20"/>
        <v>80</v>
      </c>
      <c r="J306">
        <f t="shared" si="18"/>
        <v>36.287389600000004</v>
      </c>
      <c r="K306">
        <v>5.99</v>
      </c>
      <c r="L306">
        <f t="shared" si="19"/>
        <v>217.36146370400004</v>
      </c>
    </row>
    <row r="307" spans="1:12" x14ac:dyDescent="0.2">
      <c r="A307" s="4">
        <v>43497</v>
      </c>
      <c r="B307" t="s">
        <v>538</v>
      </c>
      <c r="C307">
        <v>4</v>
      </c>
      <c r="D307">
        <v>2</v>
      </c>
      <c r="E307">
        <v>10</v>
      </c>
      <c r="F307" t="s">
        <v>462</v>
      </c>
      <c r="G307" t="s">
        <v>875</v>
      </c>
      <c r="H307" s="9" t="s">
        <v>1071</v>
      </c>
      <c r="I307">
        <f t="shared" si="20"/>
        <v>80</v>
      </c>
      <c r="J307">
        <f t="shared" si="18"/>
        <v>36.287389600000004</v>
      </c>
      <c r="K307">
        <v>5.99</v>
      </c>
      <c r="L307">
        <f t="shared" si="19"/>
        <v>217.36146370400004</v>
      </c>
    </row>
    <row r="308" spans="1:12" x14ac:dyDescent="0.2">
      <c r="A308" s="4">
        <v>43497</v>
      </c>
      <c r="B308" t="s">
        <v>538</v>
      </c>
      <c r="C308">
        <v>2</v>
      </c>
      <c r="D308">
        <v>2</v>
      </c>
      <c r="E308">
        <v>10</v>
      </c>
      <c r="F308" t="s">
        <v>566</v>
      </c>
      <c r="G308" t="s">
        <v>875</v>
      </c>
      <c r="H308" s="9" t="s">
        <v>1071</v>
      </c>
      <c r="I308">
        <f t="shared" ref="I308:I339" si="21">C308*D308*E308</f>
        <v>40</v>
      </c>
      <c r="J308">
        <f t="shared" si="18"/>
        <v>18.143694800000002</v>
      </c>
      <c r="K308">
        <v>5.99</v>
      </c>
      <c r="L308">
        <f t="shared" si="19"/>
        <v>108.68073185200002</v>
      </c>
    </row>
    <row r="309" spans="1:12" x14ac:dyDescent="0.2">
      <c r="A309" s="4">
        <v>43500</v>
      </c>
      <c r="B309" t="s">
        <v>538</v>
      </c>
      <c r="C309">
        <v>4</v>
      </c>
      <c r="D309">
        <v>8</v>
      </c>
      <c r="E309">
        <v>10.125</v>
      </c>
      <c r="F309" t="s">
        <v>670</v>
      </c>
      <c r="G309" s="6" t="s">
        <v>875</v>
      </c>
      <c r="H309" s="9" t="s">
        <v>1071</v>
      </c>
      <c r="I309">
        <f t="shared" si="21"/>
        <v>324</v>
      </c>
      <c r="J309">
        <f t="shared" si="18"/>
        <v>146.96392788</v>
      </c>
      <c r="K309">
        <v>5.99</v>
      </c>
      <c r="L309">
        <f t="shared" si="19"/>
        <v>880.3139280012</v>
      </c>
    </row>
    <row r="310" spans="1:12" x14ac:dyDescent="0.2">
      <c r="A310" s="4">
        <v>43500</v>
      </c>
      <c r="B310" t="s">
        <v>538</v>
      </c>
      <c r="C310">
        <v>4</v>
      </c>
      <c r="D310">
        <v>2</v>
      </c>
      <c r="E310">
        <v>10</v>
      </c>
      <c r="F310" t="s">
        <v>462</v>
      </c>
      <c r="G310" s="6" t="s">
        <v>875</v>
      </c>
      <c r="H310" s="9" t="s">
        <v>1071</v>
      </c>
      <c r="I310">
        <f t="shared" si="21"/>
        <v>80</v>
      </c>
      <c r="J310">
        <f t="shared" si="18"/>
        <v>36.287389600000004</v>
      </c>
      <c r="K310">
        <v>5.99</v>
      </c>
      <c r="L310">
        <f t="shared" si="19"/>
        <v>217.36146370400004</v>
      </c>
    </row>
    <row r="311" spans="1:12" x14ac:dyDescent="0.2">
      <c r="A311" s="4">
        <v>43500</v>
      </c>
      <c r="B311" t="s">
        <v>538</v>
      </c>
      <c r="C311">
        <v>3</v>
      </c>
      <c r="D311">
        <v>2</v>
      </c>
      <c r="E311">
        <v>10</v>
      </c>
      <c r="F311" t="s">
        <v>566</v>
      </c>
      <c r="G311" s="6" t="s">
        <v>875</v>
      </c>
      <c r="H311" s="9" t="s">
        <v>1071</v>
      </c>
      <c r="I311">
        <f t="shared" si="21"/>
        <v>60</v>
      </c>
      <c r="J311">
        <f t="shared" si="18"/>
        <v>27.215542200000002</v>
      </c>
      <c r="K311">
        <v>5.99</v>
      </c>
      <c r="L311">
        <f t="shared" si="19"/>
        <v>163.02109777800001</v>
      </c>
    </row>
    <row r="312" spans="1:12" x14ac:dyDescent="0.2">
      <c r="A312" s="4">
        <v>43503</v>
      </c>
      <c r="B312" t="s">
        <v>538</v>
      </c>
      <c r="C312">
        <v>3</v>
      </c>
      <c r="D312">
        <v>2</v>
      </c>
      <c r="E312">
        <v>10</v>
      </c>
      <c r="F312" t="s">
        <v>458</v>
      </c>
      <c r="G312" s="6" t="s">
        <v>875</v>
      </c>
      <c r="H312" s="9" t="s">
        <v>1071</v>
      </c>
      <c r="I312">
        <f t="shared" si="21"/>
        <v>60</v>
      </c>
      <c r="J312">
        <f t="shared" si="18"/>
        <v>27.215542200000002</v>
      </c>
      <c r="K312">
        <v>5.99</v>
      </c>
      <c r="L312">
        <f t="shared" si="19"/>
        <v>163.02109777800001</v>
      </c>
    </row>
    <row r="313" spans="1:12" x14ac:dyDescent="0.2">
      <c r="A313" s="4">
        <v>43497</v>
      </c>
      <c r="B313" t="s">
        <v>48</v>
      </c>
      <c r="C313" s="28">
        <v>1</v>
      </c>
      <c r="D313" s="35">
        <v>1</v>
      </c>
      <c r="E313">
        <v>20</v>
      </c>
      <c r="F313" t="s">
        <v>318</v>
      </c>
      <c r="G313" t="s">
        <v>1043</v>
      </c>
      <c r="H313" s="9" t="s">
        <v>1071</v>
      </c>
      <c r="I313">
        <f t="shared" si="21"/>
        <v>20</v>
      </c>
      <c r="J313">
        <f t="shared" si="18"/>
        <v>9.0718474000000011</v>
      </c>
      <c r="K313">
        <v>0.61699999999999999</v>
      </c>
      <c r="L313">
        <f t="shared" si="19"/>
        <v>5.5973298458000009</v>
      </c>
    </row>
    <row r="314" spans="1:12" x14ac:dyDescent="0.2">
      <c r="A314" s="4">
        <v>43497</v>
      </c>
      <c r="B314" t="s">
        <v>531</v>
      </c>
      <c r="C314">
        <v>2</v>
      </c>
      <c r="D314">
        <v>12</v>
      </c>
      <c r="E314">
        <v>2.5</v>
      </c>
      <c r="F314" t="s">
        <v>405</v>
      </c>
      <c r="G314" t="s">
        <v>1045</v>
      </c>
      <c r="H314" s="9" t="s">
        <v>1071</v>
      </c>
      <c r="I314">
        <f t="shared" si="21"/>
        <v>60</v>
      </c>
      <c r="J314">
        <f t="shared" si="18"/>
        <v>27.215542200000002</v>
      </c>
      <c r="K314">
        <v>0.61699999999999999</v>
      </c>
      <c r="L314">
        <f t="shared" si="19"/>
        <v>16.791989537399999</v>
      </c>
    </row>
    <row r="315" spans="1:12" x14ac:dyDescent="0.2">
      <c r="A315" s="4">
        <v>43503</v>
      </c>
      <c r="B315" t="s">
        <v>48</v>
      </c>
      <c r="C315">
        <v>1</v>
      </c>
      <c r="D315" s="35">
        <v>1</v>
      </c>
      <c r="E315">
        <f>10/9*30</f>
        <v>33.333333333333336</v>
      </c>
      <c r="F315" s="9" t="s">
        <v>704</v>
      </c>
      <c r="G315" s="9" t="s">
        <v>218</v>
      </c>
      <c r="H315" s="9" t="s">
        <v>1071</v>
      </c>
      <c r="I315">
        <f t="shared" si="21"/>
        <v>33.333333333333336</v>
      </c>
      <c r="J315">
        <f t="shared" si="18"/>
        <v>15.119745666666669</v>
      </c>
      <c r="K315">
        <v>0.52500000000000002</v>
      </c>
      <c r="L315">
        <f t="shared" si="19"/>
        <v>7.9378664750000016</v>
      </c>
    </row>
    <row r="316" spans="1:12" x14ac:dyDescent="0.2">
      <c r="A316" s="4">
        <v>43503</v>
      </c>
      <c r="B316" t="s">
        <v>48</v>
      </c>
      <c r="C316">
        <v>1</v>
      </c>
      <c r="D316" s="35">
        <v>1</v>
      </c>
      <c r="E316">
        <f>10/9*30</f>
        <v>33.333333333333336</v>
      </c>
      <c r="F316" s="9" t="s">
        <v>59</v>
      </c>
      <c r="G316" s="9" t="s">
        <v>218</v>
      </c>
      <c r="H316" s="9" t="s">
        <v>1071</v>
      </c>
      <c r="I316">
        <f t="shared" si="21"/>
        <v>33.333333333333336</v>
      </c>
      <c r="J316">
        <f t="shared" si="18"/>
        <v>15.119745666666669</v>
      </c>
      <c r="K316">
        <v>0.52500000000000002</v>
      </c>
      <c r="L316">
        <f t="shared" si="19"/>
        <v>7.9378664750000016</v>
      </c>
    </row>
    <row r="317" spans="1:12" x14ac:dyDescent="0.2">
      <c r="A317" s="4">
        <v>43503</v>
      </c>
      <c r="B317" t="s">
        <v>48</v>
      </c>
      <c r="C317" s="28">
        <v>1</v>
      </c>
      <c r="D317" s="35">
        <v>1</v>
      </c>
      <c r="E317">
        <v>20</v>
      </c>
      <c r="F317" t="s">
        <v>485</v>
      </c>
      <c r="G317" t="s">
        <v>792</v>
      </c>
      <c r="H317" s="9" t="s">
        <v>1071</v>
      </c>
      <c r="I317">
        <f t="shared" si="21"/>
        <v>20</v>
      </c>
      <c r="J317">
        <f t="shared" si="18"/>
        <v>9.0718474000000011</v>
      </c>
      <c r="K317">
        <v>0.52500000000000002</v>
      </c>
      <c r="L317">
        <f t="shared" si="19"/>
        <v>4.762719885000001</v>
      </c>
    </row>
    <row r="318" spans="1:12" x14ac:dyDescent="0.2">
      <c r="A318" s="4">
        <v>43502</v>
      </c>
      <c r="B318" t="s">
        <v>48</v>
      </c>
      <c r="C318" s="28">
        <v>1</v>
      </c>
      <c r="D318" s="35">
        <v>1</v>
      </c>
      <c r="E318">
        <f>10/9*30</f>
        <v>33.333333333333336</v>
      </c>
      <c r="F318" t="s">
        <v>320</v>
      </c>
      <c r="G318" t="s">
        <v>792</v>
      </c>
      <c r="H318" s="9" t="s">
        <v>1071</v>
      </c>
      <c r="I318">
        <f t="shared" si="21"/>
        <v>33.333333333333336</v>
      </c>
      <c r="J318">
        <f t="shared" si="18"/>
        <v>15.119745666666669</v>
      </c>
      <c r="K318">
        <v>0.52500000000000002</v>
      </c>
      <c r="L318">
        <f t="shared" si="19"/>
        <v>7.9378664750000016</v>
      </c>
    </row>
    <row r="319" spans="1:12" x14ac:dyDescent="0.2">
      <c r="A319" s="4">
        <v>43502</v>
      </c>
      <c r="B319" t="s">
        <v>48</v>
      </c>
      <c r="C319" s="28">
        <v>1</v>
      </c>
      <c r="D319" s="35">
        <v>1</v>
      </c>
      <c r="E319">
        <f>10/9*30</f>
        <v>33.333333333333336</v>
      </c>
      <c r="F319" t="s">
        <v>321</v>
      </c>
      <c r="G319" t="s">
        <v>792</v>
      </c>
      <c r="H319" s="9" t="s">
        <v>1071</v>
      </c>
      <c r="I319">
        <f t="shared" si="21"/>
        <v>33.333333333333336</v>
      </c>
      <c r="J319">
        <f t="shared" si="18"/>
        <v>15.119745666666669</v>
      </c>
      <c r="K319">
        <v>0.52500000000000002</v>
      </c>
      <c r="L319">
        <f t="shared" si="19"/>
        <v>7.9378664750000016</v>
      </c>
    </row>
    <row r="320" spans="1:12" x14ac:dyDescent="0.2">
      <c r="A320" s="4">
        <v>43501</v>
      </c>
      <c r="B320" t="s">
        <v>48</v>
      </c>
      <c r="C320" s="28">
        <v>1</v>
      </c>
      <c r="D320" s="35">
        <v>1</v>
      </c>
      <c r="E320">
        <f>10/9*30</f>
        <v>33.333333333333336</v>
      </c>
      <c r="F320" t="s">
        <v>321</v>
      </c>
      <c r="G320" t="s">
        <v>792</v>
      </c>
      <c r="H320" s="9" t="s">
        <v>1071</v>
      </c>
      <c r="I320">
        <f t="shared" si="21"/>
        <v>33.333333333333336</v>
      </c>
      <c r="J320">
        <f t="shared" si="18"/>
        <v>15.119745666666669</v>
      </c>
      <c r="K320">
        <v>0.52500000000000002</v>
      </c>
      <c r="L320">
        <f t="shared" si="19"/>
        <v>7.9378664750000016</v>
      </c>
    </row>
    <row r="321" spans="1:12" x14ac:dyDescent="0.2">
      <c r="A321" s="4">
        <v>43500</v>
      </c>
      <c r="B321" t="s">
        <v>48</v>
      </c>
      <c r="C321" s="28">
        <v>2</v>
      </c>
      <c r="D321" s="35">
        <v>1</v>
      </c>
      <c r="E321">
        <f>10/9*30</f>
        <v>33.333333333333336</v>
      </c>
      <c r="F321" t="s">
        <v>320</v>
      </c>
      <c r="G321" t="s">
        <v>792</v>
      </c>
      <c r="H321" s="9" t="s">
        <v>1071</v>
      </c>
      <c r="I321">
        <f t="shared" si="21"/>
        <v>66.666666666666671</v>
      </c>
      <c r="J321">
        <f t="shared" si="18"/>
        <v>30.239491333333337</v>
      </c>
      <c r="K321">
        <v>0.52500000000000002</v>
      </c>
      <c r="L321">
        <f t="shared" si="19"/>
        <v>15.875732950000003</v>
      </c>
    </row>
    <row r="322" spans="1:12" x14ac:dyDescent="0.2">
      <c r="A322" s="4">
        <v>43500</v>
      </c>
      <c r="B322" t="s">
        <v>48</v>
      </c>
      <c r="C322" s="28">
        <v>1</v>
      </c>
      <c r="D322" s="35">
        <v>1</v>
      </c>
      <c r="E322">
        <f>10/9*30</f>
        <v>33.333333333333336</v>
      </c>
      <c r="F322" t="s">
        <v>321</v>
      </c>
      <c r="G322" t="s">
        <v>792</v>
      </c>
      <c r="H322" s="9" t="s">
        <v>1071</v>
      </c>
      <c r="I322">
        <f t="shared" si="21"/>
        <v>33.333333333333336</v>
      </c>
      <c r="J322">
        <f t="shared" si="18"/>
        <v>15.119745666666669</v>
      </c>
      <c r="K322">
        <v>0.52500000000000002</v>
      </c>
      <c r="L322">
        <f t="shared" si="19"/>
        <v>7.9378664750000016</v>
      </c>
    </row>
    <row r="323" spans="1:12" x14ac:dyDescent="0.2">
      <c r="A323" s="4">
        <v>43498</v>
      </c>
      <c r="B323" t="s">
        <v>48</v>
      </c>
      <c r="C323" s="28">
        <v>1</v>
      </c>
      <c r="D323" s="35">
        <v>1</v>
      </c>
      <c r="E323">
        <v>20</v>
      </c>
      <c r="F323" t="s">
        <v>704</v>
      </c>
      <c r="G323" t="s">
        <v>218</v>
      </c>
      <c r="H323" s="9" t="s">
        <v>1071</v>
      </c>
      <c r="I323">
        <f t="shared" si="21"/>
        <v>20</v>
      </c>
      <c r="J323">
        <f t="shared" ref="J323:J386" si="22">CONVERT(I323,"lbm","kg")</f>
        <v>9.0718474000000011</v>
      </c>
      <c r="K323">
        <v>0.52500000000000002</v>
      </c>
      <c r="L323">
        <f t="shared" ref="L323:L386" si="23">J323*K323</f>
        <v>4.762719885000001</v>
      </c>
    </row>
    <row r="324" spans="1:12" x14ac:dyDescent="0.2">
      <c r="A324" s="4">
        <v>43497</v>
      </c>
      <c r="B324" t="s">
        <v>48</v>
      </c>
      <c r="C324" s="28">
        <v>2</v>
      </c>
      <c r="D324" s="35">
        <v>1</v>
      </c>
      <c r="E324">
        <f>10/9*30</f>
        <v>33.333333333333336</v>
      </c>
      <c r="F324" t="s">
        <v>320</v>
      </c>
      <c r="G324" t="s">
        <v>792</v>
      </c>
      <c r="H324" s="9" t="s">
        <v>1071</v>
      </c>
      <c r="I324">
        <f t="shared" si="21"/>
        <v>66.666666666666671</v>
      </c>
      <c r="J324">
        <f t="shared" si="22"/>
        <v>30.239491333333337</v>
      </c>
      <c r="K324">
        <v>0.52500000000000002</v>
      </c>
      <c r="L324">
        <f t="shared" si="23"/>
        <v>15.875732950000003</v>
      </c>
    </row>
    <row r="325" spans="1:12" x14ac:dyDescent="0.2">
      <c r="A325" s="4">
        <v>43497</v>
      </c>
      <c r="B325" t="s">
        <v>48</v>
      </c>
      <c r="C325" s="28">
        <v>2</v>
      </c>
      <c r="D325" s="35">
        <v>1</v>
      </c>
      <c r="E325">
        <f>10/9*30</f>
        <v>33.333333333333336</v>
      </c>
      <c r="F325" t="s">
        <v>321</v>
      </c>
      <c r="G325" t="s">
        <v>792</v>
      </c>
      <c r="H325" s="9" t="s">
        <v>1071</v>
      </c>
      <c r="I325">
        <f t="shared" si="21"/>
        <v>66.666666666666671</v>
      </c>
      <c r="J325">
        <f t="shared" si="22"/>
        <v>30.239491333333337</v>
      </c>
      <c r="K325">
        <v>0.52500000000000002</v>
      </c>
      <c r="L325">
        <f t="shared" si="23"/>
        <v>15.875732950000003</v>
      </c>
    </row>
    <row r="326" spans="1:12" x14ac:dyDescent="0.2">
      <c r="A326" s="4">
        <v>43500</v>
      </c>
      <c r="B326" t="s">
        <v>48</v>
      </c>
      <c r="C326" s="28">
        <v>2</v>
      </c>
      <c r="D326" s="35">
        <v>1</v>
      </c>
      <c r="E326">
        <f>10/9*30</f>
        <v>33.333333333333336</v>
      </c>
      <c r="F326" t="s">
        <v>723</v>
      </c>
      <c r="G326" t="s">
        <v>961</v>
      </c>
      <c r="H326" s="9" t="s">
        <v>1071</v>
      </c>
      <c r="I326">
        <f t="shared" si="21"/>
        <v>66.666666666666671</v>
      </c>
      <c r="J326">
        <f t="shared" si="22"/>
        <v>30.239491333333337</v>
      </c>
      <c r="K326">
        <v>0.79900000000000004</v>
      </c>
      <c r="L326">
        <f t="shared" si="23"/>
        <v>24.161353575333337</v>
      </c>
    </row>
    <row r="327" spans="1:12" x14ac:dyDescent="0.2">
      <c r="A327" s="4">
        <v>43500</v>
      </c>
      <c r="B327" t="s">
        <v>538</v>
      </c>
      <c r="C327">
        <v>1</v>
      </c>
      <c r="D327">
        <v>4</v>
      </c>
      <c r="E327">
        <v>8.4700000000000006</v>
      </c>
      <c r="F327" t="s">
        <v>541</v>
      </c>
      <c r="G327" t="s">
        <v>937</v>
      </c>
      <c r="H327" s="9" t="s">
        <v>1071</v>
      </c>
      <c r="I327">
        <f t="shared" si="21"/>
        <v>33.880000000000003</v>
      </c>
      <c r="J327">
        <f t="shared" si="22"/>
        <v>15.367709495600002</v>
      </c>
      <c r="K327">
        <v>0.79900000000000004</v>
      </c>
      <c r="L327">
        <f t="shared" si="23"/>
        <v>12.278799886984402</v>
      </c>
    </row>
    <row r="328" spans="1:12" x14ac:dyDescent="0.2">
      <c r="A328" s="4">
        <v>43502</v>
      </c>
      <c r="B328" t="s">
        <v>48</v>
      </c>
      <c r="C328" s="28">
        <v>8</v>
      </c>
      <c r="D328" s="35">
        <v>1</v>
      </c>
      <c r="E328">
        <f>10*2</f>
        <v>20</v>
      </c>
      <c r="F328" t="s">
        <v>341</v>
      </c>
      <c r="G328" t="s">
        <v>793</v>
      </c>
      <c r="H328" s="9" t="s">
        <v>1071</v>
      </c>
      <c r="I328">
        <f t="shared" si="21"/>
        <v>160</v>
      </c>
      <c r="J328">
        <f t="shared" si="22"/>
        <v>72.574779200000009</v>
      </c>
      <c r="K328">
        <v>0.91400000000000003</v>
      </c>
      <c r="L328">
        <f t="shared" si="23"/>
        <v>66.333348188800016</v>
      </c>
    </row>
    <row r="329" spans="1:12" x14ac:dyDescent="0.2">
      <c r="A329" s="4">
        <v>43501</v>
      </c>
      <c r="B329" t="s">
        <v>48</v>
      </c>
      <c r="C329" s="28">
        <v>3</v>
      </c>
      <c r="D329" s="35">
        <v>1</v>
      </c>
      <c r="E329">
        <f>10*2</f>
        <v>20</v>
      </c>
      <c r="F329" t="s">
        <v>341</v>
      </c>
      <c r="G329" t="s">
        <v>793</v>
      </c>
      <c r="H329" s="9" t="s">
        <v>1071</v>
      </c>
      <c r="I329">
        <f t="shared" si="21"/>
        <v>60</v>
      </c>
      <c r="J329">
        <f t="shared" si="22"/>
        <v>27.215542200000002</v>
      </c>
      <c r="K329">
        <v>0.91400000000000003</v>
      </c>
      <c r="L329">
        <f t="shared" si="23"/>
        <v>24.875005570800003</v>
      </c>
    </row>
    <row r="330" spans="1:12" x14ac:dyDescent="0.2">
      <c r="A330" s="4">
        <v>43500</v>
      </c>
      <c r="B330" t="s">
        <v>48</v>
      </c>
      <c r="C330" s="28">
        <v>6</v>
      </c>
      <c r="D330" s="35">
        <v>1</v>
      </c>
      <c r="E330">
        <f>10*2</f>
        <v>20</v>
      </c>
      <c r="F330" t="s">
        <v>341</v>
      </c>
      <c r="G330" t="s">
        <v>793</v>
      </c>
      <c r="H330" s="9" t="s">
        <v>1071</v>
      </c>
      <c r="I330">
        <f t="shared" si="21"/>
        <v>120</v>
      </c>
      <c r="J330">
        <f t="shared" si="22"/>
        <v>54.431084400000003</v>
      </c>
      <c r="K330">
        <v>0.91400000000000003</v>
      </c>
      <c r="L330">
        <f t="shared" si="23"/>
        <v>49.750011141600005</v>
      </c>
    </row>
    <row r="331" spans="1:12" x14ac:dyDescent="0.2">
      <c r="A331" s="4">
        <v>43497</v>
      </c>
      <c r="B331" t="s">
        <v>699</v>
      </c>
      <c r="C331" s="39">
        <v>1</v>
      </c>
      <c r="D331" s="35">
        <v>1</v>
      </c>
      <c r="E331">
        <v>57.6</v>
      </c>
      <c r="F331" s="9" t="s">
        <v>700</v>
      </c>
      <c r="G331" s="9" t="s">
        <v>15</v>
      </c>
      <c r="H331" s="9" t="s">
        <v>1072</v>
      </c>
      <c r="I331">
        <f t="shared" si="21"/>
        <v>57.6</v>
      </c>
      <c r="J331">
        <f t="shared" si="22"/>
        <v>26.126920512000002</v>
      </c>
      <c r="K331">
        <v>5.56</v>
      </c>
      <c r="L331">
        <f t="shared" si="23"/>
        <v>145.26567804672001</v>
      </c>
    </row>
    <row r="332" spans="1:12" x14ac:dyDescent="0.2">
      <c r="A332" s="4">
        <v>43497</v>
      </c>
      <c r="B332" t="s">
        <v>13</v>
      </c>
      <c r="C332" s="35">
        <v>1</v>
      </c>
      <c r="D332" s="35">
        <v>1</v>
      </c>
      <c r="E332">
        <v>20</v>
      </c>
      <c r="F332" t="s">
        <v>692</v>
      </c>
      <c r="G332" t="s">
        <v>15</v>
      </c>
      <c r="H332" s="9" t="s">
        <v>1072</v>
      </c>
      <c r="I332">
        <f t="shared" si="21"/>
        <v>20</v>
      </c>
      <c r="J332">
        <f t="shared" si="22"/>
        <v>9.0718474000000011</v>
      </c>
      <c r="K332">
        <v>5.56</v>
      </c>
      <c r="L332">
        <f t="shared" si="23"/>
        <v>50.439471544</v>
      </c>
    </row>
    <row r="333" spans="1:12" x14ac:dyDescent="0.2">
      <c r="A333" s="4">
        <v>43497</v>
      </c>
      <c r="B333" t="s">
        <v>13</v>
      </c>
      <c r="C333" s="35">
        <v>1</v>
      </c>
      <c r="D333" s="35">
        <v>1</v>
      </c>
      <c r="E333">
        <v>120</v>
      </c>
      <c r="F333" t="s">
        <v>19</v>
      </c>
      <c r="G333" t="s">
        <v>15</v>
      </c>
      <c r="H333" s="9" t="s">
        <v>1072</v>
      </c>
      <c r="I333">
        <f t="shared" si="21"/>
        <v>120</v>
      </c>
      <c r="J333">
        <f t="shared" si="22"/>
        <v>54.431084400000003</v>
      </c>
      <c r="K333">
        <v>5.56</v>
      </c>
      <c r="L333">
        <f t="shared" si="23"/>
        <v>302.63682926399997</v>
      </c>
    </row>
    <row r="334" spans="1:12" x14ac:dyDescent="0.2">
      <c r="A334" s="4">
        <v>43497</v>
      </c>
      <c r="B334" t="s">
        <v>13</v>
      </c>
      <c r="C334" s="35">
        <v>1</v>
      </c>
      <c r="D334" s="35">
        <v>1</v>
      </c>
      <c r="E334">
        <v>56</v>
      </c>
      <c r="F334" t="s">
        <v>14</v>
      </c>
      <c r="G334" t="s">
        <v>15</v>
      </c>
      <c r="H334" s="9" t="s">
        <v>1072</v>
      </c>
      <c r="I334">
        <f t="shared" si="21"/>
        <v>56</v>
      </c>
      <c r="J334">
        <f t="shared" si="22"/>
        <v>25.401172720000002</v>
      </c>
      <c r="K334">
        <v>5.56</v>
      </c>
      <c r="L334">
        <f t="shared" si="23"/>
        <v>141.23052032320001</v>
      </c>
    </row>
    <row r="335" spans="1:12" x14ac:dyDescent="0.2">
      <c r="A335" s="4">
        <v>43497</v>
      </c>
      <c r="B335" t="s">
        <v>13</v>
      </c>
      <c r="C335" s="35">
        <v>1</v>
      </c>
      <c r="D335" s="35">
        <v>1</v>
      </c>
      <c r="E335">
        <v>178.68</v>
      </c>
      <c r="F335" t="s">
        <v>693</v>
      </c>
      <c r="G335" t="s">
        <v>15</v>
      </c>
      <c r="H335" s="9" t="s">
        <v>1072</v>
      </c>
      <c r="I335">
        <f t="shared" si="21"/>
        <v>178.68</v>
      </c>
      <c r="J335">
        <f t="shared" si="22"/>
        <v>81.047884671600016</v>
      </c>
      <c r="K335">
        <v>5.56</v>
      </c>
      <c r="L335">
        <f t="shared" si="23"/>
        <v>450.62623877409607</v>
      </c>
    </row>
    <row r="336" spans="1:12" x14ac:dyDescent="0.2">
      <c r="A336" s="4">
        <v>43497</v>
      </c>
      <c r="B336" t="s">
        <v>13</v>
      </c>
      <c r="C336" s="35">
        <v>1</v>
      </c>
      <c r="D336" s="35">
        <v>1</v>
      </c>
      <c r="E336">
        <v>43</v>
      </c>
      <c r="F336" t="s">
        <v>694</v>
      </c>
      <c r="G336" t="s">
        <v>15</v>
      </c>
      <c r="H336" s="9" t="s">
        <v>1072</v>
      </c>
      <c r="I336">
        <f t="shared" si="21"/>
        <v>43</v>
      </c>
      <c r="J336">
        <f t="shared" si="22"/>
        <v>19.504471909999999</v>
      </c>
      <c r="K336">
        <v>5.56</v>
      </c>
      <c r="L336">
        <f t="shared" si="23"/>
        <v>108.44486381959999</v>
      </c>
    </row>
    <row r="337" spans="1:12" x14ac:dyDescent="0.2">
      <c r="A337" s="4">
        <v>43497</v>
      </c>
      <c r="B337" t="s">
        <v>13</v>
      </c>
      <c r="C337" s="35">
        <v>1</v>
      </c>
      <c r="D337" s="35">
        <v>1</v>
      </c>
      <c r="E337">
        <v>223.06</v>
      </c>
      <c r="F337" t="s">
        <v>179</v>
      </c>
      <c r="G337" t="s">
        <v>15</v>
      </c>
      <c r="H337" s="9" t="s">
        <v>1072</v>
      </c>
      <c r="I337">
        <f t="shared" si="21"/>
        <v>223.06</v>
      </c>
      <c r="J337">
        <f t="shared" si="22"/>
        <v>101.17831405220001</v>
      </c>
      <c r="K337">
        <v>5.56</v>
      </c>
      <c r="L337">
        <f t="shared" si="23"/>
        <v>562.55142613023202</v>
      </c>
    </row>
    <row r="338" spans="1:12" x14ac:dyDescent="0.2">
      <c r="A338" s="4">
        <v>43497</v>
      </c>
      <c r="B338" t="s">
        <v>13</v>
      </c>
      <c r="C338" s="35">
        <v>1</v>
      </c>
      <c r="D338" s="35">
        <v>1</v>
      </c>
      <c r="E338">
        <v>40</v>
      </c>
      <c r="F338" t="s">
        <v>20</v>
      </c>
      <c r="G338" t="s">
        <v>15</v>
      </c>
      <c r="H338" s="9" t="s">
        <v>1072</v>
      </c>
      <c r="I338">
        <f t="shared" si="21"/>
        <v>40</v>
      </c>
      <c r="J338">
        <f t="shared" si="22"/>
        <v>18.143694800000002</v>
      </c>
      <c r="K338">
        <v>5.56</v>
      </c>
      <c r="L338">
        <f t="shared" si="23"/>
        <v>100.878943088</v>
      </c>
    </row>
    <row r="339" spans="1:12" x14ac:dyDescent="0.2">
      <c r="A339" s="4">
        <v>43497</v>
      </c>
      <c r="B339" t="s">
        <v>13</v>
      </c>
      <c r="C339" s="35">
        <v>1</v>
      </c>
      <c r="D339" s="35">
        <v>1</v>
      </c>
      <c r="E339">
        <v>150</v>
      </c>
      <c r="F339" t="s">
        <v>21</v>
      </c>
      <c r="G339" t="s">
        <v>15</v>
      </c>
      <c r="H339" s="9" t="s">
        <v>1072</v>
      </c>
      <c r="I339">
        <f t="shared" si="21"/>
        <v>150</v>
      </c>
      <c r="J339">
        <f t="shared" si="22"/>
        <v>68.038855500000011</v>
      </c>
      <c r="K339">
        <v>5.56</v>
      </c>
      <c r="L339">
        <f t="shared" si="23"/>
        <v>378.29603658000002</v>
      </c>
    </row>
    <row r="340" spans="1:12" x14ac:dyDescent="0.2">
      <c r="A340" s="4">
        <v>43497</v>
      </c>
      <c r="B340" t="s">
        <v>525</v>
      </c>
      <c r="C340">
        <v>4</v>
      </c>
      <c r="D340">
        <v>2</v>
      </c>
      <c r="E340">
        <v>5</v>
      </c>
      <c r="F340" t="s">
        <v>733</v>
      </c>
      <c r="G340" t="s">
        <v>15</v>
      </c>
      <c r="H340" s="9" t="s">
        <v>1072</v>
      </c>
      <c r="I340">
        <f t="shared" ref="I340:I363" si="24">C340*D340*E340</f>
        <v>40</v>
      </c>
      <c r="J340">
        <f t="shared" si="22"/>
        <v>18.143694800000002</v>
      </c>
      <c r="K340">
        <v>5.56</v>
      </c>
      <c r="L340">
        <f t="shared" si="23"/>
        <v>100.878943088</v>
      </c>
    </row>
    <row r="341" spans="1:12" x14ac:dyDescent="0.2">
      <c r="A341" s="4">
        <v>43497</v>
      </c>
      <c r="B341" t="s">
        <v>525</v>
      </c>
      <c r="C341">
        <v>1</v>
      </c>
      <c r="D341">
        <v>1</v>
      </c>
      <c r="E341">
        <v>5.96</v>
      </c>
      <c r="F341" t="s">
        <v>395</v>
      </c>
      <c r="G341" t="s">
        <v>15</v>
      </c>
      <c r="H341" s="9" t="s">
        <v>1072</v>
      </c>
      <c r="I341">
        <f t="shared" si="24"/>
        <v>5.96</v>
      </c>
      <c r="J341">
        <f t="shared" si="22"/>
        <v>2.7034105251999998</v>
      </c>
      <c r="K341">
        <v>5.56</v>
      </c>
      <c r="L341">
        <f t="shared" si="23"/>
        <v>15.030962520111999</v>
      </c>
    </row>
    <row r="342" spans="1:12" x14ac:dyDescent="0.2">
      <c r="A342" s="4">
        <v>43497</v>
      </c>
      <c r="B342" t="s">
        <v>525</v>
      </c>
      <c r="C342">
        <v>1</v>
      </c>
      <c r="D342">
        <v>1</v>
      </c>
      <c r="E342">
        <v>22.52</v>
      </c>
      <c r="F342" t="s">
        <v>677</v>
      </c>
      <c r="G342" t="s">
        <v>15</v>
      </c>
      <c r="H342" s="9" t="s">
        <v>1072</v>
      </c>
      <c r="I342">
        <f t="shared" si="24"/>
        <v>22.52</v>
      </c>
      <c r="J342">
        <f t="shared" si="22"/>
        <v>10.214900172400002</v>
      </c>
      <c r="K342">
        <v>5.56</v>
      </c>
      <c r="L342">
        <f t="shared" si="23"/>
        <v>56.794844958544004</v>
      </c>
    </row>
    <row r="343" spans="1:12" x14ac:dyDescent="0.2">
      <c r="A343" s="4">
        <v>43502</v>
      </c>
      <c r="B343" t="s">
        <v>48</v>
      </c>
      <c r="C343" s="28">
        <v>2</v>
      </c>
      <c r="D343" s="35">
        <v>1</v>
      </c>
      <c r="E343">
        <v>50</v>
      </c>
      <c r="F343" t="s">
        <v>715</v>
      </c>
      <c r="G343" t="s">
        <v>759</v>
      </c>
      <c r="H343" s="9" t="s">
        <v>1071</v>
      </c>
      <c r="I343">
        <f t="shared" si="24"/>
        <v>100</v>
      </c>
      <c r="J343">
        <f t="shared" si="22"/>
        <v>45.359237</v>
      </c>
      <c r="K343">
        <v>0.217</v>
      </c>
      <c r="L343">
        <f t="shared" si="23"/>
        <v>9.8429544290000006</v>
      </c>
    </row>
    <row r="344" spans="1:12" x14ac:dyDescent="0.2">
      <c r="A344" s="4">
        <v>43497</v>
      </c>
      <c r="B344" t="s">
        <v>531</v>
      </c>
      <c r="C344">
        <v>5</v>
      </c>
      <c r="D344">
        <v>6</v>
      </c>
      <c r="E344">
        <v>5</v>
      </c>
      <c r="F344" t="s">
        <v>650</v>
      </c>
      <c r="G344" t="s">
        <v>854</v>
      </c>
      <c r="H344" s="9" t="s">
        <v>1071</v>
      </c>
      <c r="I344">
        <f t="shared" si="24"/>
        <v>150</v>
      </c>
      <c r="J344">
        <f t="shared" si="22"/>
        <v>68.038855500000011</v>
      </c>
      <c r="K344">
        <v>0.217</v>
      </c>
      <c r="L344">
        <f t="shared" si="23"/>
        <v>14.764431643500002</v>
      </c>
    </row>
    <row r="345" spans="1:12" x14ac:dyDescent="0.2">
      <c r="A345" s="4">
        <v>43497</v>
      </c>
      <c r="B345" t="s">
        <v>531</v>
      </c>
      <c r="C345">
        <v>4</v>
      </c>
      <c r="D345">
        <v>6</v>
      </c>
      <c r="E345">
        <v>6</v>
      </c>
      <c r="F345" t="s">
        <v>533</v>
      </c>
      <c r="G345" t="s">
        <v>854</v>
      </c>
      <c r="H345" s="9" t="s">
        <v>1071</v>
      </c>
      <c r="I345">
        <f t="shared" si="24"/>
        <v>144</v>
      </c>
      <c r="J345">
        <f t="shared" si="22"/>
        <v>65.317301279999995</v>
      </c>
      <c r="K345">
        <v>0.217</v>
      </c>
      <c r="L345">
        <f t="shared" si="23"/>
        <v>14.17385437776</v>
      </c>
    </row>
    <row r="346" spans="1:12" x14ac:dyDescent="0.2">
      <c r="A346" s="4">
        <v>43497</v>
      </c>
      <c r="B346" t="s">
        <v>531</v>
      </c>
      <c r="C346">
        <v>4</v>
      </c>
      <c r="D346">
        <v>6</v>
      </c>
      <c r="E346">
        <v>5</v>
      </c>
      <c r="F346" t="s">
        <v>406</v>
      </c>
      <c r="G346" t="s">
        <v>854</v>
      </c>
      <c r="H346" s="9" t="s">
        <v>1071</v>
      </c>
      <c r="I346">
        <f t="shared" si="24"/>
        <v>120</v>
      </c>
      <c r="J346">
        <f t="shared" si="22"/>
        <v>54.431084400000003</v>
      </c>
      <c r="K346">
        <v>0.217</v>
      </c>
      <c r="L346">
        <f t="shared" si="23"/>
        <v>11.8115453148</v>
      </c>
    </row>
    <row r="347" spans="1:12" x14ac:dyDescent="0.2">
      <c r="A347" s="4">
        <v>43497</v>
      </c>
      <c r="B347" t="s">
        <v>531</v>
      </c>
      <c r="C347">
        <v>2</v>
      </c>
      <c r="D347">
        <v>6</v>
      </c>
      <c r="E347">
        <v>5</v>
      </c>
      <c r="F347" t="s">
        <v>412</v>
      </c>
      <c r="G347" t="s">
        <v>854</v>
      </c>
      <c r="H347" s="9" t="s">
        <v>1071</v>
      </c>
      <c r="I347">
        <f t="shared" si="24"/>
        <v>60</v>
      </c>
      <c r="J347">
        <f t="shared" si="22"/>
        <v>27.215542200000002</v>
      </c>
      <c r="K347">
        <v>0.217</v>
      </c>
      <c r="L347">
        <f t="shared" si="23"/>
        <v>5.9057726574</v>
      </c>
    </row>
    <row r="348" spans="1:12" x14ac:dyDescent="0.2">
      <c r="A348" s="4">
        <v>43497</v>
      </c>
      <c r="B348" t="s">
        <v>531</v>
      </c>
      <c r="C348">
        <v>5</v>
      </c>
      <c r="D348">
        <v>6</v>
      </c>
      <c r="E348">
        <v>5</v>
      </c>
      <c r="F348" t="s">
        <v>419</v>
      </c>
      <c r="G348" t="s">
        <v>854</v>
      </c>
      <c r="H348" s="9" t="s">
        <v>1071</v>
      </c>
      <c r="I348">
        <f t="shared" si="24"/>
        <v>150</v>
      </c>
      <c r="J348">
        <f t="shared" si="22"/>
        <v>68.038855500000011</v>
      </c>
      <c r="K348">
        <v>0.217</v>
      </c>
      <c r="L348">
        <f t="shared" si="23"/>
        <v>14.764431643500002</v>
      </c>
    </row>
    <row r="349" spans="1:12" x14ac:dyDescent="0.2">
      <c r="A349" s="4">
        <v>43500</v>
      </c>
      <c r="B349" t="s">
        <v>531</v>
      </c>
      <c r="C349">
        <v>6</v>
      </c>
      <c r="D349">
        <v>6</v>
      </c>
      <c r="E349">
        <v>5</v>
      </c>
      <c r="F349" t="s">
        <v>419</v>
      </c>
      <c r="G349" t="s">
        <v>854</v>
      </c>
      <c r="H349" s="9" t="s">
        <v>1071</v>
      </c>
      <c r="I349">
        <f t="shared" si="24"/>
        <v>180</v>
      </c>
      <c r="J349">
        <f t="shared" si="22"/>
        <v>81.646626600000005</v>
      </c>
      <c r="K349">
        <v>0.217</v>
      </c>
      <c r="L349">
        <f t="shared" si="23"/>
        <v>17.7173179722</v>
      </c>
    </row>
    <row r="350" spans="1:12" x14ac:dyDescent="0.2">
      <c r="A350" s="4">
        <v>43503</v>
      </c>
      <c r="B350" t="s">
        <v>531</v>
      </c>
      <c r="C350">
        <v>3</v>
      </c>
      <c r="D350">
        <v>6</v>
      </c>
      <c r="E350">
        <v>6</v>
      </c>
      <c r="F350" t="s">
        <v>533</v>
      </c>
      <c r="G350" t="s">
        <v>854</v>
      </c>
      <c r="H350" s="9" t="s">
        <v>1071</v>
      </c>
      <c r="I350">
        <f t="shared" si="24"/>
        <v>108</v>
      </c>
      <c r="J350">
        <f t="shared" si="22"/>
        <v>48.987975960000007</v>
      </c>
      <c r="K350">
        <v>0.217</v>
      </c>
      <c r="L350">
        <f t="shared" si="23"/>
        <v>10.630390783320001</v>
      </c>
    </row>
    <row r="351" spans="1:12" x14ac:dyDescent="0.2">
      <c r="A351" s="4">
        <v>43503</v>
      </c>
      <c r="B351" t="s">
        <v>531</v>
      </c>
      <c r="C351">
        <v>3</v>
      </c>
      <c r="D351">
        <v>6</v>
      </c>
      <c r="E351">
        <v>3</v>
      </c>
      <c r="F351" t="s">
        <v>404</v>
      </c>
      <c r="G351" t="s">
        <v>854</v>
      </c>
      <c r="H351" s="9" t="s">
        <v>1071</v>
      </c>
      <c r="I351">
        <f t="shared" si="24"/>
        <v>54</v>
      </c>
      <c r="J351">
        <f t="shared" si="22"/>
        <v>24.493987980000004</v>
      </c>
      <c r="K351">
        <v>0.217</v>
      </c>
      <c r="L351">
        <f t="shared" si="23"/>
        <v>5.3151953916600005</v>
      </c>
    </row>
    <row r="352" spans="1:12" x14ac:dyDescent="0.2">
      <c r="A352" s="4">
        <v>43503</v>
      </c>
      <c r="B352" t="s">
        <v>531</v>
      </c>
      <c r="C352">
        <v>2</v>
      </c>
      <c r="D352">
        <v>6</v>
      </c>
      <c r="E352">
        <v>5</v>
      </c>
      <c r="F352" t="s">
        <v>406</v>
      </c>
      <c r="G352" t="s">
        <v>854</v>
      </c>
      <c r="H352" s="9" t="s">
        <v>1071</v>
      </c>
      <c r="I352">
        <f t="shared" si="24"/>
        <v>60</v>
      </c>
      <c r="J352">
        <f t="shared" si="22"/>
        <v>27.215542200000002</v>
      </c>
      <c r="K352">
        <v>0.217</v>
      </c>
      <c r="L352">
        <f t="shared" si="23"/>
        <v>5.9057726574</v>
      </c>
    </row>
    <row r="353" spans="1:12" x14ac:dyDescent="0.2">
      <c r="A353" s="4">
        <v>43503</v>
      </c>
      <c r="B353" t="s">
        <v>531</v>
      </c>
      <c r="C353">
        <v>1</v>
      </c>
      <c r="D353">
        <v>6</v>
      </c>
      <c r="E353">
        <v>5</v>
      </c>
      <c r="F353" t="s">
        <v>412</v>
      </c>
      <c r="G353" t="s">
        <v>854</v>
      </c>
      <c r="H353" s="9" t="s">
        <v>1071</v>
      </c>
      <c r="I353">
        <f t="shared" si="24"/>
        <v>30</v>
      </c>
      <c r="J353">
        <f t="shared" si="22"/>
        <v>13.607771100000001</v>
      </c>
      <c r="K353">
        <v>0.217</v>
      </c>
      <c r="L353">
        <f t="shared" si="23"/>
        <v>2.9528863287</v>
      </c>
    </row>
    <row r="354" spans="1:12" x14ac:dyDescent="0.2">
      <c r="A354" s="4">
        <v>43503</v>
      </c>
      <c r="B354" t="s">
        <v>531</v>
      </c>
      <c r="C354">
        <v>2</v>
      </c>
      <c r="D354">
        <v>6</v>
      </c>
      <c r="E354">
        <v>5</v>
      </c>
      <c r="F354" t="s">
        <v>419</v>
      </c>
      <c r="G354" t="s">
        <v>854</v>
      </c>
      <c r="H354" s="9" t="s">
        <v>1071</v>
      </c>
      <c r="I354">
        <f t="shared" si="24"/>
        <v>60</v>
      </c>
      <c r="J354">
        <f t="shared" si="22"/>
        <v>27.215542200000002</v>
      </c>
      <c r="K354">
        <v>0.217</v>
      </c>
      <c r="L354">
        <f t="shared" si="23"/>
        <v>5.9057726574</v>
      </c>
    </row>
    <row r="355" spans="1:12" x14ac:dyDescent="0.2">
      <c r="A355" s="4">
        <v>43497</v>
      </c>
      <c r="B355" t="s">
        <v>538</v>
      </c>
      <c r="C355">
        <v>2</v>
      </c>
      <c r="D355">
        <v>1</v>
      </c>
      <c r="E355">
        <v>25</v>
      </c>
      <c r="F355" t="s">
        <v>424</v>
      </c>
      <c r="G355" t="s">
        <v>859</v>
      </c>
      <c r="H355" s="9" t="s">
        <v>1071</v>
      </c>
      <c r="I355">
        <f t="shared" si="24"/>
        <v>50</v>
      </c>
      <c r="J355">
        <f t="shared" si="22"/>
        <v>22.6796185</v>
      </c>
      <c r="K355">
        <v>1.5409999999999999</v>
      </c>
      <c r="L355">
        <f t="shared" si="23"/>
        <v>34.949292108499996</v>
      </c>
    </row>
    <row r="356" spans="1:12" x14ac:dyDescent="0.2">
      <c r="A356" s="4">
        <v>43497</v>
      </c>
      <c r="B356" t="s">
        <v>538</v>
      </c>
      <c r="C356">
        <v>3</v>
      </c>
      <c r="D356">
        <v>2</v>
      </c>
      <c r="E356">
        <v>5</v>
      </c>
      <c r="F356" t="s">
        <v>429</v>
      </c>
      <c r="G356" t="s">
        <v>859</v>
      </c>
      <c r="H356" s="9" t="s">
        <v>1071</v>
      </c>
      <c r="I356">
        <f t="shared" si="24"/>
        <v>30</v>
      </c>
      <c r="J356">
        <f t="shared" si="22"/>
        <v>13.607771100000001</v>
      </c>
      <c r="K356">
        <v>1.5409999999999999</v>
      </c>
      <c r="L356">
        <f t="shared" si="23"/>
        <v>20.969575265100001</v>
      </c>
    </row>
    <row r="357" spans="1:12" x14ac:dyDescent="0.2">
      <c r="A357" s="4">
        <v>43497</v>
      </c>
      <c r="B357" t="s">
        <v>538</v>
      </c>
      <c r="C357">
        <v>3</v>
      </c>
      <c r="D357">
        <v>2</v>
      </c>
      <c r="E357">
        <v>5</v>
      </c>
      <c r="F357" t="s">
        <v>564</v>
      </c>
      <c r="G357" t="s">
        <v>859</v>
      </c>
      <c r="H357" s="9" t="s">
        <v>1071</v>
      </c>
      <c r="I357">
        <f t="shared" si="24"/>
        <v>30</v>
      </c>
      <c r="J357">
        <f t="shared" si="22"/>
        <v>13.607771100000001</v>
      </c>
      <c r="K357">
        <v>1.5409999999999999</v>
      </c>
      <c r="L357">
        <f t="shared" si="23"/>
        <v>20.969575265100001</v>
      </c>
    </row>
    <row r="358" spans="1:12" x14ac:dyDescent="0.2">
      <c r="A358" s="4">
        <v>43497</v>
      </c>
      <c r="B358" t="s">
        <v>538</v>
      </c>
      <c r="C358">
        <v>1</v>
      </c>
      <c r="D358">
        <v>1</v>
      </c>
      <c r="E358">
        <v>50</v>
      </c>
      <c r="F358" t="s">
        <v>459</v>
      </c>
      <c r="G358" t="s">
        <v>859</v>
      </c>
      <c r="H358" s="9" t="s">
        <v>1071</v>
      </c>
      <c r="I358">
        <f t="shared" si="24"/>
        <v>50</v>
      </c>
      <c r="J358">
        <f t="shared" si="22"/>
        <v>22.6796185</v>
      </c>
      <c r="K358">
        <v>1.5409999999999999</v>
      </c>
      <c r="L358">
        <f t="shared" si="23"/>
        <v>34.949292108499996</v>
      </c>
    </row>
    <row r="359" spans="1:12" x14ac:dyDescent="0.2">
      <c r="A359" s="4">
        <v>43500</v>
      </c>
      <c r="B359" t="s">
        <v>538</v>
      </c>
      <c r="C359">
        <v>4</v>
      </c>
      <c r="D359">
        <v>1</v>
      </c>
      <c r="E359">
        <v>25</v>
      </c>
      <c r="F359" t="s">
        <v>424</v>
      </c>
      <c r="G359" t="s">
        <v>859</v>
      </c>
      <c r="H359" s="9" t="s">
        <v>1071</v>
      </c>
      <c r="I359">
        <f t="shared" si="24"/>
        <v>100</v>
      </c>
      <c r="J359">
        <f t="shared" si="22"/>
        <v>45.359237</v>
      </c>
      <c r="K359">
        <v>1.5409999999999999</v>
      </c>
      <c r="L359">
        <f t="shared" si="23"/>
        <v>69.898584216999993</v>
      </c>
    </row>
    <row r="360" spans="1:12" x14ac:dyDescent="0.2">
      <c r="A360" s="4">
        <v>43500</v>
      </c>
      <c r="B360" t="s">
        <v>538</v>
      </c>
      <c r="C360">
        <v>2</v>
      </c>
      <c r="D360">
        <v>2</v>
      </c>
      <c r="E360">
        <v>5</v>
      </c>
      <c r="F360" t="s">
        <v>429</v>
      </c>
      <c r="G360" t="s">
        <v>859</v>
      </c>
      <c r="H360" s="9" t="s">
        <v>1071</v>
      </c>
      <c r="I360">
        <f t="shared" si="24"/>
        <v>20</v>
      </c>
      <c r="J360">
        <f t="shared" si="22"/>
        <v>9.0718474000000011</v>
      </c>
      <c r="K360">
        <v>1.5409999999999999</v>
      </c>
      <c r="L360">
        <f t="shared" si="23"/>
        <v>13.9797168434</v>
      </c>
    </row>
    <row r="361" spans="1:12" x14ac:dyDescent="0.2">
      <c r="A361" s="4">
        <v>43500</v>
      </c>
      <c r="B361" t="s">
        <v>538</v>
      </c>
      <c r="C361">
        <v>2</v>
      </c>
      <c r="D361">
        <v>2</v>
      </c>
      <c r="E361">
        <v>5</v>
      </c>
      <c r="F361" t="s">
        <v>564</v>
      </c>
      <c r="G361" t="s">
        <v>859</v>
      </c>
      <c r="H361" s="9" t="s">
        <v>1071</v>
      </c>
      <c r="I361">
        <f t="shared" si="24"/>
        <v>20</v>
      </c>
      <c r="J361">
        <f t="shared" si="22"/>
        <v>9.0718474000000011</v>
      </c>
      <c r="K361">
        <v>1.5409999999999999</v>
      </c>
      <c r="L361">
        <f t="shared" si="23"/>
        <v>13.9797168434</v>
      </c>
    </row>
    <row r="362" spans="1:12" x14ac:dyDescent="0.2">
      <c r="A362" s="4">
        <v>43500</v>
      </c>
      <c r="B362" t="s">
        <v>538</v>
      </c>
      <c r="C362">
        <v>2</v>
      </c>
      <c r="D362">
        <v>1</v>
      </c>
      <c r="E362">
        <v>50</v>
      </c>
      <c r="F362" t="s">
        <v>459</v>
      </c>
      <c r="G362" t="s">
        <v>859</v>
      </c>
      <c r="H362" s="9" t="s">
        <v>1071</v>
      </c>
      <c r="I362">
        <f t="shared" si="24"/>
        <v>100</v>
      </c>
      <c r="J362">
        <f t="shared" si="22"/>
        <v>45.359237</v>
      </c>
      <c r="K362">
        <v>1.5409999999999999</v>
      </c>
      <c r="L362">
        <f t="shared" si="23"/>
        <v>69.898584216999993</v>
      </c>
    </row>
    <row r="363" spans="1:12" x14ac:dyDescent="0.2">
      <c r="A363" s="4">
        <v>43503</v>
      </c>
      <c r="B363" t="s">
        <v>538</v>
      </c>
      <c r="C363">
        <v>2</v>
      </c>
      <c r="D363">
        <v>1</v>
      </c>
      <c r="E363">
        <v>25</v>
      </c>
      <c r="F363" t="s">
        <v>452</v>
      </c>
      <c r="G363" t="s">
        <v>859</v>
      </c>
      <c r="H363" s="9" t="s">
        <v>1071</v>
      </c>
      <c r="I363">
        <f t="shared" si="24"/>
        <v>50</v>
      </c>
      <c r="J363">
        <f t="shared" si="22"/>
        <v>22.6796185</v>
      </c>
      <c r="K363">
        <v>1.5409999999999999</v>
      </c>
      <c r="L363">
        <f t="shared" si="23"/>
        <v>34.949292108499996</v>
      </c>
    </row>
    <row r="364" spans="1:12" x14ac:dyDescent="0.2">
      <c r="A364" s="4">
        <v>43500</v>
      </c>
      <c r="B364" t="s">
        <v>531</v>
      </c>
      <c r="C364">
        <v>2</v>
      </c>
      <c r="D364">
        <v>48</v>
      </c>
      <c r="E364" s="14" t="s">
        <v>1014</v>
      </c>
      <c r="F364" t="s">
        <v>745</v>
      </c>
      <c r="G364" s="14" t="s">
        <v>999</v>
      </c>
      <c r="H364" s="9" t="s">
        <v>1071</v>
      </c>
      <c r="I364">
        <v>0</v>
      </c>
      <c r="J364">
        <f t="shared" si="22"/>
        <v>0</v>
      </c>
      <c r="K364">
        <v>1.28</v>
      </c>
      <c r="L364">
        <f t="shared" si="23"/>
        <v>0</v>
      </c>
    </row>
    <row r="365" spans="1:12" x14ac:dyDescent="0.2">
      <c r="A365" s="10">
        <v>43497</v>
      </c>
      <c r="B365" s="8" t="s">
        <v>946</v>
      </c>
      <c r="C365" s="9">
        <v>1</v>
      </c>
      <c r="D365" s="35">
        <v>1</v>
      </c>
      <c r="E365" s="9">
        <v>50</v>
      </c>
      <c r="F365" s="9" t="s">
        <v>954</v>
      </c>
      <c r="G365" s="9" t="s">
        <v>951</v>
      </c>
      <c r="H365" s="9" t="s">
        <v>1071</v>
      </c>
      <c r="I365">
        <f t="shared" ref="I365:I396" si="25">C365*D365*E365</f>
        <v>50</v>
      </c>
      <c r="J365">
        <f t="shared" si="22"/>
        <v>22.6796185</v>
      </c>
      <c r="K365">
        <v>0.63900000000000001</v>
      </c>
      <c r="L365">
        <f t="shared" si="23"/>
        <v>14.492276221500001</v>
      </c>
    </row>
    <row r="366" spans="1:12" x14ac:dyDescent="0.2">
      <c r="A366" s="4">
        <v>43500</v>
      </c>
      <c r="B366" t="s">
        <v>517</v>
      </c>
      <c r="C366">
        <v>2</v>
      </c>
      <c r="D366">
        <v>12</v>
      </c>
      <c r="E366">
        <v>0.125</v>
      </c>
      <c r="F366" t="s">
        <v>520</v>
      </c>
      <c r="G366" t="s">
        <v>933</v>
      </c>
      <c r="H366" s="9" t="s">
        <v>1071</v>
      </c>
      <c r="I366">
        <f t="shared" si="25"/>
        <v>3</v>
      </c>
      <c r="J366">
        <f t="shared" si="22"/>
        <v>1.3607771100000001</v>
      </c>
      <c r="K366">
        <v>0.25800000000000001</v>
      </c>
      <c r="L366">
        <f t="shared" si="23"/>
        <v>0.35108049438000005</v>
      </c>
    </row>
    <row r="367" spans="1:12" x14ac:dyDescent="0.2">
      <c r="A367" s="4">
        <v>43497</v>
      </c>
      <c r="B367" t="s">
        <v>48</v>
      </c>
      <c r="C367" s="28">
        <v>1</v>
      </c>
      <c r="D367" s="35">
        <v>1</v>
      </c>
      <c r="E367">
        <v>20</v>
      </c>
      <c r="F367" t="s">
        <v>250</v>
      </c>
      <c r="G367" t="s">
        <v>962</v>
      </c>
      <c r="H367" s="9" t="s">
        <v>1071</v>
      </c>
      <c r="I367">
        <f t="shared" si="25"/>
        <v>20</v>
      </c>
      <c r="J367">
        <f t="shared" si="22"/>
        <v>9.0718474000000011</v>
      </c>
      <c r="K367">
        <v>1.1539999999999999</v>
      </c>
      <c r="L367">
        <f t="shared" si="23"/>
        <v>10.4689118996</v>
      </c>
    </row>
    <row r="368" spans="1:12" x14ac:dyDescent="0.2">
      <c r="A368" s="4">
        <v>43497</v>
      </c>
      <c r="B368" t="s">
        <v>517</v>
      </c>
      <c r="C368">
        <v>3</v>
      </c>
      <c r="D368">
        <v>1</v>
      </c>
      <c r="E368">
        <f t="shared" ref="E368:E373" si="26">2.5*8.6</f>
        <v>21.5</v>
      </c>
      <c r="F368" t="s">
        <v>463</v>
      </c>
      <c r="G368" t="s">
        <v>965</v>
      </c>
      <c r="H368" s="9" t="s">
        <v>1071</v>
      </c>
      <c r="I368">
        <f t="shared" si="25"/>
        <v>64.5</v>
      </c>
      <c r="J368">
        <f t="shared" si="22"/>
        <v>29.256707864999999</v>
      </c>
      <c r="K368">
        <v>0.25800000000000001</v>
      </c>
      <c r="L368">
        <f t="shared" si="23"/>
        <v>7.5482306291699999</v>
      </c>
    </row>
    <row r="369" spans="1:12" x14ac:dyDescent="0.2">
      <c r="A369" s="4">
        <v>43497</v>
      </c>
      <c r="B369" t="s">
        <v>517</v>
      </c>
      <c r="C369">
        <v>3</v>
      </c>
      <c r="D369">
        <v>1</v>
      </c>
      <c r="E369">
        <f t="shared" si="26"/>
        <v>21.5</v>
      </c>
      <c r="F369" t="s">
        <v>464</v>
      </c>
      <c r="G369" t="s">
        <v>965</v>
      </c>
      <c r="H369" s="9" t="s">
        <v>1071</v>
      </c>
      <c r="I369">
        <f t="shared" si="25"/>
        <v>64.5</v>
      </c>
      <c r="J369">
        <f t="shared" si="22"/>
        <v>29.256707864999999</v>
      </c>
      <c r="K369">
        <v>0.25800000000000001</v>
      </c>
      <c r="L369">
        <f t="shared" si="23"/>
        <v>7.5482306291699999</v>
      </c>
    </row>
    <row r="370" spans="1:12" x14ac:dyDescent="0.2">
      <c r="A370" s="4">
        <v>43500</v>
      </c>
      <c r="B370" t="s">
        <v>517</v>
      </c>
      <c r="C370">
        <v>3</v>
      </c>
      <c r="D370">
        <v>1</v>
      </c>
      <c r="E370">
        <f t="shared" si="26"/>
        <v>21.5</v>
      </c>
      <c r="F370" t="s">
        <v>463</v>
      </c>
      <c r="G370" t="s">
        <v>965</v>
      </c>
      <c r="H370" s="9" t="s">
        <v>1071</v>
      </c>
      <c r="I370">
        <f t="shared" si="25"/>
        <v>64.5</v>
      </c>
      <c r="J370">
        <f t="shared" si="22"/>
        <v>29.256707864999999</v>
      </c>
      <c r="K370">
        <v>0.25800000000000001</v>
      </c>
      <c r="L370">
        <f t="shared" si="23"/>
        <v>7.5482306291699999</v>
      </c>
    </row>
    <row r="371" spans="1:12" x14ac:dyDescent="0.2">
      <c r="A371" s="4">
        <v>43500</v>
      </c>
      <c r="B371" t="s">
        <v>517</v>
      </c>
      <c r="C371">
        <v>3</v>
      </c>
      <c r="D371">
        <v>1</v>
      </c>
      <c r="E371">
        <f t="shared" si="26"/>
        <v>21.5</v>
      </c>
      <c r="F371" t="s">
        <v>464</v>
      </c>
      <c r="G371" t="s">
        <v>965</v>
      </c>
      <c r="H371" s="9" t="s">
        <v>1071</v>
      </c>
      <c r="I371">
        <f t="shared" si="25"/>
        <v>64.5</v>
      </c>
      <c r="J371">
        <f t="shared" si="22"/>
        <v>29.256707864999999</v>
      </c>
      <c r="K371">
        <v>0.25800000000000001</v>
      </c>
      <c r="L371">
        <f t="shared" si="23"/>
        <v>7.5482306291699999</v>
      </c>
    </row>
    <row r="372" spans="1:12" x14ac:dyDescent="0.2">
      <c r="A372" s="4">
        <v>43503</v>
      </c>
      <c r="B372" t="s">
        <v>517</v>
      </c>
      <c r="C372">
        <v>3</v>
      </c>
      <c r="D372">
        <v>1</v>
      </c>
      <c r="E372">
        <f t="shared" si="26"/>
        <v>21.5</v>
      </c>
      <c r="F372" t="s">
        <v>463</v>
      </c>
      <c r="G372" t="s">
        <v>965</v>
      </c>
      <c r="H372" s="9" t="s">
        <v>1071</v>
      </c>
      <c r="I372">
        <f t="shared" si="25"/>
        <v>64.5</v>
      </c>
      <c r="J372">
        <f t="shared" si="22"/>
        <v>29.256707864999999</v>
      </c>
      <c r="K372">
        <v>0.25800000000000001</v>
      </c>
      <c r="L372">
        <f t="shared" si="23"/>
        <v>7.5482306291699999</v>
      </c>
    </row>
    <row r="373" spans="1:12" x14ac:dyDescent="0.2">
      <c r="A373" s="4">
        <v>43503</v>
      </c>
      <c r="B373" t="s">
        <v>517</v>
      </c>
      <c r="C373">
        <v>1</v>
      </c>
      <c r="D373">
        <v>1</v>
      </c>
      <c r="E373">
        <f t="shared" si="26"/>
        <v>21.5</v>
      </c>
      <c r="F373" t="s">
        <v>464</v>
      </c>
      <c r="G373" t="s">
        <v>965</v>
      </c>
      <c r="H373" s="9" t="s">
        <v>1071</v>
      </c>
      <c r="I373">
        <f t="shared" si="25"/>
        <v>21.5</v>
      </c>
      <c r="J373">
        <f t="shared" si="22"/>
        <v>9.7522359549999997</v>
      </c>
      <c r="K373">
        <v>0.25800000000000001</v>
      </c>
      <c r="L373">
        <f t="shared" si="23"/>
        <v>2.5160768763900001</v>
      </c>
    </row>
    <row r="374" spans="1:12" x14ac:dyDescent="0.2">
      <c r="A374" s="4">
        <v>43497</v>
      </c>
      <c r="B374" t="s">
        <v>538</v>
      </c>
      <c r="C374">
        <v>2</v>
      </c>
      <c r="D374">
        <v>6</v>
      </c>
      <c r="E374">
        <v>10.5</v>
      </c>
      <c r="F374" t="s">
        <v>597</v>
      </c>
      <c r="G374" t="s">
        <v>869</v>
      </c>
      <c r="H374" s="9" t="s">
        <v>1071</v>
      </c>
      <c r="I374">
        <f t="shared" si="25"/>
        <v>126</v>
      </c>
      <c r="J374">
        <f t="shared" si="22"/>
        <v>57.152638620000005</v>
      </c>
      <c r="K374">
        <v>0.87</v>
      </c>
      <c r="L374">
        <f t="shared" si="23"/>
        <v>49.722795599400001</v>
      </c>
    </row>
    <row r="375" spans="1:12" x14ac:dyDescent="0.2">
      <c r="A375" s="4">
        <v>43497</v>
      </c>
      <c r="B375" t="s">
        <v>538</v>
      </c>
      <c r="C375">
        <v>1</v>
      </c>
      <c r="D375">
        <v>3</v>
      </c>
      <c r="E375">
        <v>4.75</v>
      </c>
      <c r="F375" t="s">
        <v>740</v>
      </c>
      <c r="G375" t="s">
        <v>869</v>
      </c>
      <c r="H375" s="9" t="s">
        <v>1071</v>
      </c>
      <c r="I375">
        <f t="shared" si="25"/>
        <v>14.25</v>
      </c>
      <c r="J375">
        <f t="shared" si="22"/>
        <v>6.4636912725000002</v>
      </c>
      <c r="K375">
        <v>0.87</v>
      </c>
      <c r="L375">
        <f t="shared" si="23"/>
        <v>5.6234114070750003</v>
      </c>
    </row>
    <row r="376" spans="1:12" x14ac:dyDescent="0.2">
      <c r="A376" s="4">
        <v>43497</v>
      </c>
      <c r="B376" t="s">
        <v>538</v>
      </c>
      <c r="C376">
        <v>3</v>
      </c>
      <c r="D376">
        <v>6</v>
      </c>
      <c r="E376">
        <v>0.875</v>
      </c>
      <c r="F376" t="s">
        <v>741</v>
      </c>
      <c r="G376" t="s">
        <v>869</v>
      </c>
      <c r="H376" s="9" t="s">
        <v>1071</v>
      </c>
      <c r="I376">
        <f t="shared" si="25"/>
        <v>15.75</v>
      </c>
      <c r="J376">
        <f t="shared" si="22"/>
        <v>7.1440798275000006</v>
      </c>
      <c r="K376">
        <v>0.87</v>
      </c>
      <c r="L376">
        <f t="shared" si="23"/>
        <v>6.2153494499250002</v>
      </c>
    </row>
    <row r="377" spans="1:12" x14ac:dyDescent="0.2">
      <c r="A377" s="4">
        <v>43497</v>
      </c>
      <c r="B377" t="s">
        <v>538</v>
      </c>
      <c r="C377">
        <v>2</v>
      </c>
      <c r="D377">
        <v>6</v>
      </c>
      <c r="E377">
        <v>0.875</v>
      </c>
      <c r="F377" t="s">
        <v>581</v>
      </c>
      <c r="G377" t="s">
        <v>869</v>
      </c>
      <c r="H377" s="9" t="s">
        <v>1071</v>
      </c>
      <c r="I377">
        <f t="shared" si="25"/>
        <v>10.5</v>
      </c>
      <c r="J377">
        <f t="shared" si="22"/>
        <v>4.7627198850000001</v>
      </c>
      <c r="K377">
        <v>0.87</v>
      </c>
      <c r="L377">
        <f t="shared" si="23"/>
        <v>4.1435662999499998</v>
      </c>
    </row>
    <row r="378" spans="1:12" x14ac:dyDescent="0.2">
      <c r="A378" s="4">
        <v>43497</v>
      </c>
      <c r="B378" t="s">
        <v>538</v>
      </c>
      <c r="C378">
        <v>1</v>
      </c>
      <c r="D378">
        <v>3</v>
      </c>
      <c r="E378">
        <v>7.25</v>
      </c>
      <c r="F378" t="s">
        <v>554</v>
      </c>
      <c r="G378" t="s">
        <v>869</v>
      </c>
      <c r="H378" s="9" t="s">
        <v>1071</v>
      </c>
      <c r="I378">
        <f t="shared" si="25"/>
        <v>21.75</v>
      </c>
      <c r="J378">
        <f t="shared" si="22"/>
        <v>9.8656340475000004</v>
      </c>
      <c r="K378">
        <v>0.87</v>
      </c>
      <c r="L378">
        <f t="shared" si="23"/>
        <v>8.5831016213249995</v>
      </c>
    </row>
    <row r="379" spans="1:12" x14ac:dyDescent="0.2">
      <c r="A379" s="4">
        <v>43497</v>
      </c>
      <c r="B379" t="s">
        <v>538</v>
      </c>
      <c r="C379">
        <v>2</v>
      </c>
      <c r="D379">
        <v>6</v>
      </c>
      <c r="E379">
        <v>1.25</v>
      </c>
      <c r="F379" t="s">
        <v>598</v>
      </c>
      <c r="G379" t="s">
        <v>869</v>
      </c>
      <c r="H379" s="9" t="s">
        <v>1071</v>
      </c>
      <c r="I379">
        <f t="shared" si="25"/>
        <v>15</v>
      </c>
      <c r="J379">
        <f t="shared" si="22"/>
        <v>6.8038855500000004</v>
      </c>
      <c r="K379">
        <v>0.87</v>
      </c>
      <c r="L379">
        <f t="shared" si="23"/>
        <v>5.9193804285000002</v>
      </c>
    </row>
    <row r="380" spans="1:12" x14ac:dyDescent="0.2">
      <c r="A380" s="4">
        <v>43497</v>
      </c>
      <c r="B380" t="s">
        <v>538</v>
      </c>
      <c r="C380">
        <v>2</v>
      </c>
      <c r="D380">
        <v>6</v>
      </c>
      <c r="E380">
        <v>1</v>
      </c>
      <c r="F380" t="s">
        <v>582</v>
      </c>
      <c r="G380" t="s">
        <v>869</v>
      </c>
      <c r="H380" s="9" t="s">
        <v>1071</v>
      </c>
      <c r="I380">
        <f t="shared" si="25"/>
        <v>12</v>
      </c>
      <c r="J380">
        <f t="shared" si="22"/>
        <v>5.4431084400000005</v>
      </c>
      <c r="K380">
        <v>0.87</v>
      </c>
      <c r="L380">
        <f t="shared" si="23"/>
        <v>4.7355043428000005</v>
      </c>
    </row>
    <row r="381" spans="1:12" x14ac:dyDescent="0.2">
      <c r="A381" s="4">
        <v>43497</v>
      </c>
      <c r="B381" t="s">
        <v>538</v>
      </c>
      <c r="C381">
        <v>1</v>
      </c>
      <c r="D381">
        <v>6</v>
      </c>
      <c r="E381">
        <v>1</v>
      </c>
      <c r="F381" t="s">
        <v>742</v>
      </c>
      <c r="G381" t="s">
        <v>869</v>
      </c>
      <c r="H381" s="9" t="s">
        <v>1071</v>
      </c>
      <c r="I381">
        <f t="shared" si="25"/>
        <v>6</v>
      </c>
      <c r="J381">
        <f t="shared" si="22"/>
        <v>2.7215542200000002</v>
      </c>
      <c r="K381">
        <v>0.87</v>
      </c>
      <c r="L381">
        <f t="shared" si="23"/>
        <v>2.3677521714000003</v>
      </c>
    </row>
    <row r="382" spans="1:12" x14ac:dyDescent="0.2">
      <c r="A382" s="4">
        <v>43497</v>
      </c>
      <c r="B382" t="s">
        <v>538</v>
      </c>
      <c r="C382">
        <v>2</v>
      </c>
      <c r="D382">
        <v>6</v>
      </c>
      <c r="E382">
        <v>10.5</v>
      </c>
      <c r="F382" t="s">
        <v>583</v>
      </c>
      <c r="G382" t="s">
        <v>987</v>
      </c>
      <c r="H382" s="9" t="s">
        <v>1071</v>
      </c>
      <c r="I382">
        <f t="shared" si="25"/>
        <v>126</v>
      </c>
      <c r="J382">
        <f t="shared" si="22"/>
        <v>57.152638620000005</v>
      </c>
      <c r="K382">
        <v>0.87</v>
      </c>
      <c r="L382">
        <f t="shared" si="23"/>
        <v>49.722795599400001</v>
      </c>
    </row>
    <row r="383" spans="1:12" x14ac:dyDescent="0.2">
      <c r="A383" s="4">
        <v>43500</v>
      </c>
      <c r="B383" t="s">
        <v>538</v>
      </c>
      <c r="C383">
        <v>1</v>
      </c>
      <c r="D383">
        <v>3</v>
      </c>
      <c r="E383">
        <v>7.25</v>
      </c>
      <c r="F383" t="s">
        <v>554</v>
      </c>
      <c r="G383" t="s">
        <v>869</v>
      </c>
      <c r="H383" s="9" t="s">
        <v>1071</v>
      </c>
      <c r="I383">
        <f t="shared" si="25"/>
        <v>21.75</v>
      </c>
      <c r="J383">
        <f t="shared" si="22"/>
        <v>9.8656340475000004</v>
      </c>
      <c r="K383">
        <v>0.87</v>
      </c>
      <c r="L383">
        <f t="shared" si="23"/>
        <v>8.5831016213249995</v>
      </c>
    </row>
    <row r="384" spans="1:12" x14ac:dyDescent="0.2">
      <c r="A384" s="4">
        <v>43500</v>
      </c>
      <c r="B384" t="s">
        <v>538</v>
      </c>
      <c r="C384">
        <v>1</v>
      </c>
      <c r="D384">
        <v>6</v>
      </c>
      <c r="E384">
        <v>1.25</v>
      </c>
      <c r="F384" t="s">
        <v>598</v>
      </c>
      <c r="G384" t="s">
        <v>869</v>
      </c>
      <c r="H384" s="9" t="s">
        <v>1071</v>
      </c>
      <c r="I384">
        <f t="shared" si="25"/>
        <v>7.5</v>
      </c>
      <c r="J384">
        <f t="shared" si="22"/>
        <v>3.4019427750000002</v>
      </c>
      <c r="K384">
        <v>0.87</v>
      </c>
      <c r="L384">
        <f t="shared" si="23"/>
        <v>2.9596902142500001</v>
      </c>
    </row>
    <row r="385" spans="1:12" x14ac:dyDescent="0.2">
      <c r="A385" s="4">
        <v>43500</v>
      </c>
      <c r="B385" t="s">
        <v>538</v>
      </c>
      <c r="C385">
        <v>1</v>
      </c>
      <c r="D385">
        <v>6</v>
      </c>
      <c r="E385">
        <v>1</v>
      </c>
      <c r="F385" t="s">
        <v>582</v>
      </c>
      <c r="G385" t="s">
        <v>869</v>
      </c>
      <c r="H385" s="9" t="s">
        <v>1071</v>
      </c>
      <c r="I385">
        <f t="shared" si="25"/>
        <v>6</v>
      </c>
      <c r="J385">
        <f t="shared" si="22"/>
        <v>2.7215542200000002</v>
      </c>
      <c r="K385">
        <v>0.87</v>
      </c>
      <c r="L385">
        <f t="shared" si="23"/>
        <v>2.3677521714000003</v>
      </c>
    </row>
    <row r="386" spans="1:12" x14ac:dyDescent="0.2">
      <c r="A386" s="4">
        <v>43500</v>
      </c>
      <c r="B386" t="s">
        <v>538</v>
      </c>
      <c r="C386">
        <v>2</v>
      </c>
      <c r="D386">
        <v>3</v>
      </c>
      <c r="E386">
        <v>7.5</v>
      </c>
      <c r="F386" t="s">
        <v>748</v>
      </c>
      <c r="G386" t="s">
        <v>869</v>
      </c>
      <c r="H386" s="9" t="s">
        <v>1071</v>
      </c>
      <c r="I386">
        <f t="shared" si="25"/>
        <v>45</v>
      </c>
      <c r="J386">
        <f t="shared" si="22"/>
        <v>20.411656650000001</v>
      </c>
      <c r="K386">
        <v>0.87</v>
      </c>
      <c r="L386">
        <f t="shared" si="23"/>
        <v>17.758141285500002</v>
      </c>
    </row>
    <row r="387" spans="1:12" x14ac:dyDescent="0.2">
      <c r="A387" s="4">
        <v>43500</v>
      </c>
      <c r="B387" t="s">
        <v>538</v>
      </c>
      <c r="C387">
        <v>1</v>
      </c>
      <c r="D387">
        <v>3</v>
      </c>
      <c r="E387">
        <v>5</v>
      </c>
      <c r="F387" t="s">
        <v>556</v>
      </c>
      <c r="G387" t="s">
        <v>869</v>
      </c>
      <c r="H387" s="9" t="s">
        <v>1071</v>
      </c>
      <c r="I387">
        <f t="shared" si="25"/>
        <v>15</v>
      </c>
      <c r="J387">
        <f t="shared" ref="J387:J450" si="27">CONVERT(I387,"lbm","kg")</f>
        <v>6.8038855500000004</v>
      </c>
      <c r="K387">
        <v>0.87</v>
      </c>
      <c r="L387">
        <f t="shared" ref="L387:L450" si="28">J387*K387</f>
        <v>5.9193804285000002</v>
      </c>
    </row>
    <row r="388" spans="1:12" x14ac:dyDescent="0.2">
      <c r="A388" s="4">
        <v>43500</v>
      </c>
      <c r="B388" t="s">
        <v>538</v>
      </c>
      <c r="C388">
        <v>2</v>
      </c>
      <c r="D388">
        <v>6</v>
      </c>
      <c r="E388">
        <v>20.0625</v>
      </c>
      <c r="F388" t="s">
        <v>750</v>
      </c>
      <c r="G388" t="s">
        <v>869</v>
      </c>
      <c r="H388" s="9" t="s">
        <v>1071</v>
      </c>
      <c r="I388">
        <f t="shared" si="25"/>
        <v>240.75</v>
      </c>
      <c r="J388">
        <f t="shared" si="27"/>
        <v>109.20236307750001</v>
      </c>
      <c r="K388">
        <v>0.87</v>
      </c>
      <c r="L388">
        <f t="shared" si="28"/>
        <v>95.006055877425013</v>
      </c>
    </row>
    <row r="389" spans="1:12" x14ac:dyDescent="0.2">
      <c r="A389" s="4">
        <v>43503</v>
      </c>
      <c r="B389" t="s">
        <v>48</v>
      </c>
      <c r="C389" s="28">
        <v>1</v>
      </c>
      <c r="D389" s="35">
        <v>1</v>
      </c>
      <c r="E389">
        <v>1</v>
      </c>
      <c r="F389" t="s">
        <v>1005</v>
      </c>
      <c r="G389" t="s">
        <v>1039</v>
      </c>
      <c r="H389" s="9" t="s">
        <v>1071</v>
      </c>
      <c r="I389">
        <f t="shared" si="25"/>
        <v>1</v>
      </c>
      <c r="J389">
        <f t="shared" si="27"/>
        <v>0.45359237000000002</v>
      </c>
      <c r="K389">
        <v>0.87</v>
      </c>
      <c r="L389">
        <f t="shared" si="28"/>
        <v>0.39462536190000003</v>
      </c>
    </row>
    <row r="390" spans="1:12" x14ac:dyDescent="0.2">
      <c r="A390" s="4">
        <v>43503</v>
      </c>
      <c r="B390" t="s">
        <v>48</v>
      </c>
      <c r="C390" s="28">
        <v>1</v>
      </c>
      <c r="D390" s="35">
        <v>1</v>
      </c>
      <c r="E390">
        <v>1</v>
      </c>
      <c r="F390" t="s">
        <v>711</v>
      </c>
      <c r="G390" t="s">
        <v>1039</v>
      </c>
      <c r="H390" s="9" t="s">
        <v>1071</v>
      </c>
      <c r="I390">
        <f t="shared" si="25"/>
        <v>1</v>
      </c>
      <c r="J390">
        <f t="shared" si="27"/>
        <v>0.45359237000000002</v>
      </c>
      <c r="K390">
        <v>0.87</v>
      </c>
      <c r="L390">
        <f t="shared" si="28"/>
        <v>0.39462536190000003</v>
      </c>
    </row>
    <row r="391" spans="1:12" x14ac:dyDescent="0.2">
      <c r="A391" s="4">
        <v>43497</v>
      </c>
      <c r="B391" t="s">
        <v>538</v>
      </c>
      <c r="C391">
        <v>2</v>
      </c>
      <c r="D391">
        <v>6</v>
      </c>
      <c r="E391">
        <v>10.5</v>
      </c>
      <c r="F391" t="s">
        <v>552</v>
      </c>
      <c r="G391" t="s">
        <v>1039</v>
      </c>
      <c r="H391" s="9" t="s">
        <v>1071</v>
      </c>
      <c r="I391">
        <f t="shared" si="25"/>
        <v>126</v>
      </c>
      <c r="J391">
        <f t="shared" si="27"/>
        <v>57.152638620000005</v>
      </c>
      <c r="K391">
        <v>0.87</v>
      </c>
      <c r="L391">
        <f t="shared" si="28"/>
        <v>49.722795599400001</v>
      </c>
    </row>
    <row r="392" spans="1:12" x14ac:dyDescent="0.2">
      <c r="A392" s="4">
        <v>43497</v>
      </c>
      <c r="B392" t="s">
        <v>538</v>
      </c>
      <c r="C392">
        <v>1</v>
      </c>
      <c r="D392">
        <v>18</v>
      </c>
      <c r="E392">
        <v>2.25</v>
      </c>
      <c r="F392" t="s">
        <v>457</v>
      </c>
      <c r="G392" t="s">
        <v>1039</v>
      </c>
      <c r="H392" s="9" t="s">
        <v>1071</v>
      </c>
      <c r="I392">
        <f t="shared" si="25"/>
        <v>40.5</v>
      </c>
      <c r="J392">
        <f t="shared" si="27"/>
        <v>18.370490985</v>
      </c>
      <c r="K392">
        <v>0.87</v>
      </c>
      <c r="L392">
        <f t="shared" si="28"/>
        <v>15.982327156949999</v>
      </c>
    </row>
    <row r="393" spans="1:12" x14ac:dyDescent="0.2">
      <c r="A393" s="4">
        <v>43500</v>
      </c>
      <c r="B393" t="s">
        <v>538</v>
      </c>
      <c r="C393">
        <v>0</v>
      </c>
      <c r="D393">
        <v>12</v>
      </c>
      <c r="E393">
        <v>3</v>
      </c>
      <c r="F393" t="s">
        <v>451</v>
      </c>
      <c r="G393" t="s">
        <v>1039</v>
      </c>
      <c r="H393" s="9" t="s">
        <v>1071</v>
      </c>
      <c r="I393">
        <f t="shared" si="25"/>
        <v>0</v>
      </c>
      <c r="J393">
        <f t="shared" si="27"/>
        <v>0</v>
      </c>
      <c r="K393">
        <v>0.87</v>
      </c>
      <c r="L393">
        <f t="shared" si="28"/>
        <v>0</v>
      </c>
    </row>
    <row r="394" spans="1:12" x14ac:dyDescent="0.2">
      <c r="A394" s="4">
        <v>43500</v>
      </c>
      <c r="B394" t="s">
        <v>538</v>
      </c>
      <c r="C394">
        <v>0</v>
      </c>
      <c r="D394">
        <v>6</v>
      </c>
      <c r="E394">
        <v>20.125</v>
      </c>
      <c r="F394" t="s">
        <v>749</v>
      </c>
      <c r="G394" t="s">
        <v>1039</v>
      </c>
      <c r="H394" s="9" t="s">
        <v>1071</v>
      </c>
      <c r="I394">
        <f t="shared" si="25"/>
        <v>0</v>
      </c>
      <c r="J394">
        <f t="shared" si="27"/>
        <v>0</v>
      </c>
      <c r="K394">
        <v>0.87</v>
      </c>
      <c r="L394">
        <f t="shared" si="28"/>
        <v>0</v>
      </c>
    </row>
    <row r="395" spans="1:12" x14ac:dyDescent="0.2">
      <c r="A395" s="4">
        <v>43500</v>
      </c>
      <c r="B395" t="s">
        <v>538</v>
      </c>
      <c r="C395">
        <v>1</v>
      </c>
      <c r="D395">
        <v>12</v>
      </c>
      <c r="E395">
        <v>3</v>
      </c>
      <c r="F395" t="s">
        <v>451</v>
      </c>
      <c r="G395" t="s">
        <v>1039</v>
      </c>
      <c r="H395" s="9" t="s">
        <v>1071</v>
      </c>
      <c r="I395">
        <f t="shared" si="25"/>
        <v>36</v>
      </c>
      <c r="J395">
        <f t="shared" si="27"/>
        <v>16.329325319999999</v>
      </c>
      <c r="K395">
        <v>0.87</v>
      </c>
      <c r="L395">
        <f t="shared" si="28"/>
        <v>14.206513028399998</v>
      </c>
    </row>
    <row r="396" spans="1:12" x14ac:dyDescent="0.2">
      <c r="A396" s="4">
        <v>43503</v>
      </c>
      <c r="B396" t="s">
        <v>48</v>
      </c>
      <c r="C396" s="28">
        <v>6</v>
      </c>
      <c r="D396" s="35">
        <v>1</v>
      </c>
      <c r="E396">
        <v>10</v>
      </c>
      <c r="F396" t="s">
        <v>330</v>
      </c>
      <c r="G396" t="s">
        <v>815</v>
      </c>
      <c r="H396" s="9" t="s">
        <v>1071</v>
      </c>
      <c r="I396">
        <f t="shared" si="25"/>
        <v>60</v>
      </c>
      <c r="J396">
        <f t="shared" si="27"/>
        <v>27.215542200000002</v>
      </c>
      <c r="K396">
        <v>0.307</v>
      </c>
      <c r="L396">
        <f t="shared" si="28"/>
        <v>8.3551714554000007</v>
      </c>
    </row>
    <row r="397" spans="1:12" x14ac:dyDescent="0.2">
      <c r="A397" s="4">
        <v>43501</v>
      </c>
      <c r="B397" t="s">
        <v>48</v>
      </c>
      <c r="C397" s="28">
        <v>5</v>
      </c>
      <c r="D397" s="35">
        <v>1</v>
      </c>
      <c r="E397">
        <v>10</v>
      </c>
      <c r="F397" t="s">
        <v>330</v>
      </c>
      <c r="G397" t="s">
        <v>815</v>
      </c>
      <c r="H397" s="9" t="s">
        <v>1071</v>
      </c>
      <c r="I397">
        <f t="shared" ref="I397:I428" si="29">C397*D397*E397</f>
        <v>50</v>
      </c>
      <c r="J397">
        <f t="shared" si="27"/>
        <v>22.6796185</v>
      </c>
      <c r="K397">
        <v>0.307</v>
      </c>
      <c r="L397">
        <f t="shared" si="28"/>
        <v>6.9626428794999997</v>
      </c>
    </row>
    <row r="398" spans="1:12" x14ac:dyDescent="0.2">
      <c r="A398" s="4">
        <v>43500</v>
      </c>
      <c r="B398" t="s">
        <v>48</v>
      </c>
      <c r="C398" s="28">
        <v>6</v>
      </c>
      <c r="D398" s="35">
        <v>1</v>
      </c>
      <c r="E398">
        <v>10</v>
      </c>
      <c r="F398" t="s">
        <v>330</v>
      </c>
      <c r="G398" t="s">
        <v>815</v>
      </c>
      <c r="H398" s="9" t="s">
        <v>1071</v>
      </c>
      <c r="I398">
        <f t="shared" si="29"/>
        <v>60</v>
      </c>
      <c r="J398">
        <f t="shared" si="27"/>
        <v>27.215542200000002</v>
      </c>
      <c r="K398">
        <v>0.307</v>
      </c>
      <c r="L398">
        <f t="shared" si="28"/>
        <v>8.3551714554000007</v>
      </c>
    </row>
    <row r="399" spans="1:12" x14ac:dyDescent="0.2">
      <c r="A399" s="4">
        <v>43497</v>
      </c>
      <c r="B399" t="s">
        <v>48</v>
      </c>
      <c r="C399" s="28">
        <v>8</v>
      </c>
      <c r="D399" s="35">
        <v>1</v>
      </c>
      <c r="E399">
        <v>10</v>
      </c>
      <c r="F399" t="s">
        <v>330</v>
      </c>
      <c r="G399" t="s">
        <v>815</v>
      </c>
      <c r="H399" s="9" t="s">
        <v>1071</v>
      </c>
      <c r="I399">
        <f t="shared" si="29"/>
        <v>80</v>
      </c>
      <c r="J399">
        <f t="shared" si="27"/>
        <v>36.287389600000004</v>
      </c>
      <c r="K399">
        <v>0.307</v>
      </c>
      <c r="L399">
        <f t="shared" si="28"/>
        <v>11.140228607200001</v>
      </c>
    </row>
    <row r="400" spans="1:12" x14ac:dyDescent="0.2">
      <c r="A400" s="4">
        <v>43497</v>
      </c>
      <c r="B400" t="s">
        <v>531</v>
      </c>
      <c r="C400">
        <v>2</v>
      </c>
      <c r="D400">
        <v>12</v>
      </c>
      <c r="E400">
        <v>2</v>
      </c>
      <c r="F400" t="s">
        <v>734</v>
      </c>
      <c r="G400" t="s">
        <v>996</v>
      </c>
      <c r="H400" s="9" t="s">
        <v>1071</v>
      </c>
      <c r="I400">
        <f t="shared" si="29"/>
        <v>48</v>
      </c>
      <c r="J400">
        <f t="shared" si="27"/>
        <v>21.772433760000002</v>
      </c>
      <c r="K400">
        <v>0.307</v>
      </c>
      <c r="L400">
        <f t="shared" si="28"/>
        <v>6.6841371643200009</v>
      </c>
    </row>
    <row r="401" spans="1:12" x14ac:dyDescent="0.2">
      <c r="A401" s="4">
        <v>43503</v>
      </c>
      <c r="B401" t="s">
        <v>48</v>
      </c>
      <c r="C401" s="28">
        <v>2</v>
      </c>
      <c r="D401" s="35">
        <v>1</v>
      </c>
      <c r="E401">
        <v>20</v>
      </c>
      <c r="F401" t="s">
        <v>707</v>
      </c>
      <c r="G401" t="s">
        <v>796</v>
      </c>
      <c r="H401" s="9" t="s">
        <v>1071</v>
      </c>
      <c r="I401">
        <f t="shared" si="29"/>
        <v>40</v>
      </c>
      <c r="J401">
        <f t="shared" si="27"/>
        <v>18.143694800000002</v>
      </c>
      <c r="K401">
        <v>1.2290000000000001</v>
      </c>
      <c r="L401">
        <f t="shared" si="28"/>
        <v>22.298600909200005</v>
      </c>
    </row>
    <row r="402" spans="1:12" x14ac:dyDescent="0.2">
      <c r="A402" s="4">
        <v>43503</v>
      </c>
      <c r="B402" t="s">
        <v>48</v>
      </c>
      <c r="C402" s="28">
        <v>3</v>
      </c>
      <c r="D402" s="35">
        <v>1</v>
      </c>
      <c r="E402">
        <v>20</v>
      </c>
      <c r="F402" t="s">
        <v>638</v>
      </c>
      <c r="G402" t="s">
        <v>796</v>
      </c>
      <c r="H402" s="9" t="s">
        <v>1071</v>
      </c>
      <c r="I402">
        <f t="shared" si="29"/>
        <v>60</v>
      </c>
      <c r="J402">
        <f t="shared" si="27"/>
        <v>27.215542200000002</v>
      </c>
      <c r="K402">
        <v>1.2290000000000001</v>
      </c>
      <c r="L402">
        <f t="shared" si="28"/>
        <v>33.447901363800007</v>
      </c>
    </row>
    <row r="403" spans="1:12" x14ac:dyDescent="0.2">
      <c r="A403" s="4">
        <v>43503</v>
      </c>
      <c r="B403" t="s">
        <v>48</v>
      </c>
      <c r="C403" s="28">
        <v>2</v>
      </c>
      <c r="D403" s="35">
        <v>1</v>
      </c>
      <c r="E403">
        <v>20</v>
      </c>
      <c r="F403" t="s">
        <v>710</v>
      </c>
      <c r="G403" t="s">
        <v>796</v>
      </c>
      <c r="H403" s="9" t="s">
        <v>1071</v>
      </c>
      <c r="I403">
        <f t="shared" si="29"/>
        <v>40</v>
      </c>
      <c r="J403">
        <f t="shared" si="27"/>
        <v>18.143694800000002</v>
      </c>
      <c r="K403">
        <v>1.2290000000000001</v>
      </c>
      <c r="L403">
        <f t="shared" si="28"/>
        <v>22.298600909200005</v>
      </c>
    </row>
    <row r="404" spans="1:12" x14ac:dyDescent="0.2">
      <c r="A404" s="4">
        <v>43502</v>
      </c>
      <c r="B404" t="s">
        <v>48</v>
      </c>
      <c r="C404" s="28">
        <v>4</v>
      </c>
      <c r="D404" s="35">
        <v>1</v>
      </c>
      <c r="E404">
        <v>20</v>
      </c>
      <c r="F404" t="s">
        <v>707</v>
      </c>
      <c r="G404" t="s">
        <v>796</v>
      </c>
      <c r="H404" s="9" t="s">
        <v>1071</v>
      </c>
      <c r="I404">
        <f t="shared" si="29"/>
        <v>80</v>
      </c>
      <c r="J404">
        <f t="shared" si="27"/>
        <v>36.287389600000004</v>
      </c>
      <c r="K404">
        <v>1.2290000000000001</v>
      </c>
      <c r="L404">
        <f t="shared" si="28"/>
        <v>44.597201818400009</v>
      </c>
    </row>
    <row r="405" spans="1:12" x14ac:dyDescent="0.2">
      <c r="A405" s="4">
        <v>43502</v>
      </c>
      <c r="B405" t="s">
        <v>48</v>
      </c>
      <c r="C405" s="28">
        <v>4</v>
      </c>
      <c r="D405" s="35">
        <v>1</v>
      </c>
      <c r="E405">
        <v>20</v>
      </c>
      <c r="F405" t="s">
        <v>638</v>
      </c>
      <c r="G405" t="s">
        <v>796</v>
      </c>
      <c r="H405" s="9" t="s">
        <v>1071</v>
      </c>
      <c r="I405">
        <f t="shared" si="29"/>
        <v>80</v>
      </c>
      <c r="J405">
        <f t="shared" si="27"/>
        <v>36.287389600000004</v>
      </c>
      <c r="K405">
        <v>1.2290000000000001</v>
      </c>
      <c r="L405">
        <f t="shared" si="28"/>
        <v>44.597201818400009</v>
      </c>
    </row>
    <row r="406" spans="1:12" x14ac:dyDescent="0.2">
      <c r="A406" s="4">
        <v>43500</v>
      </c>
      <c r="B406" t="s">
        <v>48</v>
      </c>
      <c r="C406" s="28">
        <v>4</v>
      </c>
      <c r="D406" s="35">
        <v>1</v>
      </c>
      <c r="E406">
        <v>20</v>
      </c>
      <c r="F406" t="s">
        <v>707</v>
      </c>
      <c r="G406" t="s">
        <v>796</v>
      </c>
      <c r="H406" s="9" t="s">
        <v>1071</v>
      </c>
      <c r="I406">
        <f t="shared" si="29"/>
        <v>80</v>
      </c>
      <c r="J406">
        <f t="shared" si="27"/>
        <v>36.287389600000004</v>
      </c>
      <c r="K406">
        <v>1.2290000000000001</v>
      </c>
      <c r="L406">
        <f t="shared" si="28"/>
        <v>44.597201818400009</v>
      </c>
    </row>
    <row r="407" spans="1:12" x14ac:dyDescent="0.2">
      <c r="A407" s="4">
        <v>43500</v>
      </c>
      <c r="B407" t="s">
        <v>48</v>
      </c>
      <c r="C407" s="28">
        <v>4</v>
      </c>
      <c r="D407" s="35">
        <v>1</v>
      </c>
      <c r="E407">
        <v>20</v>
      </c>
      <c r="F407" t="s">
        <v>638</v>
      </c>
      <c r="G407" t="s">
        <v>796</v>
      </c>
      <c r="H407" s="9" t="s">
        <v>1071</v>
      </c>
      <c r="I407">
        <f t="shared" si="29"/>
        <v>80</v>
      </c>
      <c r="J407">
        <f t="shared" si="27"/>
        <v>36.287389600000004</v>
      </c>
      <c r="K407">
        <v>1.2290000000000001</v>
      </c>
      <c r="L407">
        <f t="shared" si="28"/>
        <v>44.597201818400009</v>
      </c>
    </row>
    <row r="408" spans="1:12" x14ac:dyDescent="0.2">
      <c r="A408" s="4">
        <v>43500</v>
      </c>
      <c r="B408" t="s">
        <v>48</v>
      </c>
      <c r="C408" s="28">
        <v>3</v>
      </c>
      <c r="D408" s="35">
        <v>1</v>
      </c>
      <c r="E408">
        <v>20</v>
      </c>
      <c r="F408" t="s">
        <v>486</v>
      </c>
      <c r="G408" t="s">
        <v>796</v>
      </c>
      <c r="H408" s="9" t="s">
        <v>1071</v>
      </c>
      <c r="I408">
        <f t="shared" si="29"/>
        <v>60</v>
      </c>
      <c r="J408">
        <f t="shared" si="27"/>
        <v>27.215542200000002</v>
      </c>
      <c r="K408">
        <v>1.2290000000000001</v>
      </c>
      <c r="L408">
        <f t="shared" si="28"/>
        <v>33.447901363800007</v>
      </c>
    </row>
    <row r="409" spans="1:12" x14ac:dyDescent="0.2">
      <c r="A409" s="4">
        <v>43498</v>
      </c>
      <c r="B409" t="s">
        <v>48</v>
      </c>
      <c r="C409" s="28">
        <v>2</v>
      </c>
      <c r="D409" s="35">
        <v>1</v>
      </c>
      <c r="E409">
        <f>3/4*44</f>
        <v>33</v>
      </c>
      <c r="F409" t="s">
        <v>331</v>
      </c>
      <c r="G409" t="s">
        <v>796</v>
      </c>
      <c r="H409" s="9" t="s">
        <v>1071</v>
      </c>
      <c r="I409">
        <f t="shared" si="29"/>
        <v>66</v>
      </c>
      <c r="J409">
        <f t="shared" si="27"/>
        <v>29.937096420000003</v>
      </c>
      <c r="K409">
        <v>1.2290000000000001</v>
      </c>
      <c r="L409">
        <f t="shared" si="28"/>
        <v>36.792691500180005</v>
      </c>
    </row>
    <row r="410" spans="1:12" x14ac:dyDescent="0.2">
      <c r="A410" s="4">
        <v>43498</v>
      </c>
      <c r="B410" t="s">
        <v>48</v>
      </c>
      <c r="C410" s="28">
        <v>2</v>
      </c>
      <c r="D410" s="35">
        <v>1</v>
      </c>
      <c r="E410">
        <f>0.5*44</f>
        <v>22</v>
      </c>
      <c r="F410" t="s">
        <v>332</v>
      </c>
      <c r="G410" t="s">
        <v>796</v>
      </c>
      <c r="H410" s="9" t="s">
        <v>1071</v>
      </c>
      <c r="I410">
        <f t="shared" si="29"/>
        <v>44</v>
      </c>
      <c r="J410">
        <f t="shared" si="27"/>
        <v>19.958064280000002</v>
      </c>
      <c r="K410">
        <v>1.2290000000000001</v>
      </c>
      <c r="L410">
        <f t="shared" si="28"/>
        <v>24.528461000120004</v>
      </c>
    </row>
    <row r="411" spans="1:12" x14ac:dyDescent="0.2">
      <c r="A411" s="4">
        <v>43497</v>
      </c>
      <c r="B411" t="s">
        <v>48</v>
      </c>
      <c r="C411" s="28">
        <v>6</v>
      </c>
      <c r="D411" s="35">
        <v>1</v>
      </c>
      <c r="E411">
        <f>3/4*44</f>
        <v>33</v>
      </c>
      <c r="F411" t="s">
        <v>725</v>
      </c>
      <c r="G411" t="s">
        <v>796</v>
      </c>
      <c r="H411" s="9" t="s">
        <v>1071</v>
      </c>
      <c r="I411">
        <f t="shared" si="29"/>
        <v>198</v>
      </c>
      <c r="J411">
        <f t="shared" si="27"/>
        <v>89.811289260000009</v>
      </c>
      <c r="K411">
        <v>1.2290000000000001</v>
      </c>
      <c r="L411">
        <f t="shared" si="28"/>
        <v>110.37807450054002</v>
      </c>
    </row>
    <row r="412" spans="1:12" x14ac:dyDescent="0.2">
      <c r="A412" s="4">
        <v>43497</v>
      </c>
      <c r="B412" t="s">
        <v>48</v>
      </c>
      <c r="C412" s="28">
        <v>4</v>
      </c>
      <c r="D412" s="35">
        <v>1</v>
      </c>
      <c r="E412">
        <f>0.5*44</f>
        <v>22</v>
      </c>
      <c r="F412" t="s">
        <v>726</v>
      </c>
      <c r="G412" t="s">
        <v>796</v>
      </c>
      <c r="H412" s="9" t="s">
        <v>1071</v>
      </c>
      <c r="I412">
        <f t="shared" si="29"/>
        <v>88</v>
      </c>
      <c r="J412">
        <f t="shared" si="27"/>
        <v>39.916128560000004</v>
      </c>
      <c r="K412">
        <v>1.2290000000000001</v>
      </c>
      <c r="L412">
        <f t="shared" si="28"/>
        <v>49.056922000240007</v>
      </c>
    </row>
    <row r="413" spans="1:12" x14ac:dyDescent="0.2">
      <c r="A413" s="4">
        <v>43498</v>
      </c>
      <c r="B413" t="s">
        <v>48</v>
      </c>
      <c r="C413" s="28">
        <v>2</v>
      </c>
      <c r="D413" s="35">
        <v>1</v>
      </c>
      <c r="E413">
        <f>3/4*44</f>
        <v>33</v>
      </c>
      <c r="F413" t="s">
        <v>331</v>
      </c>
      <c r="G413" t="s">
        <v>796</v>
      </c>
      <c r="H413" s="9" t="s">
        <v>1071</v>
      </c>
      <c r="I413">
        <f t="shared" si="29"/>
        <v>66</v>
      </c>
      <c r="J413">
        <f t="shared" si="27"/>
        <v>29.937096420000003</v>
      </c>
      <c r="K413">
        <v>1.2290000000000001</v>
      </c>
      <c r="L413">
        <f t="shared" si="28"/>
        <v>36.792691500180005</v>
      </c>
    </row>
    <row r="414" spans="1:12" x14ac:dyDescent="0.2">
      <c r="A414" s="4">
        <v>43498</v>
      </c>
      <c r="B414" t="s">
        <v>48</v>
      </c>
      <c r="C414" s="28">
        <v>2</v>
      </c>
      <c r="D414" s="35">
        <v>1</v>
      </c>
      <c r="E414">
        <f>0.5*44</f>
        <v>22</v>
      </c>
      <c r="F414" t="s">
        <v>332</v>
      </c>
      <c r="G414" t="s">
        <v>796</v>
      </c>
      <c r="H414" s="9" t="s">
        <v>1071</v>
      </c>
      <c r="I414">
        <f t="shared" si="29"/>
        <v>44</v>
      </c>
      <c r="J414">
        <f t="shared" si="27"/>
        <v>19.958064280000002</v>
      </c>
      <c r="K414">
        <v>1.2290000000000001</v>
      </c>
      <c r="L414">
        <f t="shared" si="28"/>
        <v>24.528461000120004</v>
      </c>
    </row>
    <row r="415" spans="1:12" x14ac:dyDescent="0.2">
      <c r="A415" s="4">
        <v>43503</v>
      </c>
      <c r="B415" t="s">
        <v>48</v>
      </c>
      <c r="C415" s="28">
        <v>6</v>
      </c>
      <c r="D415" s="35">
        <v>1</v>
      </c>
      <c r="E415">
        <v>8</v>
      </c>
      <c r="F415" t="s">
        <v>712</v>
      </c>
      <c r="G415" t="s">
        <v>797</v>
      </c>
      <c r="H415" s="9" t="s">
        <v>1071</v>
      </c>
      <c r="I415">
        <f t="shared" si="29"/>
        <v>48</v>
      </c>
      <c r="J415">
        <f t="shared" si="27"/>
        <v>21.772433760000002</v>
      </c>
      <c r="K415">
        <v>0.61399999999999999</v>
      </c>
      <c r="L415">
        <f t="shared" si="28"/>
        <v>13.368274328640002</v>
      </c>
    </row>
    <row r="416" spans="1:12" x14ac:dyDescent="0.2">
      <c r="A416" s="4">
        <v>43502</v>
      </c>
      <c r="B416" t="s">
        <v>48</v>
      </c>
      <c r="C416" s="28">
        <v>8</v>
      </c>
      <c r="D416" s="35">
        <v>1</v>
      </c>
      <c r="E416">
        <v>8</v>
      </c>
      <c r="F416" t="s">
        <v>716</v>
      </c>
      <c r="G416" t="s">
        <v>797</v>
      </c>
      <c r="H416" s="9" t="s">
        <v>1071</v>
      </c>
      <c r="I416">
        <f t="shared" si="29"/>
        <v>64</v>
      </c>
      <c r="J416">
        <f t="shared" si="27"/>
        <v>29.029911680000001</v>
      </c>
      <c r="K416">
        <v>0.61399999999999999</v>
      </c>
      <c r="L416">
        <f t="shared" si="28"/>
        <v>17.82436577152</v>
      </c>
    </row>
    <row r="417" spans="1:12" x14ac:dyDescent="0.2">
      <c r="A417" s="4">
        <v>43501</v>
      </c>
      <c r="B417" t="s">
        <v>48</v>
      </c>
      <c r="C417" s="28">
        <v>10</v>
      </c>
      <c r="D417" s="35">
        <v>1</v>
      </c>
      <c r="E417">
        <v>8</v>
      </c>
      <c r="F417" t="s">
        <v>716</v>
      </c>
      <c r="G417" t="s">
        <v>797</v>
      </c>
      <c r="H417" s="9" t="s">
        <v>1071</v>
      </c>
      <c r="I417">
        <f t="shared" si="29"/>
        <v>80</v>
      </c>
      <c r="J417">
        <f t="shared" si="27"/>
        <v>36.287389600000004</v>
      </c>
      <c r="K417">
        <v>0.61399999999999999</v>
      </c>
      <c r="L417">
        <f t="shared" si="28"/>
        <v>22.280457214400002</v>
      </c>
    </row>
    <row r="418" spans="1:12" x14ac:dyDescent="0.2">
      <c r="A418" s="4">
        <v>43497</v>
      </c>
      <c r="B418" t="s">
        <v>48</v>
      </c>
      <c r="C418" s="28">
        <v>5</v>
      </c>
      <c r="D418" s="35">
        <v>1</v>
      </c>
      <c r="E418">
        <v>8</v>
      </c>
      <c r="F418" t="s">
        <v>333</v>
      </c>
      <c r="G418" t="s">
        <v>797</v>
      </c>
      <c r="H418" s="9" t="s">
        <v>1071</v>
      </c>
      <c r="I418">
        <f t="shared" si="29"/>
        <v>40</v>
      </c>
      <c r="J418">
        <f t="shared" si="27"/>
        <v>18.143694800000002</v>
      </c>
      <c r="K418">
        <v>0.61399999999999999</v>
      </c>
      <c r="L418">
        <f t="shared" si="28"/>
        <v>11.140228607200001</v>
      </c>
    </row>
    <row r="419" spans="1:12" x14ac:dyDescent="0.2">
      <c r="A419" s="4">
        <v>43500</v>
      </c>
      <c r="B419" t="s">
        <v>538</v>
      </c>
      <c r="C419">
        <v>1</v>
      </c>
      <c r="D419">
        <v>1</v>
      </c>
      <c r="E419">
        <v>50</v>
      </c>
      <c r="F419" t="s">
        <v>425</v>
      </c>
      <c r="G419" t="s">
        <v>860</v>
      </c>
      <c r="H419" s="9" t="s">
        <v>1071</v>
      </c>
      <c r="I419">
        <f t="shared" si="29"/>
        <v>50</v>
      </c>
      <c r="J419">
        <f t="shared" si="27"/>
        <v>22.6796185</v>
      </c>
      <c r="K419">
        <v>0.7</v>
      </c>
      <c r="L419">
        <f t="shared" si="28"/>
        <v>15.87573295</v>
      </c>
    </row>
    <row r="420" spans="1:12" x14ac:dyDescent="0.2">
      <c r="A420" s="4">
        <v>43500</v>
      </c>
      <c r="B420" t="s">
        <v>538</v>
      </c>
      <c r="C420">
        <v>3</v>
      </c>
      <c r="D420">
        <v>1</v>
      </c>
      <c r="E420">
        <v>50</v>
      </c>
      <c r="F420" t="s">
        <v>434</v>
      </c>
      <c r="G420" t="s">
        <v>860</v>
      </c>
      <c r="H420" s="9" t="s">
        <v>1071</v>
      </c>
      <c r="I420">
        <f t="shared" si="29"/>
        <v>150</v>
      </c>
      <c r="J420">
        <f t="shared" si="27"/>
        <v>68.038855500000011</v>
      </c>
      <c r="K420">
        <v>0.7</v>
      </c>
      <c r="L420">
        <f t="shared" si="28"/>
        <v>47.627198850000006</v>
      </c>
    </row>
    <row r="421" spans="1:12" x14ac:dyDescent="0.2">
      <c r="A421" s="4">
        <v>43503</v>
      </c>
      <c r="B421" t="s">
        <v>538</v>
      </c>
      <c r="C421">
        <v>1</v>
      </c>
      <c r="D421">
        <v>1</v>
      </c>
      <c r="E421">
        <v>50</v>
      </c>
      <c r="F421" t="s">
        <v>425</v>
      </c>
      <c r="G421" t="s">
        <v>1055</v>
      </c>
      <c r="H421" s="9" t="s">
        <v>1071</v>
      </c>
      <c r="I421">
        <f t="shared" si="29"/>
        <v>50</v>
      </c>
      <c r="J421">
        <f t="shared" si="27"/>
        <v>22.6796185</v>
      </c>
      <c r="K421">
        <v>0.7</v>
      </c>
      <c r="L421">
        <f t="shared" si="28"/>
        <v>15.87573295</v>
      </c>
    </row>
    <row r="422" spans="1:12" x14ac:dyDescent="0.2">
      <c r="A422" s="4">
        <v>43497</v>
      </c>
      <c r="B422" t="s">
        <v>538</v>
      </c>
      <c r="C422">
        <v>8</v>
      </c>
      <c r="D422">
        <v>4</v>
      </c>
      <c r="E422">
        <v>7.9</v>
      </c>
      <c r="F422" t="s">
        <v>737</v>
      </c>
      <c r="G422" t="s">
        <v>989</v>
      </c>
      <c r="H422" s="9" t="s">
        <v>1071</v>
      </c>
      <c r="I422">
        <f t="shared" si="29"/>
        <v>252.8</v>
      </c>
      <c r="J422">
        <f t="shared" si="27"/>
        <v>114.66815113600002</v>
      </c>
      <c r="K422">
        <v>2.6459999999999999</v>
      </c>
      <c r="L422">
        <f t="shared" si="28"/>
        <v>303.41192790585603</v>
      </c>
    </row>
    <row r="423" spans="1:12" x14ac:dyDescent="0.2">
      <c r="A423" s="4">
        <v>43497</v>
      </c>
      <c r="B423" t="s">
        <v>538</v>
      </c>
      <c r="C423">
        <v>3</v>
      </c>
      <c r="D423">
        <v>1</v>
      </c>
      <c r="E423">
        <v>35</v>
      </c>
      <c r="F423" t="s">
        <v>441</v>
      </c>
      <c r="G423" t="s">
        <v>989</v>
      </c>
      <c r="H423" s="9" t="s">
        <v>1071</v>
      </c>
      <c r="I423">
        <f t="shared" si="29"/>
        <v>105</v>
      </c>
      <c r="J423">
        <f t="shared" si="27"/>
        <v>47.627198849999999</v>
      </c>
      <c r="K423">
        <v>2.6459999999999999</v>
      </c>
      <c r="L423">
        <f t="shared" si="28"/>
        <v>126.02156815709999</v>
      </c>
    </row>
    <row r="424" spans="1:12" x14ac:dyDescent="0.2">
      <c r="A424" s="4">
        <v>43500</v>
      </c>
      <c r="B424" t="s">
        <v>538</v>
      </c>
      <c r="C424">
        <v>8</v>
      </c>
      <c r="D424">
        <v>4</v>
      </c>
      <c r="E424">
        <v>7.9</v>
      </c>
      <c r="F424" t="s">
        <v>737</v>
      </c>
      <c r="G424" t="s">
        <v>989</v>
      </c>
      <c r="H424" s="9" t="s">
        <v>1071</v>
      </c>
      <c r="I424">
        <f t="shared" si="29"/>
        <v>252.8</v>
      </c>
      <c r="J424">
        <f t="shared" si="27"/>
        <v>114.66815113600002</v>
      </c>
      <c r="K424">
        <v>2.6459999999999999</v>
      </c>
      <c r="L424">
        <f t="shared" si="28"/>
        <v>303.41192790585603</v>
      </c>
    </row>
    <row r="425" spans="1:12" x14ac:dyDescent="0.2">
      <c r="A425" s="4">
        <v>43500</v>
      </c>
      <c r="B425" t="s">
        <v>538</v>
      </c>
      <c r="C425">
        <v>3</v>
      </c>
      <c r="D425">
        <v>1</v>
      </c>
      <c r="E425">
        <v>35</v>
      </c>
      <c r="F425" t="s">
        <v>441</v>
      </c>
      <c r="G425" t="s">
        <v>989</v>
      </c>
      <c r="H425" s="9" t="s">
        <v>1071</v>
      </c>
      <c r="I425">
        <f t="shared" si="29"/>
        <v>105</v>
      </c>
      <c r="J425">
        <f t="shared" si="27"/>
        <v>47.627198849999999</v>
      </c>
      <c r="K425">
        <v>2.6459999999999999</v>
      </c>
      <c r="L425">
        <f t="shared" si="28"/>
        <v>126.02156815709999</v>
      </c>
    </row>
    <row r="426" spans="1:12" x14ac:dyDescent="0.2">
      <c r="A426" s="4">
        <v>43503</v>
      </c>
      <c r="B426" t="s">
        <v>538</v>
      </c>
      <c r="C426">
        <v>1</v>
      </c>
      <c r="D426">
        <v>3</v>
      </c>
      <c r="E426">
        <v>2</v>
      </c>
      <c r="F426" t="s">
        <v>660</v>
      </c>
      <c r="G426" t="s">
        <v>977</v>
      </c>
      <c r="H426" s="9" t="s">
        <v>1071</v>
      </c>
      <c r="I426">
        <f t="shared" si="29"/>
        <v>6</v>
      </c>
      <c r="J426">
        <f t="shared" si="27"/>
        <v>2.7215542200000002</v>
      </c>
      <c r="K426">
        <v>2.6459999999999999</v>
      </c>
      <c r="L426">
        <f t="shared" si="28"/>
        <v>7.2012324661200005</v>
      </c>
    </row>
    <row r="427" spans="1:12" x14ac:dyDescent="0.2">
      <c r="A427" s="4">
        <v>43503</v>
      </c>
      <c r="B427" t="s">
        <v>538</v>
      </c>
      <c r="C427">
        <v>3</v>
      </c>
      <c r="D427">
        <v>1</v>
      </c>
      <c r="E427">
        <v>35</v>
      </c>
      <c r="F427" t="s">
        <v>441</v>
      </c>
      <c r="G427" t="s">
        <v>977</v>
      </c>
      <c r="H427" s="9" t="s">
        <v>1071</v>
      </c>
      <c r="I427">
        <f t="shared" si="29"/>
        <v>105</v>
      </c>
      <c r="J427">
        <f t="shared" si="27"/>
        <v>47.627198849999999</v>
      </c>
      <c r="K427">
        <v>2.6459999999999999</v>
      </c>
      <c r="L427">
        <f t="shared" si="28"/>
        <v>126.02156815709999</v>
      </c>
    </row>
    <row r="428" spans="1:12" x14ac:dyDescent="0.2">
      <c r="A428" s="4">
        <v>43503</v>
      </c>
      <c r="B428" t="s">
        <v>538</v>
      </c>
      <c r="C428">
        <v>3</v>
      </c>
      <c r="D428">
        <v>4</v>
      </c>
      <c r="E428">
        <v>7.9</v>
      </c>
      <c r="F428" t="s">
        <v>455</v>
      </c>
      <c r="G428" t="s">
        <v>989</v>
      </c>
      <c r="H428" s="9" t="s">
        <v>1071</v>
      </c>
      <c r="I428">
        <f t="shared" si="29"/>
        <v>94.800000000000011</v>
      </c>
      <c r="J428">
        <f t="shared" si="27"/>
        <v>43.000556676000009</v>
      </c>
      <c r="K428">
        <v>2.6459999999999999</v>
      </c>
      <c r="L428">
        <f t="shared" si="28"/>
        <v>113.77947296469603</v>
      </c>
    </row>
    <row r="429" spans="1:12" x14ac:dyDescent="0.2">
      <c r="A429" s="4">
        <v>43497</v>
      </c>
      <c r="B429" t="s">
        <v>538</v>
      </c>
      <c r="C429">
        <v>1</v>
      </c>
      <c r="D429">
        <v>3</v>
      </c>
      <c r="E429">
        <v>2</v>
      </c>
      <c r="F429" t="s">
        <v>660</v>
      </c>
      <c r="G429" t="s">
        <v>1050</v>
      </c>
      <c r="H429" s="9" t="s">
        <v>1071</v>
      </c>
      <c r="I429">
        <f t="shared" ref="I429:I460" si="30">C429*D429*E429</f>
        <v>6</v>
      </c>
      <c r="J429">
        <f t="shared" si="27"/>
        <v>2.7215542200000002</v>
      </c>
      <c r="K429">
        <v>0.84799999999999998</v>
      </c>
      <c r="L429">
        <f t="shared" si="28"/>
        <v>2.3078779785600001</v>
      </c>
    </row>
    <row r="430" spans="1:12" x14ac:dyDescent="0.2">
      <c r="A430" s="4">
        <v>43497</v>
      </c>
      <c r="B430" t="s">
        <v>22</v>
      </c>
      <c r="C430" s="35">
        <v>1</v>
      </c>
      <c r="D430" s="35">
        <v>1</v>
      </c>
      <c r="E430">
        <v>120</v>
      </c>
      <c r="F430" t="s">
        <v>24</v>
      </c>
      <c r="G430" t="s">
        <v>512</v>
      </c>
      <c r="H430" s="9" t="s">
        <v>1071</v>
      </c>
      <c r="I430">
        <f t="shared" si="30"/>
        <v>120</v>
      </c>
      <c r="J430">
        <f t="shared" si="27"/>
        <v>54.431084400000003</v>
      </c>
      <c r="K430">
        <v>0.30199999999999999</v>
      </c>
      <c r="L430">
        <f t="shared" si="28"/>
        <v>16.438187488800001</v>
      </c>
    </row>
    <row r="431" spans="1:12" x14ac:dyDescent="0.2">
      <c r="A431" s="4">
        <v>43501</v>
      </c>
      <c r="B431" t="s">
        <v>22</v>
      </c>
      <c r="C431" s="35">
        <v>1</v>
      </c>
      <c r="D431" s="35">
        <v>1</v>
      </c>
      <c r="E431">
        <v>120</v>
      </c>
      <c r="F431" t="s">
        <v>24</v>
      </c>
      <c r="G431" t="s">
        <v>512</v>
      </c>
      <c r="H431" s="9" t="s">
        <v>1071</v>
      </c>
      <c r="I431">
        <f t="shared" si="30"/>
        <v>120</v>
      </c>
      <c r="J431">
        <f t="shared" si="27"/>
        <v>54.431084400000003</v>
      </c>
      <c r="K431">
        <v>0.30199999999999999</v>
      </c>
      <c r="L431">
        <f t="shared" si="28"/>
        <v>16.438187488800001</v>
      </c>
    </row>
    <row r="432" spans="1:12" x14ac:dyDescent="0.2">
      <c r="A432" s="4">
        <v>43502</v>
      </c>
      <c r="B432" t="s">
        <v>48</v>
      </c>
      <c r="C432" s="28">
        <v>2</v>
      </c>
      <c r="D432" s="35">
        <v>1</v>
      </c>
      <c r="E432">
        <v>40</v>
      </c>
      <c r="F432" t="s">
        <v>640</v>
      </c>
      <c r="G432" t="s">
        <v>1041</v>
      </c>
      <c r="H432" s="9" t="s">
        <v>1071</v>
      </c>
      <c r="I432">
        <f t="shared" si="30"/>
        <v>80</v>
      </c>
      <c r="J432">
        <f t="shared" si="27"/>
        <v>36.287389600000004</v>
      </c>
      <c r="K432">
        <v>0.30199999999999999</v>
      </c>
      <c r="L432">
        <f t="shared" si="28"/>
        <v>10.958791659200001</v>
      </c>
    </row>
    <row r="433" spans="1:12" x14ac:dyDescent="0.2">
      <c r="A433" s="4">
        <v>43498</v>
      </c>
      <c r="B433" t="s">
        <v>48</v>
      </c>
      <c r="C433" s="28">
        <v>4</v>
      </c>
      <c r="D433" s="35">
        <v>1</v>
      </c>
      <c r="E433">
        <v>40</v>
      </c>
      <c r="F433" t="s">
        <v>640</v>
      </c>
      <c r="G433" t="s">
        <v>1041</v>
      </c>
      <c r="H433" s="9" t="s">
        <v>1071</v>
      </c>
      <c r="I433">
        <f t="shared" si="30"/>
        <v>160</v>
      </c>
      <c r="J433">
        <f t="shared" si="27"/>
        <v>72.574779200000009</v>
      </c>
      <c r="K433">
        <v>0.30199999999999999</v>
      </c>
      <c r="L433">
        <f t="shared" si="28"/>
        <v>21.917583318400002</v>
      </c>
    </row>
    <row r="434" spans="1:12" x14ac:dyDescent="0.2">
      <c r="A434" s="4">
        <v>43497</v>
      </c>
      <c r="B434" t="s">
        <v>48</v>
      </c>
      <c r="C434" s="28">
        <v>1</v>
      </c>
      <c r="D434" s="35">
        <v>1</v>
      </c>
      <c r="E434">
        <v>40</v>
      </c>
      <c r="F434" t="s">
        <v>350</v>
      </c>
      <c r="G434" t="s">
        <v>512</v>
      </c>
      <c r="H434" s="9" t="s">
        <v>1071</v>
      </c>
      <c r="I434">
        <f t="shared" si="30"/>
        <v>40</v>
      </c>
      <c r="J434">
        <f t="shared" si="27"/>
        <v>18.143694800000002</v>
      </c>
      <c r="K434">
        <v>0.30199999999999999</v>
      </c>
      <c r="L434">
        <f t="shared" si="28"/>
        <v>5.4793958296000005</v>
      </c>
    </row>
    <row r="435" spans="1:12" x14ac:dyDescent="0.2">
      <c r="A435" s="4">
        <v>43497</v>
      </c>
      <c r="B435" t="s">
        <v>538</v>
      </c>
      <c r="C435">
        <v>2</v>
      </c>
      <c r="D435">
        <v>4</v>
      </c>
      <c r="E435">
        <v>11.01</v>
      </c>
      <c r="F435" t="s">
        <v>435</v>
      </c>
      <c r="G435" t="s">
        <v>991</v>
      </c>
      <c r="H435" s="9" t="s">
        <v>1071</v>
      </c>
      <c r="I435">
        <f t="shared" si="30"/>
        <v>88.08</v>
      </c>
      <c r="J435">
        <f t="shared" si="27"/>
        <v>39.952415949600002</v>
      </c>
      <c r="K435">
        <v>6.7539999999999996</v>
      </c>
      <c r="L435">
        <f t="shared" si="28"/>
        <v>269.83861732359838</v>
      </c>
    </row>
    <row r="436" spans="1:12" x14ac:dyDescent="0.2">
      <c r="A436" s="4">
        <v>43503</v>
      </c>
      <c r="B436" t="s">
        <v>48</v>
      </c>
      <c r="C436" s="28">
        <v>3</v>
      </c>
      <c r="D436" s="35">
        <v>1</v>
      </c>
      <c r="E436">
        <v>4.1719999999999997</v>
      </c>
      <c r="F436" t="s">
        <v>278</v>
      </c>
      <c r="G436" t="s">
        <v>798</v>
      </c>
      <c r="H436" s="9" t="s">
        <v>1071</v>
      </c>
      <c r="I436">
        <f t="shared" si="30"/>
        <v>12.515999999999998</v>
      </c>
      <c r="J436">
        <f t="shared" si="27"/>
        <v>5.6771621029199997</v>
      </c>
      <c r="K436">
        <v>1.6639999999999999</v>
      </c>
      <c r="L436">
        <f t="shared" si="28"/>
        <v>9.4467977392588782</v>
      </c>
    </row>
    <row r="437" spans="1:12" x14ac:dyDescent="0.2">
      <c r="A437" s="4">
        <v>43502</v>
      </c>
      <c r="B437" t="s">
        <v>48</v>
      </c>
      <c r="C437" s="28">
        <v>6</v>
      </c>
      <c r="D437" s="35">
        <v>1</v>
      </c>
      <c r="E437">
        <v>4.1719999999999997</v>
      </c>
      <c r="F437" t="s">
        <v>278</v>
      </c>
      <c r="G437" t="s">
        <v>798</v>
      </c>
      <c r="H437" s="9" t="s">
        <v>1071</v>
      </c>
      <c r="I437">
        <f t="shared" si="30"/>
        <v>25.031999999999996</v>
      </c>
      <c r="J437">
        <f t="shared" si="27"/>
        <v>11.354324205839999</v>
      </c>
      <c r="K437">
        <v>1.6639999999999999</v>
      </c>
      <c r="L437">
        <f t="shared" si="28"/>
        <v>18.893595478517756</v>
      </c>
    </row>
    <row r="438" spans="1:12" x14ac:dyDescent="0.2">
      <c r="A438" s="4">
        <v>43501</v>
      </c>
      <c r="B438" t="s">
        <v>48</v>
      </c>
      <c r="C438" s="28">
        <v>1</v>
      </c>
      <c r="D438" s="35">
        <v>1</v>
      </c>
      <c r="E438">
        <v>4.1719999999999997</v>
      </c>
      <c r="F438" t="s">
        <v>278</v>
      </c>
      <c r="G438" t="s">
        <v>798</v>
      </c>
      <c r="H438" s="9" t="s">
        <v>1071</v>
      </c>
      <c r="I438">
        <f t="shared" si="30"/>
        <v>4.1719999999999997</v>
      </c>
      <c r="J438">
        <f t="shared" si="27"/>
        <v>1.8923873676399998</v>
      </c>
      <c r="K438">
        <v>1.6639999999999999</v>
      </c>
      <c r="L438">
        <f t="shared" si="28"/>
        <v>3.1489325797529597</v>
      </c>
    </row>
    <row r="439" spans="1:12" x14ac:dyDescent="0.2">
      <c r="A439" s="4">
        <v>43500</v>
      </c>
      <c r="B439" t="s">
        <v>48</v>
      </c>
      <c r="C439" s="28">
        <v>5</v>
      </c>
      <c r="D439" s="35">
        <v>1</v>
      </c>
      <c r="E439">
        <v>4.1719999999999997</v>
      </c>
      <c r="F439" t="s">
        <v>278</v>
      </c>
      <c r="G439" t="s">
        <v>798</v>
      </c>
      <c r="H439" s="9" t="s">
        <v>1071</v>
      </c>
      <c r="I439">
        <f t="shared" si="30"/>
        <v>20.86</v>
      </c>
      <c r="J439">
        <f t="shared" si="27"/>
        <v>9.4619368381999998</v>
      </c>
      <c r="K439">
        <v>1.6639999999999999</v>
      </c>
      <c r="L439">
        <f t="shared" si="28"/>
        <v>15.744662898764799</v>
      </c>
    </row>
    <row r="440" spans="1:12" x14ac:dyDescent="0.2">
      <c r="A440" s="4">
        <v>43497</v>
      </c>
      <c r="B440" t="s">
        <v>48</v>
      </c>
      <c r="C440" s="28">
        <v>8</v>
      </c>
      <c r="D440" s="35">
        <v>1</v>
      </c>
      <c r="E440">
        <v>4.1719999999999997</v>
      </c>
      <c r="F440" t="s">
        <v>278</v>
      </c>
      <c r="G440" t="s">
        <v>798</v>
      </c>
      <c r="H440" s="9" t="s">
        <v>1071</v>
      </c>
      <c r="I440">
        <f t="shared" si="30"/>
        <v>33.375999999999998</v>
      </c>
      <c r="J440">
        <f t="shared" si="27"/>
        <v>15.139098941119999</v>
      </c>
      <c r="K440">
        <v>1.6639999999999999</v>
      </c>
      <c r="L440">
        <f t="shared" si="28"/>
        <v>25.191460638023678</v>
      </c>
    </row>
    <row r="441" spans="1:12" x14ac:dyDescent="0.2">
      <c r="A441" s="4">
        <v>43503</v>
      </c>
      <c r="B441" t="s">
        <v>48</v>
      </c>
      <c r="C441" s="28">
        <v>5</v>
      </c>
      <c r="D441" s="35">
        <v>1</v>
      </c>
      <c r="E441">
        <v>10</v>
      </c>
      <c r="F441" t="s">
        <v>628</v>
      </c>
      <c r="G441" t="s">
        <v>334</v>
      </c>
      <c r="H441" s="9" t="s">
        <v>1071</v>
      </c>
      <c r="I441">
        <f t="shared" si="30"/>
        <v>50</v>
      </c>
      <c r="J441">
        <f t="shared" si="27"/>
        <v>22.6796185</v>
      </c>
      <c r="K441">
        <v>0.47</v>
      </c>
      <c r="L441">
        <f t="shared" si="28"/>
        <v>10.659420695</v>
      </c>
    </row>
    <row r="442" spans="1:12" x14ac:dyDescent="0.2">
      <c r="A442" s="4">
        <v>43502</v>
      </c>
      <c r="B442" t="s">
        <v>48</v>
      </c>
      <c r="C442" s="28">
        <v>2</v>
      </c>
      <c r="D442" s="35">
        <v>1</v>
      </c>
      <c r="E442">
        <v>10</v>
      </c>
      <c r="F442" t="s">
        <v>328</v>
      </c>
      <c r="G442" t="s">
        <v>334</v>
      </c>
      <c r="H442" s="9" t="s">
        <v>1071</v>
      </c>
      <c r="I442">
        <f t="shared" si="30"/>
        <v>20</v>
      </c>
      <c r="J442">
        <f t="shared" si="27"/>
        <v>9.0718474000000011</v>
      </c>
      <c r="K442">
        <v>0.47</v>
      </c>
      <c r="L442">
        <f t="shared" si="28"/>
        <v>4.2637682780000006</v>
      </c>
    </row>
    <row r="443" spans="1:12" x14ac:dyDescent="0.2">
      <c r="A443" s="4">
        <v>43502</v>
      </c>
      <c r="B443" t="s">
        <v>48</v>
      </c>
      <c r="C443" s="28">
        <v>8</v>
      </c>
      <c r="D443" s="35">
        <v>1</v>
      </c>
      <c r="E443">
        <v>10</v>
      </c>
      <c r="F443" t="s">
        <v>628</v>
      </c>
      <c r="G443" t="s">
        <v>334</v>
      </c>
      <c r="H443" s="9" t="s">
        <v>1071</v>
      </c>
      <c r="I443">
        <f t="shared" si="30"/>
        <v>80</v>
      </c>
      <c r="J443">
        <f t="shared" si="27"/>
        <v>36.287389600000004</v>
      </c>
      <c r="K443">
        <v>0.47</v>
      </c>
      <c r="L443">
        <f t="shared" si="28"/>
        <v>17.055073112000002</v>
      </c>
    </row>
    <row r="444" spans="1:12" x14ac:dyDescent="0.2">
      <c r="A444" s="4">
        <v>43502</v>
      </c>
      <c r="B444" t="s">
        <v>48</v>
      </c>
      <c r="C444" s="28">
        <v>1</v>
      </c>
      <c r="D444" s="35">
        <v>1</v>
      </c>
      <c r="E444">
        <f>10/9*(53)</f>
        <v>58.888888888888893</v>
      </c>
      <c r="F444" t="s">
        <v>718</v>
      </c>
      <c r="G444" t="s">
        <v>334</v>
      </c>
      <c r="H444" s="9" t="s">
        <v>1071</v>
      </c>
      <c r="I444">
        <f t="shared" si="30"/>
        <v>58.888888888888893</v>
      </c>
      <c r="J444">
        <f t="shared" si="27"/>
        <v>26.711550677777783</v>
      </c>
      <c r="K444">
        <v>0.47</v>
      </c>
      <c r="L444">
        <f t="shared" si="28"/>
        <v>12.554428818555557</v>
      </c>
    </row>
    <row r="445" spans="1:12" x14ac:dyDescent="0.2">
      <c r="A445" s="4">
        <v>43501</v>
      </c>
      <c r="B445" t="s">
        <v>48</v>
      </c>
      <c r="C445" s="28">
        <v>1</v>
      </c>
      <c r="D445" s="35">
        <v>1</v>
      </c>
      <c r="E445">
        <v>10</v>
      </c>
      <c r="F445" t="s">
        <v>328</v>
      </c>
      <c r="G445" t="s">
        <v>334</v>
      </c>
      <c r="H445" s="9" t="s">
        <v>1071</v>
      </c>
      <c r="I445">
        <f t="shared" si="30"/>
        <v>10</v>
      </c>
      <c r="J445">
        <f t="shared" si="27"/>
        <v>4.5359237000000006</v>
      </c>
      <c r="K445">
        <v>0.47</v>
      </c>
      <c r="L445">
        <f t="shared" si="28"/>
        <v>2.1318841390000003</v>
      </c>
    </row>
    <row r="446" spans="1:12" x14ac:dyDescent="0.2">
      <c r="A446" s="4">
        <v>43501</v>
      </c>
      <c r="B446" t="s">
        <v>48</v>
      </c>
      <c r="C446" s="28">
        <v>4</v>
      </c>
      <c r="D446" s="35">
        <v>1</v>
      </c>
      <c r="E446">
        <v>10</v>
      </c>
      <c r="F446" t="s">
        <v>628</v>
      </c>
      <c r="G446" t="s">
        <v>334</v>
      </c>
      <c r="H446" s="9" t="s">
        <v>1071</v>
      </c>
      <c r="I446">
        <f t="shared" si="30"/>
        <v>40</v>
      </c>
      <c r="J446">
        <f t="shared" si="27"/>
        <v>18.143694800000002</v>
      </c>
      <c r="K446">
        <v>0.47</v>
      </c>
      <c r="L446">
        <f t="shared" si="28"/>
        <v>8.5275365560000012</v>
      </c>
    </row>
    <row r="447" spans="1:12" x14ac:dyDescent="0.2">
      <c r="A447" s="4">
        <v>43501</v>
      </c>
      <c r="B447" t="s">
        <v>48</v>
      </c>
      <c r="C447" s="28">
        <v>2</v>
      </c>
      <c r="D447" s="35">
        <v>1</v>
      </c>
      <c r="E447">
        <v>25</v>
      </c>
      <c r="F447" t="s">
        <v>719</v>
      </c>
      <c r="G447" t="s">
        <v>334</v>
      </c>
      <c r="H447" s="9" t="s">
        <v>1071</v>
      </c>
      <c r="I447">
        <f t="shared" si="30"/>
        <v>50</v>
      </c>
      <c r="J447">
        <f t="shared" si="27"/>
        <v>22.6796185</v>
      </c>
      <c r="K447">
        <v>0.47</v>
      </c>
      <c r="L447">
        <f t="shared" si="28"/>
        <v>10.659420695</v>
      </c>
    </row>
    <row r="448" spans="1:12" x14ac:dyDescent="0.2">
      <c r="A448" s="4">
        <v>43500</v>
      </c>
      <c r="B448" t="s">
        <v>48</v>
      </c>
      <c r="C448" s="28">
        <v>1</v>
      </c>
      <c r="D448" s="35">
        <v>1</v>
      </c>
      <c r="E448">
        <v>10</v>
      </c>
      <c r="F448" t="s">
        <v>328</v>
      </c>
      <c r="G448" t="s">
        <v>334</v>
      </c>
      <c r="H448" s="9" t="s">
        <v>1071</v>
      </c>
      <c r="I448">
        <f t="shared" si="30"/>
        <v>10</v>
      </c>
      <c r="J448">
        <f t="shared" si="27"/>
        <v>4.5359237000000006</v>
      </c>
      <c r="K448">
        <v>0.47</v>
      </c>
      <c r="L448">
        <f t="shared" si="28"/>
        <v>2.1318841390000003</v>
      </c>
    </row>
    <row r="449" spans="1:12" x14ac:dyDescent="0.2">
      <c r="A449" s="4">
        <v>43500</v>
      </c>
      <c r="B449" t="s">
        <v>48</v>
      </c>
      <c r="C449" s="28">
        <v>2</v>
      </c>
      <c r="D449" s="35">
        <v>1</v>
      </c>
      <c r="E449">
        <v>20</v>
      </c>
      <c r="F449" t="s">
        <v>334</v>
      </c>
      <c r="G449" t="s">
        <v>334</v>
      </c>
      <c r="H449" s="9" t="s">
        <v>1071</v>
      </c>
      <c r="I449">
        <f t="shared" si="30"/>
        <v>40</v>
      </c>
      <c r="J449">
        <f t="shared" si="27"/>
        <v>18.143694800000002</v>
      </c>
      <c r="K449">
        <v>0.47</v>
      </c>
      <c r="L449">
        <f t="shared" si="28"/>
        <v>8.5275365560000012</v>
      </c>
    </row>
    <row r="450" spans="1:12" x14ac:dyDescent="0.2">
      <c r="A450" s="4">
        <v>43500</v>
      </c>
      <c r="B450" t="s">
        <v>48</v>
      </c>
      <c r="C450" s="28">
        <v>8</v>
      </c>
      <c r="D450" s="35">
        <v>1</v>
      </c>
      <c r="E450">
        <v>10</v>
      </c>
      <c r="F450" t="s">
        <v>628</v>
      </c>
      <c r="G450" t="s">
        <v>334</v>
      </c>
      <c r="H450" s="9" t="s">
        <v>1071</v>
      </c>
      <c r="I450">
        <f t="shared" si="30"/>
        <v>80</v>
      </c>
      <c r="J450">
        <f t="shared" si="27"/>
        <v>36.287389600000004</v>
      </c>
      <c r="K450">
        <v>0.47</v>
      </c>
      <c r="L450">
        <f t="shared" si="28"/>
        <v>17.055073112000002</v>
      </c>
    </row>
    <row r="451" spans="1:12" x14ac:dyDescent="0.2">
      <c r="A451" s="4">
        <v>43500</v>
      </c>
      <c r="B451" t="s">
        <v>48</v>
      </c>
      <c r="C451" s="28">
        <v>2</v>
      </c>
      <c r="D451" s="35">
        <v>1</v>
      </c>
      <c r="E451">
        <f>10/9*(53)</f>
        <v>58.888888888888893</v>
      </c>
      <c r="F451" t="s">
        <v>718</v>
      </c>
      <c r="G451" t="s">
        <v>194</v>
      </c>
      <c r="H451" s="9" t="s">
        <v>1071</v>
      </c>
      <c r="I451">
        <f t="shared" si="30"/>
        <v>117.77777777777779</v>
      </c>
      <c r="J451">
        <f t="shared" ref="J451:J482" si="31">CONVERT(I451,"lbm","kg")</f>
        <v>53.423101355555566</v>
      </c>
      <c r="K451">
        <v>0.47</v>
      </c>
      <c r="L451">
        <f t="shared" ref="L451:L482" si="32">J451*K451</f>
        <v>25.108857637111115</v>
      </c>
    </row>
    <row r="452" spans="1:12" x14ac:dyDescent="0.2">
      <c r="A452" s="4">
        <v>43498</v>
      </c>
      <c r="B452" t="s">
        <v>48</v>
      </c>
      <c r="C452" s="28">
        <v>3</v>
      </c>
      <c r="D452" s="35">
        <v>1</v>
      </c>
      <c r="E452">
        <v>10</v>
      </c>
      <c r="F452" t="s">
        <v>70</v>
      </c>
      <c r="G452" t="s">
        <v>194</v>
      </c>
      <c r="H452" s="9" t="s">
        <v>1071</v>
      </c>
      <c r="I452">
        <f t="shared" si="30"/>
        <v>30</v>
      </c>
      <c r="J452">
        <f t="shared" si="31"/>
        <v>13.607771100000001</v>
      </c>
      <c r="K452">
        <v>0.47</v>
      </c>
      <c r="L452">
        <f t="shared" si="32"/>
        <v>6.395652417</v>
      </c>
    </row>
    <row r="453" spans="1:12" x14ac:dyDescent="0.2">
      <c r="A453" s="4">
        <v>43498</v>
      </c>
      <c r="B453" t="s">
        <v>48</v>
      </c>
      <c r="C453" s="28">
        <v>4</v>
      </c>
      <c r="D453" s="35">
        <v>1</v>
      </c>
      <c r="E453">
        <v>12</v>
      </c>
      <c r="F453" t="s">
        <v>724</v>
      </c>
      <c r="G453" t="s">
        <v>334</v>
      </c>
      <c r="H453" s="9" t="s">
        <v>1071</v>
      </c>
      <c r="I453">
        <f t="shared" si="30"/>
        <v>48</v>
      </c>
      <c r="J453">
        <f t="shared" si="31"/>
        <v>21.772433760000002</v>
      </c>
      <c r="K453">
        <v>0.47</v>
      </c>
      <c r="L453">
        <f t="shared" si="32"/>
        <v>10.233043867200001</v>
      </c>
    </row>
    <row r="454" spans="1:12" x14ac:dyDescent="0.2">
      <c r="A454" s="4">
        <v>43498</v>
      </c>
      <c r="B454" t="s">
        <v>48</v>
      </c>
      <c r="C454" s="35">
        <v>4</v>
      </c>
      <c r="D454" s="35">
        <v>1</v>
      </c>
      <c r="E454" s="8">
        <v>12</v>
      </c>
      <c r="F454" s="8" t="s">
        <v>730</v>
      </c>
      <c r="G454" s="8" t="s">
        <v>194</v>
      </c>
      <c r="H454" s="9" t="s">
        <v>1071</v>
      </c>
      <c r="I454">
        <f t="shared" si="30"/>
        <v>48</v>
      </c>
      <c r="J454">
        <f t="shared" si="31"/>
        <v>21.772433760000002</v>
      </c>
      <c r="K454">
        <v>0.47</v>
      </c>
      <c r="L454">
        <f t="shared" si="32"/>
        <v>10.233043867200001</v>
      </c>
    </row>
    <row r="455" spans="1:12" x14ac:dyDescent="0.2">
      <c r="A455" s="4">
        <v>43497</v>
      </c>
      <c r="B455" t="s">
        <v>538</v>
      </c>
      <c r="C455">
        <v>4</v>
      </c>
      <c r="D455">
        <v>6</v>
      </c>
      <c r="E455">
        <v>10</v>
      </c>
      <c r="F455" t="s">
        <v>432</v>
      </c>
      <c r="G455" t="s">
        <v>857</v>
      </c>
      <c r="H455" s="9" t="s">
        <v>1071</v>
      </c>
      <c r="I455">
        <f t="shared" si="30"/>
        <v>240</v>
      </c>
      <c r="J455">
        <f t="shared" si="31"/>
        <v>108.86216880000001</v>
      </c>
      <c r="K455">
        <v>0.47</v>
      </c>
      <c r="L455">
        <f t="shared" si="32"/>
        <v>51.165219336</v>
      </c>
    </row>
    <row r="456" spans="1:12" x14ac:dyDescent="0.2">
      <c r="A456" s="4">
        <v>43497</v>
      </c>
      <c r="B456" t="s">
        <v>538</v>
      </c>
      <c r="C456">
        <v>2</v>
      </c>
      <c r="D456">
        <v>6</v>
      </c>
      <c r="E456">
        <v>10</v>
      </c>
      <c r="F456" t="s">
        <v>546</v>
      </c>
      <c r="G456" t="s">
        <v>857</v>
      </c>
      <c r="H456" s="9" t="s">
        <v>1071</v>
      </c>
      <c r="I456">
        <f t="shared" si="30"/>
        <v>120</v>
      </c>
      <c r="J456">
        <f t="shared" si="31"/>
        <v>54.431084400000003</v>
      </c>
      <c r="K456">
        <v>0.47</v>
      </c>
      <c r="L456">
        <f t="shared" si="32"/>
        <v>25.582609668</v>
      </c>
    </row>
    <row r="457" spans="1:12" x14ac:dyDescent="0.2">
      <c r="A457" s="4">
        <v>43500</v>
      </c>
      <c r="B457" t="s">
        <v>538</v>
      </c>
      <c r="C457">
        <v>6</v>
      </c>
      <c r="D457">
        <v>6</v>
      </c>
      <c r="E457">
        <v>10</v>
      </c>
      <c r="F457" t="s">
        <v>544</v>
      </c>
      <c r="G457" t="s">
        <v>857</v>
      </c>
      <c r="H457" s="9" t="s">
        <v>1071</v>
      </c>
      <c r="I457">
        <f t="shared" si="30"/>
        <v>360</v>
      </c>
      <c r="J457">
        <f t="shared" si="31"/>
        <v>163.29325320000001</v>
      </c>
      <c r="K457">
        <v>0.47</v>
      </c>
      <c r="L457">
        <f t="shared" si="32"/>
        <v>76.747829003999996</v>
      </c>
    </row>
    <row r="458" spans="1:12" x14ac:dyDescent="0.2">
      <c r="A458" s="4">
        <v>43500</v>
      </c>
      <c r="B458" t="s">
        <v>538</v>
      </c>
      <c r="C458">
        <v>4</v>
      </c>
      <c r="D458">
        <v>6</v>
      </c>
      <c r="E458">
        <v>10</v>
      </c>
      <c r="F458" t="s">
        <v>432</v>
      </c>
      <c r="G458" t="s">
        <v>857</v>
      </c>
      <c r="H458" s="9" t="s">
        <v>1071</v>
      </c>
      <c r="I458">
        <f t="shared" si="30"/>
        <v>240</v>
      </c>
      <c r="J458">
        <f t="shared" si="31"/>
        <v>108.86216880000001</v>
      </c>
      <c r="K458">
        <v>0.47</v>
      </c>
      <c r="L458">
        <f t="shared" si="32"/>
        <v>51.165219336</v>
      </c>
    </row>
    <row r="459" spans="1:12" x14ac:dyDescent="0.2">
      <c r="A459" s="4">
        <v>43500</v>
      </c>
      <c r="B459" t="s">
        <v>538</v>
      </c>
      <c r="C459">
        <v>6</v>
      </c>
      <c r="D459">
        <v>6</v>
      </c>
      <c r="E459">
        <v>10</v>
      </c>
      <c r="F459" t="s">
        <v>546</v>
      </c>
      <c r="G459" t="s">
        <v>857</v>
      </c>
      <c r="H459" s="9" t="s">
        <v>1071</v>
      </c>
      <c r="I459">
        <f t="shared" si="30"/>
        <v>360</v>
      </c>
      <c r="J459">
        <f t="shared" si="31"/>
        <v>163.29325320000001</v>
      </c>
      <c r="K459">
        <v>0.47</v>
      </c>
      <c r="L459">
        <f t="shared" si="32"/>
        <v>76.747829003999996</v>
      </c>
    </row>
    <row r="460" spans="1:12" x14ac:dyDescent="0.2">
      <c r="A460" s="4">
        <v>43503</v>
      </c>
      <c r="B460" t="s">
        <v>531</v>
      </c>
      <c r="C460">
        <v>1</v>
      </c>
      <c r="D460">
        <v>24</v>
      </c>
      <c r="E460">
        <f>12*0.0661387</f>
        <v>0.79366439999999994</v>
      </c>
      <c r="F460" t="s">
        <v>408</v>
      </c>
      <c r="G460" t="s">
        <v>913</v>
      </c>
      <c r="H460" s="9" t="s">
        <v>1071</v>
      </c>
      <c r="I460">
        <f t="shared" si="30"/>
        <v>19.047945599999998</v>
      </c>
      <c r="J460">
        <f t="shared" si="31"/>
        <v>8.6400027883350727</v>
      </c>
      <c r="K460">
        <v>1.28</v>
      </c>
      <c r="L460">
        <f t="shared" si="32"/>
        <v>11.059203569068893</v>
      </c>
    </row>
    <row r="461" spans="1:12" x14ac:dyDescent="0.2">
      <c r="A461" s="4">
        <v>43497</v>
      </c>
      <c r="B461" t="s">
        <v>538</v>
      </c>
      <c r="C461">
        <v>2</v>
      </c>
      <c r="D461">
        <v>6</v>
      </c>
      <c r="E461">
        <v>4.15625</v>
      </c>
      <c r="F461" t="s">
        <v>427</v>
      </c>
      <c r="G461" t="s">
        <v>862</v>
      </c>
      <c r="H461" s="9" t="s">
        <v>1072</v>
      </c>
      <c r="I461">
        <f t="shared" ref="I461:I482" si="33">C461*D461*E461</f>
        <v>49.875</v>
      </c>
      <c r="J461">
        <f t="shared" si="31"/>
        <v>22.622919453750001</v>
      </c>
      <c r="K461">
        <v>2.1480000000000001</v>
      </c>
      <c r="L461">
        <f t="shared" si="32"/>
        <v>48.594030986655007</v>
      </c>
    </row>
    <row r="462" spans="1:12" x14ac:dyDescent="0.2">
      <c r="A462" s="4">
        <v>43503</v>
      </c>
      <c r="B462" t="s">
        <v>538</v>
      </c>
      <c r="C462">
        <v>1</v>
      </c>
      <c r="D462">
        <v>6</v>
      </c>
      <c r="E462">
        <v>4.15625</v>
      </c>
      <c r="F462" t="s">
        <v>427</v>
      </c>
      <c r="G462" t="s">
        <v>862</v>
      </c>
      <c r="H462" s="9" t="s">
        <v>1072</v>
      </c>
      <c r="I462">
        <f t="shared" si="33"/>
        <v>24.9375</v>
      </c>
      <c r="J462">
        <f t="shared" si="31"/>
        <v>11.311459726875</v>
      </c>
      <c r="K462">
        <v>2.1480000000000001</v>
      </c>
      <c r="L462">
        <f t="shared" si="32"/>
        <v>24.297015493327503</v>
      </c>
    </row>
    <row r="463" spans="1:12" x14ac:dyDescent="0.2">
      <c r="A463" s="4">
        <v>43497</v>
      </c>
      <c r="B463" t="s">
        <v>699</v>
      </c>
      <c r="C463" s="39">
        <v>1</v>
      </c>
      <c r="D463" s="35">
        <v>1</v>
      </c>
      <c r="E463">
        <v>78.7</v>
      </c>
      <c r="F463" s="9" t="s">
        <v>702</v>
      </c>
      <c r="G463" s="9" t="s">
        <v>966</v>
      </c>
      <c r="H463" s="9" t="s">
        <v>1072</v>
      </c>
      <c r="I463">
        <f t="shared" si="33"/>
        <v>78.7</v>
      </c>
      <c r="J463">
        <f t="shared" si="31"/>
        <v>35.697719519000003</v>
      </c>
      <c r="K463">
        <v>2.5710000000000002</v>
      </c>
      <c r="L463">
        <f t="shared" si="32"/>
        <v>91.778836883349015</v>
      </c>
    </row>
    <row r="464" spans="1:12" x14ac:dyDescent="0.2">
      <c r="A464" s="4">
        <v>43497</v>
      </c>
      <c r="B464" t="s">
        <v>530</v>
      </c>
      <c r="C464">
        <v>2</v>
      </c>
      <c r="D464">
        <v>2</v>
      </c>
      <c r="E464">
        <v>6</v>
      </c>
      <c r="F464" t="s">
        <v>402</v>
      </c>
      <c r="G464" t="s">
        <v>966</v>
      </c>
      <c r="H464" s="9" t="s">
        <v>1072</v>
      </c>
      <c r="I464">
        <f t="shared" si="33"/>
        <v>24</v>
      </c>
      <c r="J464">
        <f t="shared" si="31"/>
        <v>10.886216880000001</v>
      </c>
      <c r="K464">
        <v>2.5710000000000002</v>
      </c>
      <c r="L464">
        <f t="shared" si="32"/>
        <v>27.988463598480003</v>
      </c>
    </row>
    <row r="465" spans="1:12" x14ac:dyDescent="0.2">
      <c r="A465" s="4">
        <v>43500</v>
      </c>
      <c r="B465" t="s">
        <v>530</v>
      </c>
      <c r="C465">
        <v>6</v>
      </c>
      <c r="D465">
        <v>2</v>
      </c>
      <c r="E465">
        <v>6</v>
      </c>
      <c r="F465" t="s">
        <v>402</v>
      </c>
      <c r="G465" t="s">
        <v>1038</v>
      </c>
      <c r="H465" s="9" t="s">
        <v>1072</v>
      </c>
      <c r="I465">
        <f t="shared" si="33"/>
        <v>72</v>
      </c>
      <c r="J465">
        <f t="shared" si="31"/>
        <v>32.658650639999998</v>
      </c>
      <c r="K465">
        <v>2.5710000000000002</v>
      </c>
      <c r="L465">
        <f t="shared" si="32"/>
        <v>83.965390795440001</v>
      </c>
    </row>
    <row r="466" spans="1:12" x14ac:dyDescent="0.2">
      <c r="A466" s="4">
        <v>43503</v>
      </c>
      <c r="B466" t="s">
        <v>530</v>
      </c>
      <c r="C466">
        <v>4</v>
      </c>
      <c r="D466">
        <v>160</v>
      </c>
      <c r="E466">
        <v>6.25E-2</v>
      </c>
      <c r="F466" t="s">
        <v>569</v>
      </c>
      <c r="G466" t="s">
        <v>852</v>
      </c>
      <c r="H466" s="9" t="s">
        <v>1072</v>
      </c>
      <c r="I466">
        <f t="shared" si="33"/>
        <v>40</v>
      </c>
      <c r="J466">
        <f t="shared" si="31"/>
        <v>18.143694800000002</v>
      </c>
      <c r="K466">
        <v>2.5710000000000002</v>
      </c>
      <c r="L466">
        <f t="shared" si="32"/>
        <v>46.647439330800012</v>
      </c>
    </row>
    <row r="467" spans="1:12" x14ac:dyDescent="0.2">
      <c r="A467" s="4">
        <v>43497</v>
      </c>
      <c r="B467" t="s">
        <v>538</v>
      </c>
      <c r="C467">
        <v>1</v>
      </c>
      <c r="D467">
        <v>4</v>
      </c>
      <c r="E467">
        <v>8.41</v>
      </c>
      <c r="F467" t="s">
        <v>558</v>
      </c>
      <c r="G467" t="s">
        <v>872</v>
      </c>
      <c r="H467" s="9" t="s">
        <v>1071</v>
      </c>
      <c r="I467">
        <f t="shared" si="33"/>
        <v>33.64</v>
      </c>
      <c r="J467">
        <f t="shared" si="31"/>
        <v>15.258847326800002</v>
      </c>
      <c r="K467">
        <v>0.34</v>
      </c>
      <c r="L467">
        <f t="shared" si="32"/>
        <v>5.1880080911120006</v>
      </c>
    </row>
    <row r="468" spans="1:12" x14ac:dyDescent="0.2">
      <c r="A468" s="4">
        <v>43497</v>
      </c>
      <c r="B468" t="s">
        <v>538</v>
      </c>
      <c r="C468">
        <v>1</v>
      </c>
      <c r="D468">
        <v>2</v>
      </c>
      <c r="E468">
        <f>5*2.39</f>
        <v>11.950000000000001</v>
      </c>
      <c r="F468" t="s">
        <v>667</v>
      </c>
      <c r="G468" t="s">
        <v>872</v>
      </c>
      <c r="H468" s="9" t="s">
        <v>1071</v>
      </c>
      <c r="I468">
        <f t="shared" si="33"/>
        <v>23.900000000000002</v>
      </c>
      <c r="J468">
        <f t="shared" si="31"/>
        <v>10.840857643000001</v>
      </c>
      <c r="K468">
        <v>0.34</v>
      </c>
      <c r="L468">
        <f t="shared" si="32"/>
        <v>3.6858915986200009</v>
      </c>
    </row>
    <row r="469" spans="1:12" x14ac:dyDescent="0.2">
      <c r="A469" s="4">
        <v>43500</v>
      </c>
      <c r="B469" t="s">
        <v>538</v>
      </c>
      <c r="C469">
        <v>1</v>
      </c>
      <c r="D469">
        <v>2</v>
      </c>
      <c r="E469">
        <f>5*2.39</f>
        <v>11.950000000000001</v>
      </c>
      <c r="F469" t="s">
        <v>667</v>
      </c>
      <c r="G469" t="s">
        <v>872</v>
      </c>
      <c r="H469" s="9" t="s">
        <v>1071</v>
      </c>
      <c r="I469">
        <f t="shared" si="33"/>
        <v>23.900000000000002</v>
      </c>
      <c r="J469">
        <f t="shared" si="31"/>
        <v>10.840857643000001</v>
      </c>
      <c r="K469">
        <v>0.34</v>
      </c>
      <c r="L469">
        <f t="shared" si="32"/>
        <v>3.6858915986200009</v>
      </c>
    </row>
    <row r="470" spans="1:12" x14ac:dyDescent="0.2">
      <c r="A470" s="4">
        <v>43497</v>
      </c>
      <c r="B470" t="s">
        <v>538</v>
      </c>
      <c r="C470">
        <v>2</v>
      </c>
      <c r="D470">
        <v>6</v>
      </c>
      <c r="E470">
        <v>2</v>
      </c>
      <c r="F470" t="s">
        <v>421</v>
      </c>
      <c r="G470" t="s">
        <v>985</v>
      </c>
      <c r="H470" s="9" t="s">
        <v>1071</v>
      </c>
      <c r="I470">
        <f t="shared" si="33"/>
        <v>24</v>
      </c>
      <c r="J470">
        <f t="shared" si="31"/>
        <v>10.886216880000001</v>
      </c>
      <c r="K470">
        <v>0.34699999999999998</v>
      </c>
      <c r="L470">
        <f t="shared" si="32"/>
        <v>3.77751725736</v>
      </c>
    </row>
    <row r="471" spans="1:12" x14ac:dyDescent="0.2">
      <c r="A471" s="4">
        <v>43497</v>
      </c>
      <c r="B471" t="s">
        <v>538</v>
      </c>
      <c r="C471">
        <v>2</v>
      </c>
      <c r="D471">
        <v>6</v>
      </c>
      <c r="E471">
        <v>2</v>
      </c>
      <c r="F471" t="s">
        <v>570</v>
      </c>
      <c r="G471" t="s">
        <v>985</v>
      </c>
      <c r="H471" s="9" t="s">
        <v>1071</v>
      </c>
      <c r="I471">
        <f t="shared" si="33"/>
        <v>24</v>
      </c>
      <c r="J471">
        <f t="shared" si="31"/>
        <v>10.886216880000001</v>
      </c>
      <c r="K471">
        <v>0.34699999999999998</v>
      </c>
      <c r="L471">
        <f t="shared" si="32"/>
        <v>3.77751725736</v>
      </c>
    </row>
    <row r="472" spans="1:12" x14ac:dyDescent="0.2">
      <c r="A472" s="4">
        <v>43497</v>
      </c>
      <c r="B472" t="s">
        <v>538</v>
      </c>
      <c r="C472">
        <v>2</v>
      </c>
      <c r="D472">
        <v>1</v>
      </c>
      <c r="E472">
        <v>10</v>
      </c>
      <c r="F472" t="s">
        <v>428</v>
      </c>
      <c r="G472" t="s">
        <v>985</v>
      </c>
      <c r="H472" s="9" t="s">
        <v>1071</v>
      </c>
      <c r="I472">
        <f t="shared" si="33"/>
        <v>20</v>
      </c>
      <c r="J472">
        <f t="shared" si="31"/>
        <v>9.0718474000000011</v>
      </c>
      <c r="K472">
        <v>0.34699999999999998</v>
      </c>
      <c r="L472">
        <f t="shared" si="32"/>
        <v>3.1479310478000002</v>
      </c>
    </row>
    <row r="473" spans="1:12" x14ac:dyDescent="0.2">
      <c r="A473" s="4">
        <v>43500</v>
      </c>
      <c r="B473" t="s">
        <v>538</v>
      </c>
      <c r="C473">
        <v>2</v>
      </c>
      <c r="D473">
        <v>6</v>
      </c>
      <c r="E473">
        <v>2</v>
      </c>
      <c r="F473" t="s">
        <v>421</v>
      </c>
      <c r="G473" t="s">
        <v>985</v>
      </c>
      <c r="H473" s="9" t="s">
        <v>1071</v>
      </c>
      <c r="I473">
        <f t="shared" si="33"/>
        <v>24</v>
      </c>
      <c r="J473">
        <f t="shared" si="31"/>
        <v>10.886216880000001</v>
      </c>
      <c r="K473">
        <v>0.34699999999999998</v>
      </c>
      <c r="L473">
        <f t="shared" si="32"/>
        <v>3.77751725736</v>
      </c>
    </row>
    <row r="474" spans="1:12" x14ac:dyDescent="0.2">
      <c r="A474" s="4">
        <v>43500</v>
      </c>
      <c r="B474" t="s">
        <v>538</v>
      </c>
      <c r="C474">
        <v>2</v>
      </c>
      <c r="D474">
        <v>6</v>
      </c>
      <c r="E474">
        <v>2</v>
      </c>
      <c r="F474" t="s">
        <v>570</v>
      </c>
      <c r="G474" t="s">
        <v>985</v>
      </c>
      <c r="H474" s="9" t="s">
        <v>1071</v>
      </c>
      <c r="I474">
        <f t="shared" si="33"/>
        <v>24</v>
      </c>
      <c r="J474">
        <f t="shared" si="31"/>
        <v>10.886216880000001</v>
      </c>
      <c r="K474">
        <v>0.34699999999999998</v>
      </c>
      <c r="L474">
        <f t="shared" si="32"/>
        <v>3.77751725736</v>
      </c>
    </row>
    <row r="475" spans="1:12" x14ac:dyDescent="0.2">
      <c r="A475" s="4">
        <v>43503</v>
      </c>
      <c r="B475" t="s">
        <v>538</v>
      </c>
      <c r="C475">
        <v>1</v>
      </c>
      <c r="D475">
        <v>12</v>
      </c>
      <c r="E475">
        <v>2</v>
      </c>
      <c r="F475" t="s">
        <v>557</v>
      </c>
      <c r="G475" s="14" t="s">
        <v>871</v>
      </c>
      <c r="H475" s="9" t="s">
        <v>1071</v>
      </c>
      <c r="I475">
        <f t="shared" si="33"/>
        <v>24</v>
      </c>
      <c r="J475">
        <f t="shared" si="31"/>
        <v>10.886216880000001</v>
      </c>
      <c r="L475">
        <f t="shared" si="32"/>
        <v>0</v>
      </c>
    </row>
    <row r="476" spans="1:12" x14ac:dyDescent="0.2">
      <c r="A476" s="4">
        <v>43497</v>
      </c>
      <c r="B476" t="s">
        <v>517</v>
      </c>
      <c r="C476">
        <v>5</v>
      </c>
      <c r="D476">
        <v>2</v>
      </c>
      <c r="E476">
        <v>6</v>
      </c>
      <c r="F476" t="s">
        <v>383</v>
      </c>
      <c r="G476" t="s">
        <v>846</v>
      </c>
      <c r="H476" s="9" t="s">
        <v>1073</v>
      </c>
      <c r="I476">
        <f t="shared" si="33"/>
        <v>60</v>
      </c>
      <c r="J476">
        <f t="shared" si="31"/>
        <v>27.215542200000002</v>
      </c>
      <c r="K476">
        <v>1.33</v>
      </c>
      <c r="L476">
        <f t="shared" si="32"/>
        <v>36.196671126000005</v>
      </c>
    </row>
    <row r="477" spans="1:12" x14ac:dyDescent="0.2">
      <c r="A477" s="4">
        <v>43497</v>
      </c>
      <c r="B477" t="s">
        <v>517</v>
      </c>
      <c r="C477">
        <v>5</v>
      </c>
      <c r="D477">
        <v>2</v>
      </c>
      <c r="E477">
        <v>6</v>
      </c>
      <c r="F477" t="s">
        <v>384</v>
      </c>
      <c r="G477" t="s">
        <v>846</v>
      </c>
      <c r="H477" s="9" t="s">
        <v>1073</v>
      </c>
      <c r="I477">
        <f t="shared" si="33"/>
        <v>60</v>
      </c>
      <c r="J477">
        <f t="shared" si="31"/>
        <v>27.215542200000002</v>
      </c>
      <c r="K477">
        <v>1.33</v>
      </c>
      <c r="L477">
        <f t="shared" si="32"/>
        <v>36.196671126000005</v>
      </c>
    </row>
    <row r="478" spans="1:12" x14ac:dyDescent="0.2">
      <c r="A478" s="4">
        <v>43500</v>
      </c>
      <c r="B478" t="s">
        <v>517</v>
      </c>
      <c r="C478">
        <v>5</v>
      </c>
      <c r="D478">
        <v>2</v>
      </c>
      <c r="E478">
        <v>6</v>
      </c>
      <c r="F478" t="s">
        <v>383</v>
      </c>
      <c r="G478" t="s">
        <v>846</v>
      </c>
      <c r="H478" s="9" t="s">
        <v>1073</v>
      </c>
      <c r="I478">
        <f t="shared" si="33"/>
        <v>60</v>
      </c>
      <c r="J478">
        <f t="shared" si="31"/>
        <v>27.215542200000002</v>
      </c>
      <c r="K478">
        <v>1.33</v>
      </c>
      <c r="L478">
        <f t="shared" si="32"/>
        <v>36.196671126000005</v>
      </c>
    </row>
    <row r="479" spans="1:12" x14ac:dyDescent="0.2">
      <c r="A479" s="4">
        <v>43500</v>
      </c>
      <c r="B479" t="s">
        <v>517</v>
      </c>
      <c r="C479">
        <v>5</v>
      </c>
      <c r="D479">
        <v>2</v>
      </c>
      <c r="E479">
        <v>6</v>
      </c>
      <c r="F479" t="s">
        <v>384</v>
      </c>
      <c r="G479" t="s">
        <v>846</v>
      </c>
      <c r="H479" s="9" t="s">
        <v>1073</v>
      </c>
      <c r="I479">
        <f t="shared" si="33"/>
        <v>60</v>
      </c>
      <c r="J479">
        <f t="shared" si="31"/>
        <v>27.215542200000002</v>
      </c>
      <c r="K479">
        <v>1.33</v>
      </c>
      <c r="L479">
        <f t="shared" si="32"/>
        <v>36.196671126000005</v>
      </c>
    </row>
    <row r="480" spans="1:12" x14ac:dyDescent="0.2">
      <c r="A480" s="4">
        <v>43503</v>
      </c>
      <c r="B480" t="s">
        <v>517</v>
      </c>
      <c r="C480">
        <v>2</v>
      </c>
      <c r="D480">
        <v>2</v>
      </c>
      <c r="E480">
        <v>6</v>
      </c>
      <c r="F480" t="s">
        <v>383</v>
      </c>
      <c r="G480" t="s">
        <v>846</v>
      </c>
      <c r="H480" s="9" t="s">
        <v>1073</v>
      </c>
      <c r="I480">
        <f t="shared" si="33"/>
        <v>24</v>
      </c>
      <c r="J480">
        <f t="shared" si="31"/>
        <v>10.886216880000001</v>
      </c>
      <c r="K480">
        <v>1.33</v>
      </c>
      <c r="L480">
        <f t="shared" si="32"/>
        <v>14.478668450400002</v>
      </c>
    </row>
    <row r="481" spans="1:12" x14ac:dyDescent="0.2">
      <c r="A481" s="4">
        <v>43503</v>
      </c>
      <c r="B481" t="s">
        <v>517</v>
      </c>
      <c r="C481">
        <v>1</v>
      </c>
      <c r="D481">
        <v>2</v>
      </c>
      <c r="E481">
        <v>6</v>
      </c>
      <c r="F481" t="s">
        <v>384</v>
      </c>
      <c r="G481" t="s">
        <v>846</v>
      </c>
      <c r="H481" s="9" t="s">
        <v>1073</v>
      </c>
      <c r="I481">
        <f t="shared" si="33"/>
        <v>12</v>
      </c>
      <c r="J481">
        <f t="shared" si="31"/>
        <v>5.4431084400000005</v>
      </c>
      <c r="K481">
        <v>1.33</v>
      </c>
      <c r="L481">
        <f t="shared" si="32"/>
        <v>7.2393342252000012</v>
      </c>
    </row>
    <row r="482" spans="1:12" x14ac:dyDescent="0.2">
      <c r="A482" s="4">
        <v>43498</v>
      </c>
      <c r="B482" t="s">
        <v>48</v>
      </c>
      <c r="C482" s="28">
        <v>2</v>
      </c>
      <c r="D482" s="35">
        <v>1</v>
      </c>
      <c r="E482">
        <f>0.5*44</f>
        <v>22</v>
      </c>
      <c r="F482" t="s">
        <v>100</v>
      </c>
      <c r="G482" t="s">
        <v>766</v>
      </c>
      <c r="H482" s="9" t="s">
        <v>1071</v>
      </c>
      <c r="I482">
        <f t="shared" si="33"/>
        <v>44</v>
      </c>
      <c r="J482">
        <f t="shared" si="31"/>
        <v>19.958064280000002</v>
      </c>
      <c r="K482">
        <v>1.2290000000000001</v>
      </c>
      <c r="L482">
        <f t="shared" si="32"/>
        <v>24.528461000120004</v>
      </c>
    </row>
    <row r="483" spans="1:12" x14ac:dyDescent="0.2">
      <c r="L483" s="33">
        <f>SUM(L3:L482)</f>
        <v>47704.715328800768</v>
      </c>
    </row>
  </sheetData>
  <sortState ref="A3:L483">
    <sortCondition ref="G3"/>
  </sortState>
  <mergeCells count="1">
    <mergeCell ref="A1:L1"/>
  </mergeCells>
  <phoneticPr fontId="12" type="noConversion"/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M3062"/>
  <sheetViews>
    <sheetView workbookViewId="0">
      <pane ySplit="2" topLeftCell="A3032" activePane="bottomLeft" state="frozen"/>
      <selection activeCell="B126" sqref="B126"/>
      <selection pane="bottomLeft" activeCell="L3062" sqref="L3062"/>
    </sheetView>
  </sheetViews>
  <sheetFormatPr baseColWidth="10" defaultRowHeight="16" x14ac:dyDescent="0.2"/>
  <cols>
    <col min="1" max="1" width="14.1640625" customWidth="1"/>
    <col min="2" max="2" width="19.33203125" customWidth="1"/>
    <col min="4" max="4" width="13.1640625" customWidth="1"/>
    <col min="6" max="6" width="11.83203125" customWidth="1"/>
    <col min="7" max="7" width="14.33203125" customWidth="1"/>
    <col min="8" max="8" width="12.6640625" customWidth="1"/>
    <col min="9" max="9" width="13.6640625" customWidth="1"/>
    <col min="10" max="10" width="12.83203125" customWidth="1"/>
    <col min="11" max="11" width="24.83203125" customWidth="1"/>
    <col min="12" max="12" width="16.5" customWidth="1"/>
    <col min="13" max="13" width="20.33203125" customWidth="1"/>
  </cols>
  <sheetData>
    <row r="1" spans="1:12" x14ac:dyDescent="0.2">
      <c r="A1" s="94" t="s">
        <v>1093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x14ac:dyDescent="0.2">
      <c r="A2" s="61" t="s">
        <v>0</v>
      </c>
      <c r="B2" s="61" t="s">
        <v>1</v>
      </c>
      <c r="C2" s="61" t="s">
        <v>2</v>
      </c>
      <c r="D2" s="2" t="s">
        <v>280</v>
      </c>
      <c r="E2" s="2" t="s">
        <v>3</v>
      </c>
      <c r="F2" s="31" t="s">
        <v>1090</v>
      </c>
      <c r="G2" s="31" t="s">
        <v>780</v>
      </c>
      <c r="H2" s="31" t="s">
        <v>934</v>
      </c>
      <c r="I2" s="31" t="s">
        <v>938</v>
      </c>
      <c r="J2" s="31" t="s">
        <v>6</v>
      </c>
      <c r="K2" s="61" t="s">
        <v>7</v>
      </c>
      <c r="L2" s="61" t="s">
        <v>8</v>
      </c>
    </row>
    <row r="3" spans="1:12" x14ac:dyDescent="0.2">
      <c r="A3" s="10">
        <v>43434</v>
      </c>
      <c r="B3" s="8" t="s">
        <v>525</v>
      </c>
      <c r="C3" s="8">
        <v>2</v>
      </c>
      <c r="D3" s="8">
        <v>2</v>
      </c>
      <c r="E3">
        <v>5</v>
      </c>
      <c r="F3" t="s">
        <v>398</v>
      </c>
      <c r="G3" s="6" t="s">
        <v>890</v>
      </c>
      <c r="H3" s="6" t="s">
        <v>1072</v>
      </c>
      <c r="I3">
        <f t="shared" ref="I3:I34" si="0">C3*D3*E3</f>
        <v>20</v>
      </c>
      <c r="J3">
        <f t="shared" ref="J3:J66" si="1">CONVERT(I3,"lbm","kg")</f>
        <v>9.0718474000000011</v>
      </c>
      <c r="K3">
        <f>(0.5*32.846)+(0.5*5.56)</f>
        <v>19.202999999999999</v>
      </c>
      <c r="L3">
        <f t="shared" ref="L3:L66" si="2">J3*K3</f>
        <v>174.20668562220001</v>
      </c>
    </row>
    <row r="4" spans="1:12" x14ac:dyDescent="0.2">
      <c r="A4" s="4">
        <v>43439</v>
      </c>
      <c r="B4" t="s">
        <v>525</v>
      </c>
      <c r="C4">
        <v>1</v>
      </c>
      <c r="D4">
        <v>2</v>
      </c>
      <c r="E4">
        <v>5</v>
      </c>
      <c r="F4" t="s">
        <v>398</v>
      </c>
      <c r="G4" t="s">
        <v>890</v>
      </c>
      <c r="H4" t="s">
        <v>1072</v>
      </c>
      <c r="I4">
        <f t="shared" si="0"/>
        <v>10</v>
      </c>
      <c r="J4">
        <f t="shared" si="1"/>
        <v>4.5359237000000006</v>
      </c>
      <c r="K4">
        <f>(0.5*32.846)+(0.5*5.56)</f>
        <v>19.202999999999999</v>
      </c>
      <c r="L4">
        <f t="shared" si="2"/>
        <v>87.103342811100006</v>
      </c>
    </row>
    <row r="5" spans="1:12" x14ac:dyDescent="0.2">
      <c r="A5" s="4">
        <v>43347</v>
      </c>
      <c r="B5" t="s">
        <v>22</v>
      </c>
      <c r="C5">
        <v>1</v>
      </c>
      <c r="D5">
        <v>1</v>
      </c>
      <c r="E5">
        <v>160</v>
      </c>
      <c r="F5" s="9" t="s">
        <v>25</v>
      </c>
      <c r="G5" s="9" t="s">
        <v>767</v>
      </c>
      <c r="H5" s="8" t="s">
        <v>1071</v>
      </c>
      <c r="I5">
        <f t="shared" si="0"/>
        <v>160</v>
      </c>
      <c r="J5" s="8">
        <f t="shared" si="1"/>
        <v>72.574779200000009</v>
      </c>
      <c r="K5">
        <v>0.22800000000000001</v>
      </c>
      <c r="L5">
        <f t="shared" si="2"/>
        <v>16.547049657600002</v>
      </c>
    </row>
    <row r="6" spans="1:12" x14ac:dyDescent="0.2">
      <c r="A6" s="4">
        <v>43347</v>
      </c>
      <c r="B6" t="s">
        <v>22</v>
      </c>
      <c r="C6">
        <v>1</v>
      </c>
      <c r="D6">
        <v>1</v>
      </c>
      <c r="E6">
        <v>100</v>
      </c>
      <c r="F6" s="9" t="s">
        <v>26</v>
      </c>
      <c r="G6" s="9" t="s">
        <v>767</v>
      </c>
      <c r="H6" s="8" t="s">
        <v>1071</v>
      </c>
      <c r="I6">
        <f t="shared" si="0"/>
        <v>100</v>
      </c>
      <c r="J6" s="8">
        <f t="shared" si="1"/>
        <v>45.359237</v>
      </c>
      <c r="K6">
        <v>0.22800000000000001</v>
      </c>
      <c r="L6">
        <f t="shared" si="2"/>
        <v>10.341906036000001</v>
      </c>
    </row>
    <row r="7" spans="1:12" x14ac:dyDescent="0.2">
      <c r="A7" s="4">
        <v>43343</v>
      </c>
      <c r="B7" t="s">
        <v>22</v>
      </c>
      <c r="C7">
        <v>1</v>
      </c>
      <c r="D7">
        <v>1</v>
      </c>
      <c r="E7">
        <v>100</v>
      </c>
      <c r="F7" s="9" t="s">
        <v>26</v>
      </c>
      <c r="G7" s="9" t="s">
        <v>767</v>
      </c>
      <c r="H7" s="8" t="s">
        <v>1071</v>
      </c>
      <c r="I7">
        <f t="shared" si="0"/>
        <v>100</v>
      </c>
      <c r="J7" s="8">
        <f t="shared" si="1"/>
        <v>45.359237</v>
      </c>
      <c r="K7">
        <v>0.22800000000000001</v>
      </c>
      <c r="L7">
        <f t="shared" si="2"/>
        <v>10.341906036000001</v>
      </c>
    </row>
    <row r="8" spans="1:12" x14ac:dyDescent="0.2">
      <c r="A8" s="4">
        <v>43347</v>
      </c>
      <c r="B8" t="s">
        <v>22</v>
      </c>
      <c r="C8">
        <v>1</v>
      </c>
      <c r="D8">
        <v>1</v>
      </c>
      <c r="E8">
        <v>160</v>
      </c>
      <c r="F8" s="9" t="s">
        <v>25</v>
      </c>
      <c r="G8" s="9" t="s">
        <v>767</v>
      </c>
      <c r="H8" s="8" t="s">
        <v>1071</v>
      </c>
      <c r="I8">
        <f t="shared" si="0"/>
        <v>160</v>
      </c>
      <c r="J8" s="8">
        <f t="shared" si="1"/>
        <v>72.574779200000009</v>
      </c>
      <c r="K8">
        <v>0.22800000000000001</v>
      </c>
      <c r="L8">
        <f t="shared" si="2"/>
        <v>16.547049657600002</v>
      </c>
    </row>
    <row r="9" spans="1:12" x14ac:dyDescent="0.2">
      <c r="A9" s="10">
        <v>43347</v>
      </c>
      <c r="B9" s="8" t="s">
        <v>22</v>
      </c>
      <c r="C9">
        <v>1</v>
      </c>
      <c r="D9">
        <v>1</v>
      </c>
      <c r="E9" s="8">
        <v>100</v>
      </c>
      <c r="F9" s="9" t="s">
        <v>26</v>
      </c>
      <c r="G9" s="9" t="s">
        <v>767</v>
      </c>
      <c r="H9" s="8" t="s">
        <v>1071</v>
      </c>
      <c r="I9">
        <f t="shared" si="0"/>
        <v>100</v>
      </c>
      <c r="J9" s="8">
        <f t="shared" si="1"/>
        <v>45.359237</v>
      </c>
      <c r="K9">
        <v>0.22800000000000001</v>
      </c>
      <c r="L9">
        <f t="shared" si="2"/>
        <v>10.341906036000001</v>
      </c>
    </row>
    <row r="10" spans="1:12" x14ac:dyDescent="0.2">
      <c r="A10" s="4">
        <v>43344</v>
      </c>
      <c r="B10" s="6" t="s">
        <v>1074</v>
      </c>
      <c r="C10">
        <v>2</v>
      </c>
      <c r="D10" s="8">
        <v>1</v>
      </c>
      <c r="E10">
        <f>138*(1/3)</f>
        <v>46</v>
      </c>
      <c r="F10" t="s">
        <v>115</v>
      </c>
      <c r="G10" t="s">
        <v>767</v>
      </c>
      <c r="H10" s="8" t="s">
        <v>1071</v>
      </c>
      <c r="I10">
        <f t="shared" si="0"/>
        <v>92</v>
      </c>
      <c r="J10" s="8">
        <f t="shared" si="1"/>
        <v>41.730498040000001</v>
      </c>
      <c r="K10">
        <v>0.22800000000000001</v>
      </c>
      <c r="L10">
        <f t="shared" si="2"/>
        <v>9.5145535531200007</v>
      </c>
    </row>
    <row r="11" spans="1:12" x14ac:dyDescent="0.2">
      <c r="A11" s="4">
        <v>43346</v>
      </c>
      <c r="B11" s="6" t="s">
        <v>1074</v>
      </c>
      <c r="C11">
        <v>3</v>
      </c>
      <c r="D11" s="8">
        <v>1</v>
      </c>
      <c r="E11">
        <f>38*(1/3)</f>
        <v>12.666666666666666</v>
      </c>
      <c r="F11" t="s">
        <v>1078</v>
      </c>
      <c r="G11" t="s">
        <v>767</v>
      </c>
      <c r="H11" s="8" t="s">
        <v>1071</v>
      </c>
      <c r="I11">
        <f t="shared" si="0"/>
        <v>38</v>
      </c>
      <c r="J11" s="8">
        <f t="shared" si="1"/>
        <v>17.236510060000001</v>
      </c>
      <c r="K11">
        <v>0.22800000000000001</v>
      </c>
      <c r="L11">
        <f t="shared" si="2"/>
        <v>3.9299242936800001</v>
      </c>
    </row>
    <row r="12" spans="1:12" x14ac:dyDescent="0.2">
      <c r="A12" s="4">
        <v>43346</v>
      </c>
      <c r="B12" s="6" t="s">
        <v>1074</v>
      </c>
      <c r="C12">
        <v>3</v>
      </c>
      <c r="D12" s="8">
        <v>1</v>
      </c>
      <c r="E12">
        <f>38*(1/3)</f>
        <v>12.666666666666666</v>
      </c>
      <c r="F12" t="s">
        <v>1079</v>
      </c>
      <c r="G12" t="s">
        <v>767</v>
      </c>
      <c r="H12" s="8" t="s">
        <v>1071</v>
      </c>
      <c r="I12">
        <f t="shared" si="0"/>
        <v>38</v>
      </c>
      <c r="J12" s="8">
        <f t="shared" si="1"/>
        <v>17.236510060000001</v>
      </c>
      <c r="K12">
        <v>0.22800000000000001</v>
      </c>
      <c r="L12">
        <f t="shared" si="2"/>
        <v>3.9299242936800001</v>
      </c>
    </row>
    <row r="13" spans="1:12" x14ac:dyDescent="0.2">
      <c r="A13" s="4">
        <v>43346</v>
      </c>
      <c r="B13" s="6" t="s">
        <v>1074</v>
      </c>
      <c r="C13">
        <v>2</v>
      </c>
      <c r="D13" s="8">
        <v>1</v>
      </c>
      <c r="E13">
        <v>10</v>
      </c>
      <c r="F13" t="s">
        <v>1030</v>
      </c>
      <c r="G13" t="s">
        <v>767</v>
      </c>
      <c r="H13" s="8" t="s">
        <v>1071</v>
      </c>
      <c r="I13">
        <f t="shared" si="0"/>
        <v>20</v>
      </c>
      <c r="J13" s="8">
        <f t="shared" si="1"/>
        <v>9.0718474000000011</v>
      </c>
      <c r="K13">
        <v>0.22800000000000001</v>
      </c>
      <c r="L13">
        <f t="shared" si="2"/>
        <v>2.0683812072000003</v>
      </c>
    </row>
    <row r="14" spans="1:12" x14ac:dyDescent="0.2">
      <c r="A14" s="4">
        <v>43343</v>
      </c>
      <c r="B14" t="s">
        <v>22</v>
      </c>
      <c r="C14">
        <v>1</v>
      </c>
      <c r="D14">
        <v>1</v>
      </c>
      <c r="E14">
        <v>160</v>
      </c>
      <c r="F14" s="9" t="s">
        <v>25</v>
      </c>
      <c r="G14" s="9" t="s">
        <v>754</v>
      </c>
      <c r="H14" s="8" t="s">
        <v>1071</v>
      </c>
      <c r="I14">
        <f t="shared" si="0"/>
        <v>160</v>
      </c>
      <c r="J14" s="8">
        <f t="shared" si="1"/>
        <v>72.574779200000009</v>
      </c>
      <c r="K14">
        <v>0.22800000000000001</v>
      </c>
      <c r="L14">
        <f t="shared" si="2"/>
        <v>16.547049657600002</v>
      </c>
    </row>
    <row r="15" spans="1:12" x14ac:dyDescent="0.2">
      <c r="A15" s="4">
        <v>43437</v>
      </c>
      <c r="B15" t="s">
        <v>538</v>
      </c>
      <c r="C15">
        <v>1</v>
      </c>
      <c r="D15">
        <v>6</v>
      </c>
      <c r="E15">
        <v>10</v>
      </c>
      <c r="F15" t="s">
        <v>577</v>
      </c>
      <c r="G15" s="6" t="s">
        <v>918</v>
      </c>
      <c r="H15" t="s">
        <v>1071</v>
      </c>
      <c r="I15">
        <f t="shared" si="0"/>
        <v>60</v>
      </c>
      <c r="J15">
        <f t="shared" si="1"/>
        <v>27.215542200000002</v>
      </c>
      <c r="K15">
        <v>3.25</v>
      </c>
      <c r="L15">
        <f t="shared" si="2"/>
        <v>88.450512150000009</v>
      </c>
    </row>
    <row r="16" spans="1:12" x14ac:dyDescent="0.2">
      <c r="A16" s="4">
        <v>43434</v>
      </c>
      <c r="B16" t="s">
        <v>538</v>
      </c>
      <c r="C16">
        <v>2</v>
      </c>
      <c r="D16">
        <v>6</v>
      </c>
      <c r="E16">
        <v>6.6138700000000004</v>
      </c>
      <c r="F16" t="s">
        <v>447</v>
      </c>
      <c r="G16" t="s">
        <v>870</v>
      </c>
      <c r="H16" t="s">
        <v>1071</v>
      </c>
      <c r="I16">
        <f t="shared" si="0"/>
        <v>79.366440000000011</v>
      </c>
      <c r="J16">
        <f t="shared" si="1"/>
        <v>36.000011618062807</v>
      </c>
      <c r="K16">
        <v>0.84599999999999997</v>
      </c>
      <c r="L16">
        <f t="shared" si="2"/>
        <v>30.456009828881133</v>
      </c>
    </row>
    <row r="17" spans="1:12" x14ac:dyDescent="0.2">
      <c r="A17" s="4">
        <v>43346</v>
      </c>
      <c r="B17" s="6" t="s">
        <v>1074</v>
      </c>
      <c r="C17">
        <v>1</v>
      </c>
      <c r="D17" s="8">
        <v>1</v>
      </c>
      <c r="E17">
        <f>2*1.5</f>
        <v>3</v>
      </c>
      <c r="F17" t="s">
        <v>1032</v>
      </c>
      <c r="G17" s="6" t="s">
        <v>769</v>
      </c>
      <c r="H17" s="8" t="s">
        <v>1071</v>
      </c>
      <c r="I17">
        <f t="shared" si="0"/>
        <v>3</v>
      </c>
      <c r="J17" s="8">
        <f t="shared" si="1"/>
        <v>1.3607771100000001</v>
      </c>
      <c r="K17">
        <v>0.3</v>
      </c>
      <c r="L17">
        <f t="shared" si="2"/>
        <v>0.40823313300000003</v>
      </c>
    </row>
    <row r="18" spans="1:12" x14ac:dyDescent="0.2">
      <c r="A18" s="4">
        <v>43343</v>
      </c>
      <c r="B18" s="6" t="s">
        <v>1074</v>
      </c>
      <c r="C18">
        <v>1</v>
      </c>
      <c r="D18" s="8">
        <v>1</v>
      </c>
      <c r="E18">
        <f>11*6</f>
        <v>66</v>
      </c>
      <c r="F18" t="s">
        <v>80</v>
      </c>
      <c r="G18" t="s">
        <v>80</v>
      </c>
      <c r="H18" s="8" t="s">
        <v>1071</v>
      </c>
      <c r="I18">
        <f t="shared" si="0"/>
        <v>66</v>
      </c>
      <c r="J18" s="8">
        <f t="shared" si="1"/>
        <v>29.937096420000003</v>
      </c>
      <c r="K18">
        <v>2.1709999999999998</v>
      </c>
      <c r="L18">
        <f t="shared" si="2"/>
        <v>64.993436327820007</v>
      </c>
    </row>
    <row r="19" spans="1:12" x14ac:dyDescent="0.2">
      <c r="A19" s="4">
        <v>43344</v>
      </c>
      <c r="B19" s="6" t="s">
        <v>1074</v>
      </c>
      <c r="C19">
        <v>6</v>
      </c>
      <c r="D19" s="8">
        <v>1</v>
      </c>
      <c r="E19">
        <v>11</v>
      </c>
      <c r="F19" t="s">
        <v>1001</v>
      </c>
      <c r="G19" t="s">
        <v>80</v>
      </c>
      <c r="H19" s="8" t="s">
        <v>1071</v>
      </c>
      <c r="I19">
        <f t="shared" si="0"/>
        <v>66</v>
      </c>
      <c r="J19" s="8">
        <f t="shared" si="1"/>
        <v>29.937096420000003</v>
      </c>
      <c r="K19">
        <v>2.1709999999999998</v>
      </c>
      <c r="L19">
        <f t="shared" si="2"/>
        <v>64.993436327820007</v>
      </c>
    </row>
    <row r="20" spans="1:12" x14ac:dyDescent="0.2">
      <c r="A20" s="4">
        <v>43434</v>
      </c>
      <c r="B20" t="s">
        <v>531</v>
      </c>
      <c r="C20">
        <v>4</v>
      </c>
      <c r="D20">
        <v>4</v>
      </c>
      <c r="E20">
        <v>6</v>
      </c>
      <c r="F20" t="s">
        <v>537</v>
      </c>
      <c r="G20" t="s">
        <v>858</v>
      </c>
      <c r="H20" t="s">
        <v>1071</v>
      </c>
      <c r="I20">
        <f t="shared" si="0"/>
        <v>96</v>
      </c>
      <c r="J20">
        <f t="shared" si="1"/>
        <v>43.544867520000004</v>
      </c>
      <c r="K20">
        <v>0.374</v>
      </c>
      <c r="L20">
        <f t="shared" si="2"/>
        <v>16.285780452480001</v>
      </c>
    </row>
    <row r="21" spans="1:12" x14ac:dyDescent="0.2">
      <c r="A21" s="4">
        <v>43437</v>
      </c>
      <c r="B21" t="s">
        <v>531</v>
      </c>
      <c r="C21">
        <v>5</v>
      </c>
      <c r="D21">
        <v>4</v>
      </c>
      <c r="E21">
        <v>6</v>
      </c>
      <c r="F21" t="s">
        <v>413</v>
      </c>
      <c r="G21" t="s">
        <v>858</v>
      </c>
      <c r="H21" t="s">
        <v>1071</v>
      </c>
      <c r="I21">
        <f t="shared" si="0"/>
        <v>120</v>
      </c>
      <c r="J21">
        <f t="shared" si="1"/>
        <v>54.431084400000003</v>
      </c>
      <c r="K21">
        <v>0.374</v>
      </c>
      <c r="L21">
        <f t="shared" si="2"/>
        <v>20.3572255656</v>
      </c>
    </row>
    <row r="22" spans="1:12" x14ac:dyDescent="0.2">
      <c r="A22" s="4">
        <v>43343</v>
      </c>
      <c r="B22" s="6" t="s">
        <v>1074</v>
      </c>
      <c r="C22">
        <v>1</v>
      </c>
      <c r="D22" s="8">
        <v>1</v>
      </c>
      <c r="E22">
        <v>40</v>
      </c>
      <c r="F22" t="s">
        <v>81</v>
      </c>
      <c r="G22" t="s">
        <v>81</v>
      </c>
      <c r="H22" s="8" t="s">
        <v>1071</v>
      </c>
      <c r="I22">
        <f t="shared" si="0"/>
        <v>40</v>
      </c>
      <c r="J22" s="8">
        <f t="shared" si="1"/>
        <v>18.143694800000002</v>
      </c>
      <c r="K22">
        <v>0.374</v>
      </c>
      <c r="L22">
        <f t="shared" si="2"/>
        <v>6.7857418552000004</v>
      </c>
    </row>
    <row r="23" spans="1:12" x14ac:dyDescent="0.2">
      <c r="A23" s="4">
        <v>43344</v>
      </c>
      <c r="B23" s="6" t="s">
        <v>1074</v>
      </c>
      <c r="C23">
        <v>10</v>
      </c>
      <c r="D23" s="8">
        <v>1</v>
      </c>
      <c r="E23">
        <v>40</v>
      </c>
      <c r="F23" t="s">
        <v>116</v>
      </c>
      <c r="G23" t="s">
        <v>81</v>
      </c>
      <c r="H23" s="8" t="s">
        <v>1071</v>
      </c>
      <c r="I23">
        <f t="shared" si="0"/>
        <v>400</v>
      </c>
      <c r="J23" s="8">
        <f t="shared" si="1"/>
        <v>181.436948</v>
      </c>
      <c r="K23">
        <v>0.374</v>
      </c>
      <c r="L23">
        <f t="shared" si="2"/>
        <v>67.857418551999999</v>
      </c>
    </row>
    <row r="24" spans="1:12" x14ac:dyDescent="0.2">
      <c r="A24" s="4">
        <v>43346</v>
      </c>
      <c r="B24" s="6" t="s">
        <v>1074</v>
      </c>
      <c r="C24">
        <v>10</v>
      </c>
      <c r="D24" s="8">
        <v>1</v>
      </c>
      <c r="E24">
        <v>40</v>
      </c>
      <c r="F24" t="s">
        <v>116</v>
      </c>
      <c r="G24" t="s">
        <v>81</v>
      </c>
      <c r="H24" s="8" t="s">
        <v>1071</v>
      </c>
      <c r="I24">
        <f t="shared" si="0"/>
        <v>400</v>
      </c>
      <c r="J24" s="8">
        <f t="shared" si="1"/>
        <v>181.436948</v>
      </c>
      <c r="K24">
        <v>0.374</v>
      </c>
      <c r="L24">
        <f t="shared" si="2"/>
        <v>67.857418551999999</v>
      </c>
    </row>
    <row r="25" spans="1:12" x14ac:dyDescent="0.2">
      <c r="A25" s="4">
        <v>43347</v>
      </c>
      <c r="B25" s="6" t="s">
        <v>1074</v>
      </c>
      <c r="C25">
        <v>4</v>
      </c>
      <c r="D25" s="8">
        <v>1</v>
      </c>
      <c r="E25">
        <v>40</v>
      </c>
      <c r="F25" t="s">
        <v>116</v>
      </c>
      <c r="G25" t="s">
        <v>81</v>
      </c>
      <c r="H25" s="8" t="s">
        <v>1071</v>
      </c>
      <c r="I25">
        <f t="shared" si="0"/>
        <v>160</v>
      </c>
      <c r="J25" s="8">
        <f t="shared" si="1"/>
        <v>72.574779200000009</v>
      </c>
      <c r="K25">
        <v>0.374</v>
      </c>
      <c r="L25">
        <f t="shared" si="2"/>
        <v>27.142967420800002</v>
      </c>
    </row>
    <row r="26" spans="1:12" x14ac:dyDescent="0.2">
      <c r="A26" s="4">
        <v>43348</v>
      </c>
      <c r="B26" s="6" t="s">
        <v>1074</v>
      </c>
      <c r="C26">
        <v>8</v>
      </c>
      <c r="D26" s="8">
        <v>1</v>
      </c>
      <c r="E26">
        <v>40</v>
      </c>
      <c r="F26" t="s">
        <v>81</v>
      </c>
      <c r="G26" t="s">
        <v>81</v>
      </c>
      <c r="H26" s="8" t="s">
        <v>1071</v>
      </c>
      <c r="I26">
        <f t="shared" si="0"/>
        <v>320</v>
      </c>
      <c r="J26" s="8">
        <f t="shared" si="1"/>
        <v>145.14955840000002</v>
      </c>
      <c r="K26">
        <v>0.374</v>
      </c>
      <c r="L26">
        <f t="shared" si="2"/>
        <v>54.285934841600003</v>
      </c>
    </row>
    <row r="27" spans="1:12" x14ac:dyDescent="0.2">
      <c r="A27" s="4">
        <v>43349</v>
      </c>
      <c r="B27" s="6" t="s">
        <v>1074</v>
      </c>
      <c r="C27">
        <v>6</v>
      </c>
      <c r="D27" s="8">
        <v>1</v>
      </c>
      <c r="E27">
        <v>40</v>
      </c>
      <c r="F27" t="s">
        <v>81</v>
      </c>
      <c r="G27" t="s">
        <v>81</v>
      </c>
      <c r="H27" s="8" t="s">
        <v>1071</v>
      </c>
      <c r="I27">
        <f t="shared" si="0"/>
        <v>240</v>
      </c>
      <c r="J27" s="8">
        <f t="shared" si="1"/>
        <v>108.86216880000001</v>
      </c>
      <c r="K27">
        <v>0.374</v>
      </c>
      <c r="L27">
        <f t="shared" si="2"/>
        <v>40.714451131200001</v>
      </c>
    </row>
    <row r="28" spans="1:12" x14ac:dyDescent="0.2">
      <c r="A28" s="4">
        <v>43343</v>
      </c>
      <c r="B28" s="6" t="s">
        <v>1074</v>
      </c>
      <c r="C28">
        <v>1</v>
      </c>
      <c r="D28" s="8">
        <v>1</v>
      </c>
      <c r="E28">
        <f>1*2</f>
        <v>2</v>
      </c>
      <c r="F28" t="s">
        <v>93</v>
      </c>
      <c r="G28" t="s">
        <v>184</v>
      </c>
      <c r="H28" s="8" t="s">
        <v>1071</v>
      </c>
      <c r="I28">
        <f t="shared" si="0"/>
        <v>2</v>
      </c>
      <c r="J28" s="8">
        <f t="shared" si="1"/>
        <v>0.90718474000000004</v>
      </c>
      <c r="K28">
        <v>0.221</v>
      </c>
      <c r="L28">
        <f t="shared" si="2"/>
        <v>0.20048782754000002</v>
      </c>
    </row>
    <row r="29" spans="1:12" x14ac:dyDescent="0.2">
      <c r="A29" s="4">
        <v>43344</v>
      </c>
      <c r="B29" s="6" t="s">
        <v>1074</v>
      </c>
      <c r="C29">
        <v>2</v>
      </c>
      <c r="D29" s="8">
        <v>1</v>
      </c>
      <c r="E29">
        <v>1</v>
      </c>
      <c r="F29" t="s">
        <v>1002</v>
      </c>
      <c r="G29" t="s">
        <v>184</v>
      </c>
      <c r="H29" s="8" t="s">
        <v>1071</v>
      </c>
      <c r="I29">
        <f t="shared" si="0"/>
        <v>2</v>
      </c>
      <c r="J29" s="8">
        <f t="shared" si="1"/>
        <v>0.90718474000000004</v>
      </c>
      <c r="K29">
        <v>0.221</v>
      </c>
      <c r="L29">
        <f t="shared" si="2"/>
        <v>0.20048782754000002</v>
      </c>
    </row>
    <row r="30" spans="1:12" x14ac:dyDescent="0.2">
      <c r="A30" s="4">
        <v>43346</v>
      </c>
      <c r="B30" s="6" t="s">
        <v>1074</v>
      </c>
      <c r="C30">
        <v>1</v>
      </c>
      <c r="D30" s="8">
        <v>1</v>
      </c>
      <c r="E30">
        <v>1</v>
      </c>
      <c r="F30" t="s">
        <v>1002</v>
      </c>
      <c r="G30" t="s">
        <v>184</v>
      </c>
      <c r="H30" s="8" t="s">
        <v>1071</v>
      </c>
      <c r="I30">
        <f t="shared" si="0"/>
        <v>1</v>
      </c>
      <c r="J30" s="8">
        <f t="shared" si="1"/>
        <v>0.45359237000000002</v>
      </c>
      <c r="K30">
        <v>0.221</v>
      </c>
      <c r="L30">
        <f t="shared" si="2"/>
        <v>0.10024391377000001</v>
      </c>
    </row>
    <row r="31" spans="1:12" x14ac:dyDescent="0.2">
      <c r="A31" s="4">
        <v>43348</v>
      </c>
      <c r="B31" s="6" t="s">
        <v>1074</v>
      </c>
      <c r="C31">
        <v>2</v>
      </c>
      <c r="D31" s="8">
        <v>1</v>
      </c>
      <c r="E31">
        <v>1</v>
      </c>
      <c r="F31" t="s">
        <v>93</v>
      </c>
      <c r="G31" t="s">
        <v>184</v>
      </c>
      <c r="H31" s="8" t="s">
        <v>1071</v>
      </c>
      <c r="I31">
        <f t="shared" si="0"/>
        <v>2</v>
      </c>
      <c r="J31" s="8">
        <f t="shared" si="1"/>
        <v>0.90718474000000004</v>
      </c>
      <c r="K31">
        <v>0.221</v>
      </c>
      <c r="L31">
        <f t="shared" si="2"/>
        <v>0.20048782754000002</v>
      </c>
    </row>
    <row r="32" spans="1:12" x14ac:dyDescent="0.2">
      <c r="A32" s="4">
        <v>43349</v>
      </c>
      <c r="B32" s="6" t="s">
        <v>1074</v>
      </c>
      <c r="C32">
        <v>3</v>
      </c>
      <c r="D32" s="8">
        <v>1</v>
      </c>
      <c r="E32">
        <v>1</v>
      </c>
      <c r="F32" t="s">
        <v>93</v>
      </c>
      <c r="G32" t="s">
        <v>184</v>
      </c>
      <c r="H32" s="8" t="s">
        <v>1071</v>
      </c>
      <c r="I32">
        <f t="shared" si="0"/>
        <v>3</v>
      </c>
      <c r="J32" s="8">
        <f t="shared" si="1"/>
        <v>1.3607771100000001</v>
      </c>
      <c r="K32">
        <v>0.221</v>
      </c>
      <c r="L32">
        <f t="shared" si="2"/>
        <v>0.30073174131000002</v>
      </c>
    </row>
    <row r="33" spans="1:12" x14ac:dyDescent="0.2">
      <c r="A33" s="4">
        <v>43434</v>
      </c>
      <c r="B33" t="s">
        <v>538</v>
      </c>
      <c r="C33">
        <v>3</v>
      </c>
      <c r="D33">
        <v>6</v>
      </c>
      <c r="E33">
        <v>10</v>
      </c>
      <c r="F33" t="s">
        <v>420</v>
      </c>
      <c r="G33" t="s">
        <v>898</v>
      </c>
      <c r="H33" t="s">
        <v>1071</v>
      </c>
      <c r="I33">
        <f t="shared" si="0"/>
        <v>180</v>
      </c>
      <c r="J33">
        <f t="shared" si="1"/>
        <v>81.646626600000005</v>
      </c>
      <c r="K33">
        <v>0.308</v>
      </c>
      <c r="L33">
        <f t="shared" si="2"/>
        <v>25.1471609928</v>
      </c>
    </row>
    <row r="34" spans="1:12" x14ac:dyDescent="0.2">
      <c r="A34" s="4">
        <v>43439</v>
      </c>
      <c r="B34" t="s">
        <v>538</v>
      </c>
      <c r="C34">
        <v>1</v>
      </c>
      <c r="D34">
        <v>6</v>
      </c>
      <c r="E34">
        <v>10</v>
      </c>
      <c r="F34" t="s">
        <v>420</v>
      </c>
      <c r="G34" t="s">
        <v>898</v>
      </c>
      <c r="H34" t="s">
        <v>1071</v>
      </c>
      <c r="I34">
        <f t="shared" si="0"/>
        <v>60</v>
      </c>
      <c r="J34">
        <f t="shared" si="1"/>
        <v>27.215542200000002</v>
      </c>
      <c r="K34">
        <v>0.308</v>
      </c>
      <c r="L34">
        <f t="shared" si="2"/>
        <v>8.3823869976000012</v>
      </c>
    </row>
    <row r="35" spans="1:12" x14ac:dyDescent="0.2">
      <c r="A35" s="4">
        <v>43343</v>
      </c>
      <c r="B35" s="6" t="s">
        <v>1074</v>
      </c>
      <c r="C35">
        <v>1</v>
      </c>
      <c r="D35" s="8">
        <v>1</v>
      </c>
      <c r="E35">
        <f>5*8</f>
        <v>40</v>
      </c>
      <c r="F35" t="s">
        <v>83</v>
      </c>
      <c r="G35" s="54" t="s">
        <v>1083</v>
      </c>
      <c r="H35" s="8" t="s">
        <v>1071</v>
      </c>
      <c r="I35">
        <f t="shared" ref="I35:I54" si="3">C35*D35*E35</f>
        <v>40</v>
      </c>
      <c r="J35" s="8">
        <f t="shared" si="1"/>
        <v>18.143694800000002</v>
      </c>
      <c r="K35">
        <v>0.66200000000000003</v>
      </c>
      <c r="L35">
        <f t="shared" si="2"/>
        <v>12.011125957600003</v>
      </c>
    </row>
    <row r="36" spans="1:12" x14ac:dyDescent="0.2">
      <c r="A36" s="4">
        <v>43344</v>
      </c>
      <c r="B36" s="6" t="s">
        <v>1074</v>
      </c>
      <c r="C36">
        <v>6</v>
      </c>
      <c r="D36" s="8">
        <v>1</v>
      </c>
      <c r="E36">
        <v>10</v>
      </c>
      <c r="F36" t="s">
        <v>1020</v>
      </c>
      <c r="G36" t="s">
        <v>1081</v>
      </c>
      <c r="H36" s="8" t="s">
        <v>1071</v>
      </c>
      <c r="I36">
        <f t="shared" si="3"/>
        <v>60</v>
      </c>
      <c r="J36" s="8">
        <f t="shared" si="1"/>
        <v>27.215542200000002</v>
      </c>
      <c r="K36">
        <v>0.66200000000000003</v>
      </c>
      <c r="L36">
        <f t="shared" si="2"/>
        <v>18.016688936400001</v>
      </c>
    </row>
    <row r="37" spans="1:12" x14ac:dyDescent="0.2">
      <c r="A37" s="4">
        <v>43346</v>
      </c>
      <c r="B37" s="6" t="s">
        <v>1074</v>
      </c>
      <c r="C37">
        <v>1</v>
      </c>
      <c r="D37" s="8">
        <v>1</v>
      </c>
      <c r="E37">
        <v>10</v>
      </c>
      <c r="F37" t="s">
        <v>1020</v>
      </c>
      <c r="G37" t="s">
        <v>1081</v>
      </c>
      <c r="H37" s="8" t="s">
        <v>1071</v>
      </c>
      <c r="I37">
        <f t="shared" si="3"/>
        <v>10</v>
      </c>
      <c r="J37" s="8">
        <f t="shared" si="1"/>
        <v>4.5359237000000006</v>
      </c>
      <c r="K37">
        <v>0.66200000000000003</v>
      </c>
      <c r="L37">
        <f t="shared" si="2"/>
        <v>3.0027814894000007</v>
      </c>
    </row>
    <row r="38" spans="1:12" x14ac:dyDescent="0.2">
      <c r="A38" s="4">
        <v>43347</v>
      </c>
      <c r="B38" s="6" t="s">
        <v>1074</v>
      </c>
      <c r="C38">
        <v>4</v>
      </c>
      <c r="D38" s="8">
        <v>1</v>
      </c>
      <c r="E38">
        <v>10</v>
      </c>
      <c r="F38" t="s">
        <v>1020</v>
      </c>
      <c r="G38" t="s">
        <v>1081</v>
      </c>
      <c r="H38" s="8" t="s">
        <v>1071</v>
      </c>
      <c r="I38">
        <f t="shared" si="3"/>
        <v>40</v>
      </c>
      <c r="J38" s="8">
        <f t="shared" si="1"/>
        <v>18.143694800000002</v>
      </c>
      <c r="K38">
        <v>0.66200000000000003</v>
      </c>
      <c r="L38">
        <f t="shared" si="2"/>
        <v>12.011125957600003</v>
      </c>
    </row>
    <row r="39" spans="1:12" x14ac:dyDescent="0.2">
      <c r="A39" s="4">
        <v>43434</v>
      </c>
      <c r="B39" t="s">
        <v>538</v>
      </c>
      <c r="C39">
        <v>2</v>
      </c>
      <c r="D39">
        <v>6</v>
      </c>
      <c r="E39">
        <v>10</v>
      </c>
      <c r="F39" t="s">
        <v>565</v>
      </c>
      <c r="G39" t="s">
        <v>935</v>
      </c>
      <c r="H39" t="s">
        <v>1071</v>
      </c>
      <c r="I39">
        <f t="shared" si="3"/>
        <v>120</v>
      </c>
      <c r="J39">
        <f t="shared" si="1"/>
        <v>54.431084400000003</v>
      </c>
      <c r="K39">
        <v>0.308</v>
      </c>
      <c r="L39">
        <f t="shared" si="2"/>
        <v>16.764773995200002</v>
      </c>
    </row>
    <row r="40" spans="1:12" x14ac:dyDescent="0.2">
      <c r="A40" s="4">
        <v>43434</v>
      </c>
      <c r="B40" t="s">
        <v>538</v>
      </c>
      <c r="C40">
        <v>3</v>
      </c>
      <c r="D40">
        <v>6</v>
      </c>
      <c r="E40">
        <v>10</v>
      </c>
      <c r="F40" t="s">
        <v>540</v>
      </c>
      <c r="G40" t="s">
        <v>897</v>
      </c>
      <c r="H40" t="s">
        <v>1071</v>
      </c>
      <c r="I40">
        <f t="shared" si="3"/>
        <v>180</v>
      </c>
      <c r="J40">
        <f t="shared" si="1"/>
        <v>81.646626600000005</v>
      </c>
      <c r="K40">
        <v>0.308</v>
      </c>
      <c r="L40">
        <f t="shared" si="2"/>
        <v>25.1471609928</v>
      </c>
    </row>
    <row r="41" spans="1:12" x14ac:dyDescent="0.2">
      <c r="A41" s="4">
        <v>43439</v>
      </c>
      <c r="B41" t="s">
        <v>538</v>
      </c>
      <c r="C41">
        <v>1</v>
      </c>
      <c r="D41">
        <v>6</v>
      </c>
      <c r="E41">
        <v>10</v>
      </c>
      <c r="F41" t="s">
        <v>440</v>
      </c>
      <c r="G41" t="s">
        <v>922</v>
      </c>
      <c r="H41" t="s">
        <v>1071</v>
      </c>
      <c r="I41">
        <f t="shared" si="3"/>
        <v>60</v>
      </c>
      <c r="J41">
        <f t="shared" si="1"/>
        <v>27.215542200000002</v>
      </c>
      <c r="K41">
        <v>0.308</v>
      </c>
      <c r="L41">
        <f t="shared" si="2"/>
        <v>8.3823869976000012</v>
      </c>
    </row>
    <row r="42" spans="1:12" x14ac:dyDescent="0.2">
      <c r="A42" s="4">
        <v>43439</v>
      </c>
      <c r="B42" t="s">
        <v>538</v>
      </c>
      <c r="C42">
        <v>1</v>
      </c>
      <c r="D42">
        <v>1</v>
      </c>
      <c r="E42">
        <v>20</v>
      </c>
      <c r="F42" t="s">
        <v>591</v>
      </c>
      <c r="G42" t="s">
        <v>920</v>
      </c>
      <c r="H42" t="s">
        <v>1071</v>
      </c>
      <c r="I42">
        <f t="shared" si="3"/>
        <v>20</v>
      </c>
      <c r="J42">
        <f t="shared" si="1"/>
        <v>9.0718474000000011</v>
      </c>
      <c r="K42">
        <v>0.308</v>
      </c>
      <c r="L42">
        <f t="shared" si="2"/>
        <v>2.7941289992000002</v>
      </c>
    </row>
    <row r="43" spans="1:12" x14ac:dyDescent="0.2">
      <c r="A43" s="4">
        <v>43344</v>
      </c>
      <c r="B43" s="6" t="s">
        <v>1074</v>
      </c>
      <c r="C43">
        <v>2</v>
      </c>
      <c r="D43" s="8">
        <v>1</v>
      </c>
      <c r="E43">
        <v>10</v>
      </c>
      <c r="F43" t="s">
        <v>113</v>
      </c>
      <c r="G43" t="s">
        <v>833</v>
      </c>
      <c r="H43" s="8" t="s">
        <v>1071</v>
      </c>
      <c r="I43">
        <f t="shared" si="3"/>
        <v>20</v>
      </c>
      <c r="J43" s="8">
        <f t="shared" si="1"/>
        <v>9.0718474000000011</v>
      </c>
      <c r="K43">
        <v>0.754</v>
      </c>
      <c r="L43">
        <f t="shared" si="2"/>
        <v>6.8401729396000013</v>
      </c>
    </row>
    <row r="44" spans="1:12" x14ac:dyDescent="0.2">
      <c r="A44" s="4">
        <v>43350</v>
      </c>
      <c r="B44" t="s">
        <v>9</v>
      </c>
      <c r="C44">
        <v>1</v>
      </c>
      <c r="D44">
        <v>1</v>
      </c>
      <c r="E44">
        <v>150</v>
      </c>
      <c r="F44" t="s">
        <v>11</v>
      </c>
      <c r="G44" t="s">
        <v>10</v>
      </c>
      <c r="H44" s="8" t="s">
        <v>1072</v>
      </c>
      <c r="I44">
        <f t="shared" si="3"/>
        <v>150</v>
      </c>
      <c r="J44" s="8">
        <f t="shared" si="1"/>
        <v>68.038855500000011</v>
      </c>
      <c r="K44">
        <v>32.845999999999997</v>
      </c>
      <c r="L44">
        <f t="shared" si="2"/>
        <v>2234.8042477530003</v>
      </c>
    </row>
    <row r="45" spans="1:12" x14ac:dyDescent="0.2">
      <c r="A45" s="4">
        <v>43350</v>
      </c>
      <c r="B45" t="s">
        <v>9</v>
      </c>
      <c r="C45">
        <v>1</v>
      </c>
      <c r="D45">
        <v>1</v>
      </c>
      <c r="E45">
        <v>120</v>
      </c>
      <c r="F45" t="s">
        <v>12</v>
      </c>
      <c r="G45" t="s">
        <v>10</v>
      </c>
      <c r="H45" s="8" t="s">
        <v>1072</v>
      </c>
      <c r="I45">
        <f t="shared" si="3"/>
        <v>120</v>
      </c>
      <c r="J45" s="8">
        <f t="shared" si="1"/>
        <v>54.431084400000003</v>
      </c>
      <c r="K45">
        <v>32.845999999999997</v>
      </c>
      <c r="L45">
        <f t="shared" si="2"/>
        <v>1787.8433982023998</v>
      </c>
    </row>
    <row r="46" spans="1:12" x14ac:dyDescent="0.2">
      <c r="A46" s="10">
        <v>43343</v>
      </c>
      <c r="B46" s="8" t="s">
        <v>30</v>
      </c>
      <c r="C46">
        <v>1</v>
      </c>
      <c r="D46">
        <v>1</v>
      </c>
      <c r="E46" s="9">
        <v>40</v>
      </c>
      <c r="F46" s="9" t="s">
        <v>33</v>
      </c>
      <c r="G46" s="9" t="s">
        <v>10</v>
      </c>
      <c r="H46" s="8" t="s">
        <v>1072</v>
      </c>
      <c r="I46">
        <f t="shared" si="3"/>
        <v>40</v>
      </c>
      <c r="J46" s="8">
        <f t="shared" si="1"/>
        <v>18.143694800000002</v>
      </c>
      <c r="K46">
        <v>32.845999999999997</v>
      </c>
      <c r="L46">
        <f t="shared" si="2"/>
        <v>595.94779940080002</v>
      </c>
    </row>
    <row r="47" spans="1:12" x14ac:dyDescent="0.2">
      <c r="A47" s="10">
        <v>43343</v>
      </c>
      <c r="B47" s="8" t="s">
        <v>30</v>
      </c>
      <c r="C47">
        <v>1</v>
      </c>
      <c r="D47">
        <v>1</v>
      </c>
      <c r="E47" s="9">
        <v>61.22</v>
      </c>
      <c r="F47" s="9" t="s">
        <v>34</v>
      </c>
      <c r="G47" s="9" t="s">
        <v>10</v>
      </c>
      <c r="H47" s="8" t="s">
        <v>1072</v>
      </c>
      <c r="I47">
        <f t="shared" si="3"/>
        <v>61.22</v>
      </c>
      <c r="J47" s="8">
        <f t="shared" si="1"/>
        <v>27.768924891400001</v>
      </c>
      <c r="K47">
        <v>32.845999999999997</v>
      </c>
      <c r="L47">
        <f t="shared" si="2"/>
        <v>912.09810698292438</v>
      </c>
    </row>
    <row r="48" spans="1:12" x14ac:dyDescent="0.2">
      <c r="A48" s="10">
        <v>43347</v>
      </c>
      <c r="B48" s="8" t="s">
        <v>30</v>
      </c>
      <c r="C48">
        <v>1</v>
      </c>
      <c r="D48">
        <v>1</v>
      </c>
      <c r="E48" s="9">
        <v>52</v>
      </c>
      <c r="F48" s="9" t="s">
        <v>34</v>
      </c>
      <c r="G48" s="9" t="s">
        <v>10</v>
      </c>
      <c r="H48" s="8" t="s">
        <v>1072</v>
      </c>
      <c r="I48">
        <f t="shared" si="3"/>
        <v>52</v>
      </c>
      <c r="J48" s="8">
        <f t="shared" si="1"/>
        <v>23.586803240000002</v>
      </c>
      <c r="K48">
        <v>32.845999999999997</v>
      </c>
      <c r="L48">
        <f t="shared" si="2"/>
        <v>774.73213922104003</v>
      </c>
    </row>
    <row r="49" spans="1:12" x14ac:dyDescent="0.2">
      <c r="A49" s="10">
        <v>43347</v>
      </c>
      <c r="B49" s="8" t="s">
        <v>30</v>
      </c>
      <c r="C49">
        <v>1</v>
      </c>
      <c r="D49">
        <v>1</v>
      </c>
      <c r="E49" s="9">
        <v>40</v>
      </c>
      <c r="F49" s="9" t="s">
        <v>37</v>
      </c>
      <c r="G49" s="9" t="s">
        <v>10</v>
      </c>
      <c r="H49" s="8" t="s">
        <v>1072</v>
      </c>
      <c r="I49">
        <f t="shared" si="3"/>
        <v>40</v>
      </c>
      <c r="J49" s="8">
        <f t="shared" si="1"/>
        <v>18.143694800000002</v>
      </c>
      <c r="K49">
        <v>32.845999999999997</v>
      </c>
      <c r="L49">
        <f t="shared" si="2"/>
        <v>595.94779940080002</v>
      </c>
    </row>
    <row r="50" spans="1:12" x14ac:dyDescent="0.2">
      <c r="A50" s="4">
        <v>43434</v>
      </c>
      <c r="B50" t="s">
        <v>525</v>
      </c>
      <c r="C50">
        <v>1</v>
      </c>
      <c r="D50">
        <v>1</v>
      </c>
      <c r="E50">
        <v>220.62</v>
      </c>
      <c r="F50" t="s">
        <v>397</v>
      </c>
      <c r="G50" t="s">
        <v>850</v>
      </c>
      <c r="H50" t="s">
        <v>1072</v>
      </c>
      <c r="I50">
        <f t="shared" si="3"/>
        <v>220.62</v>
      </c>
      <c r="J50">
        <f t="shared" si="1"/>
        <v>100.0715486694</v>
      </c>
      <c r="K50">
        <v>32.845999999999997</v>
      </c>
      <c r="L50">
        <f t="shared" si="2"/>
        <v>3286.9500875951121</v>
      </c>
    </row>
    <row r="51" spans="1:12" x14ac:dyDescent="0.2">
      <c r="A51" s="4">
        <v>43439</v>
      </c>
      <c r="B51" t="s">
        <v>525</v>
      </c>
      <c r="C51">
        <v>4</v>
      </c>
      <c r="D51">
        <v>1</v>
      </c>
      <c r="E51">
        <v>10</v>
      </c>
      <c r="F51" t="s">
        <v>588</v>
      </c>
      <c r="G51" t="s">
        <v>10</v>
      </c>
      <c r="H51" t="s">
        <v>1072</v>
      </c>
      <c r="I51">
        <f t="shared" si="3"/>
        <v>40</v>
      </c>
      <c r="J51">
        <f t="shared" si="1"/>
        <v>18.143694800000002</v>
      </c>
      <c r="K51">
        <v>32.845999999999997</v>
      </c>
      <c r="L51">
        <f t="shared" si="2"/>
        <v>595.94779940080002</v>
      </c>
    </row>
    <row r="52" spans="1:12" x14ac:dyDescent="0.2">
      <c r="A52" s="4">
        <v>43439</v>
      </c>
      <c r="B52" t="s">
        <v>525</v>
      </c>
      <c r="C52">
        <v>1</v>
      </c>
      <c r="D52">
        <v>1</v>
      </c>
      <c r="E52">
        <v>143.28</v>
      </c>
      <c r="F52" t="s">
        <v>397</v>
      </c>
      <c r="G52" t="s">
        <v>850</v>
      </c>
      <c r="H52" t="s">
        <v>1072</v>
      </c>
      <c r="I52">
        <f t="shared" si="3"/>
        <v>143.28</v>
      </c>
      <c r="J52">
        <f t="shared" si="1"/>
        <v>64.990714773600004</v>
      </c>
      <c r="K52">
        <v>32.845999999999997</v>
      </c>
      <c r="L52">
        <f t="shared" si="2"/>
        <v>2134.6850174536653</v>
      </c>
    </row>
    <row r="53" spans="1:12" x14ac:dyDescent="0.2">
      <c r="A53" s="4">
        <v>43434</v>
      </c>
      <c r="B53" t="s">
        <v>531</v>
      </c>
      <c r="C53">
        <v>4</v>
      </c>
      <c r="D53">
        <v>40</v>
      </c>
      <c r="E53">
        <f>4/16</f>
        <v>0.25</v>
      </c>
      <c r="F53" t="s">
        <v>536</v>
      </c>
      <c r="G53" s="6" t="s">
        <v>893</v>
      </c>
      <c r="H53" t="s">
        <v>1071</v>
      </c>
      <c r="I53">
        <f t="shared" si="3"/>
        <v>40</v>
      </c>
      <c r="J53">
        <f t="shared" si="1"/>
        <v>18.143694800000002</v>
      </c>
      <c r="K53">
        <v>3.5270000000000001</v>
      </c>
      <c r="L53">
        <f t="shared" si="2"/>
        <v>63.992811559600007</v>
      </c>
    </row>
    <row r="54" spans="1:12" x14ac:dyDescent="0.2">
      <c r="A54" s="4">
        <v>43434</v>
      </c>
      <c r="B54" t="s">
        <v>531</v>
      </c>
      <c r="C54">
        <v>2</v>
      </c>
      <c r="D54">
        <v>2</v>
      </c>
      <c r="E54">
        <v>5</v>
      </c>
      <c r="F54" t="s">
        <v>535</v>
      </c>
      <c r="G54" s="14" t="s">
        <v>1087</v>
      </c>
      <c r="H54" s="6" t="s">
        <v>1071</v>
      </c>
      <c r="I54">
        <f t="shared" si="3"/>
        <v>20</v>
      </c>
      <c r="J54">
        <f t="shared" si="1"/>
        <v>9.0718474000000011</v>
      </c>
      <c r="K54">
        <v>0</v>
      </c>
      <c r="L54">
        <f t="shared" si="2"/>
        <v>0</v>
      </c>
    </row>
    <row r="55" spans="1:12" x14ac:dyDescent="0.2">
      <c r="A55" s="4">
        <v>43434</v>
      </c>
      <c r="B55" t="s">
        <v>531</v>
      </c>
      <c r="C55">
        <v>2</v>
      </c>
      <c r="D55">
        <v>210</v>
      </c>
      <c r="E55" t="s">
        <v>1017</v>
      </c>
      <c r="F55" t="s">
        <v>409</v>
      </c>
      <c r="G55" s="14" t="s">
        <v>1086</v>
      </c>
      <c r="H55" s="9" t="s">
        <v>1071</v>
      </c>
      <c r="I55">
        <v>0</v>
      </c>
      <c r="J55">
        <f t="shared" si="1"/>
        <v>0</v>
      </c>
      <c r="K55">
        <v>2.2999999999999998</v>
      </c>
      <c r="L55">
        <f t="shared" si="2"/>
        <v>0</v>
      </c>
    </row>
    <row r="56" spans="1:12" x14ac:dyDescent="0.2">
      <c r="A56" s="4">
        <v>43434</v>
      </c>
      <c r="B56" t="s">
        <v>531</v>
      </c>
      <c r="C56">
        <v>4</v>
      </c>
      <c r="D56">
        <v>48</v>
      </c>
      <c r="E56">
        <v>0.18124999999999999</v>
      </c>
      <c r="F56" t="s">
        <v>417</v>
      </c>
      <c r="G56" s="6" t="s">
        <v>895</v>
      </c>
      <c r="H56" t="s">
        <v>1071</v>
      </c>
      <c r="I56">
        <f t="shared" ref="I56:I87" si="4">C56*D56*E56</f>
        <v>34.799999999999997</v>
      </c>
      <c r="J56">
        <f t="shared" si="1"/>
        <v>15.785014475999999</v>
      </c>
      <c r="K56">
        <v>6.87</v>
      </c>
      <c r="L56">
        <f t="shared" si="2"/>
        <v>108.44304945012</v>
      </c>
    </row>
    <row r="57" spans="1:12" x14ac:dyDescent="0.2">
      <c r="A57" s="4">
        <v>43343</v>
      </c>
      <c r="B57" s="6" t="s">
        <v>1074</v>
      </c>
      <c r="C57">
        <v>1</v>
      </c>
      <c r="D57" s="8">
        <v>1</v>
      </c>
      <c r="E57" s="6">
        <v>6</v>
      </c>
      <c r="F57" t="s">
        <v>84</v>
      </c>
      <c r="G57" t="s">
        <v>84</v>
      </c>
      <c r="H57" s="8" t="s">
        <v>1071</v>
      </c>
      <c r="I57">
        <f t="shared" si="4"/>
        <v>6</v>
      </c>
      <c r="J57" s="8">
        <f t="shared" si="1"/>
        <v>2.7215542200000002</v>
      </c>
      <c r="K57">
        <v>0.59899999999999998</v>
      </c>
      <c r="L57">
        <f t="shared" si="2"/>
        <v>1.63021097778</v>
      </c>
    </row>
    <row r="58" spans="1:12" x14ac:dyDescent="0.2">
      <c r="A58" s="4">
        <v>43344</v>
      </c>
      <c r="B58" s="6" t="s">
        <v>1074</v>
      </c>
      <c r="C58">
        <v>6</v>
      </c>
      <c r="D58" s="8">
        <v>1</v>
      </c>
      <c r="E58">
        <v>6</v>
      </c>
      <c r="F58" s="6" t="s">
        <v>117</v>
      </c>
      <c r="G58" s="6" t="s">
        <v>84</v>
      </c>
      <c r="H58" s="8" t="s">
        <v>1071</v>
      </c>
      <c r="I58">
        <f t="shared" si="4"/>
        <v>36</v>
      </c>
      <c r="J58" s="8">
        <f t="shared" si="1"/>
        <v>16.329325319999999</v>
      </c>
      <c r="K58">
        <v>0.59899999999999998</v>
      </c>
      <c r="L58">
        <f t="shared" si="2"/>
        <v>9.7812658666799983</v>
      </c>
    </row>
    <row r="59" spans="1:12" x14ac:dyDescent="0.2">
      <c r="A59" s="4">
        <v>43346</v>
      </c>
      <c r="B59" s="6" t="s">
        <v>1074</v>
      </c>
      <c r="C59">
        <v>5</v>
      </c>
      <c r="D59" s="8">
        <v>1</v>
      </c>
      <c r="E59">
        <v>6</v>
      </c>
      <c r="F59" t="s">
        <v>117</v>
      </c>
      <c r="G59" t="s">
        <v>84</v>
      </c>
      <c r="H59" s="8" t="s">
        <v>1071</v>
      </c>
      <c r="I59">
        <f t="shared" si="4"/>
        <v>30</v>
      </c>
      <c r="J59" s="8">
        <f t="shared" si="1"/>
        <v>13.607771100000001</v>
      </c>
      <c r="K59">
        <v>0.59899999999999998</v>
      </c>
      <c r="L59">
        <f t="shared" si="2"/>
        <v>8.151054888900001</v>
      </c>
    </row>
    <row r="60" spans="1:12" x14ac:dyDescent="0.2">
      <c r="A60" s="4">
        <v>43347</v>
      </c>
      <c r="B60" s="6" t="s">
        <v>1074</v>
      </c>
      <c r="C60">
        <v>5</v>
      </c>
      <c r="D60" s="8">
        <v>1</v>
      </c>
      <c r="E60">
        <v>6</v>
      </c>
      <c r="F60" t="s">
        <v>117</v>
      </c>
      <c r="G60" t="s">
        <v>84</v>
      </c>
      <c r="H60" s="8" t="s">
        <v>1071</v>
      </c>
      <c r="I60">
        <f t="shared" si="4"/>
        <v>30</v>
      </c>
      <c r="J60" s="8">
        <f t="shared" si="1"/>
        <v>13.607771100000001</v>
      </c>
      <c r="K60">
        <v>0.59899999999999998</v>
      </c>
      <c r="L60">
        <f t="shared" si="2"/>
        <v>8.151054888900001</v>
      </c>
    </row>
    <row r="61" spans="1:12" x14ac:dyDescent="0.2">
      <c r="A61" s="4">
        <v>43343</v>
      </c>
      <c r="B61" s="6" t="s">
        <v>1074</v>
      </c>
      <c r="C61">
        <v>1</v>
      </c>
      <c r="D61" s="8">
        <v>1</v>
      </c>
      <c r="E61" s="6">
        <v>6</v>
      </c>
      <c r="F61" t="s">
        <v>85</v>
      </c>
      <c r="G61" t="s">
        <v>85</v>
      </c>
      <c r="H61" s="8" t="s">
        <v>1071</v>
      </c>
      <c r="I61">
        <f t="shared" si="4"/>
        <v>6</v>
      </c>
      <c r="J61" s="8">
        <f t="shared" si="1"/>
        <v>2.7215542200000002</v>
      </c>
      <c r="K61">
        <v>0.59899999999999998</v>
      </c>
      <c r="L61">
        <f t="shared" si="2"/>
        <v>1.63021097778</v>
      </c>
    </row>
    <row r="62" spans="1:12" x14ac:dyDescent="0.2">
      <c r="A62" s="4">
        <v>43344</v>
      </c>
      <c r="B62" s="6" t="s">
        <v>1074</v>
      </c>
      <c r="C62">
        <v>6</v>
      </c>
      <c r="D62" s="8">
        <v>1</v>
      </c>
      <c r="E62">
        <v>6</v>
      </c>
      <c r="F62" s="6" t="s">
        <v>118</v>
      </c>
      <c r="G62" s="6" t="s">
        <v>85</v>
      </c>
      <c r="H62" s="8" t="s">
        <v>1071</v>
      </c>
      <c r="I62">
        <f t="shared" si="4"/>
        <v>36</v>
      </c>
      <c r="J62" s="8">
        <f t="shared" si="1"/>
        <v>16.329325319999999</v>
      </c>
      <c r="K62">
        <v>0.59899999999999998</v>
      </c>
      <c r="L62">
        <f t="shared" si="2"/>
        <v>9.7812658666799983</v>
      </c>
    </row>
    <row r="63" spans="1:12" x14ac:dyDescent="0.2">
      <c r="A63" s="4">
        <v>43346</v>
      </c>
      <c r="B63" s="6" t="s">
        <v>1074</v>
      </c>
      <c r="C63">
        <v>5</v>
      </c>
      <c r="D63" s="8">
        <v>1</v>
      </c>
      <c r="E63">
        <v>6</v>
      </c>
      <c r="F63" t="s">
        <v>118</v>
      </c>
      <c r="G63" t="s">
        <v>85</v>
      </c>
      <c r="H63" s="8" t="s">
        <v>1071</v>
      </c>
      <c r="I63">
        <f t="shared" si="4"/>
        <v>30</v>
      </c>
      <c r="J63" s="8">
        <f t="shared" si="1"/>
        <v>13.607771100000001</v>
      </c>
      <c r="K63">
        <v>0.59899999999999998</v>
      </c>
      <c r="L63">
        <f t="shared" si="2"/>
        <v>8.151054888900001</v>
      </c>
    </row>
    <row r="64" spans="1:12" x14ac:dyDescent="0.2">
      <c r="A64" s="4">
        <v>43347</v>
      </c>
      <c r="B64" s="6" t="s">
        <v>1074</v>
      </c>
      <c r="C64">
        <v>5</v>
      </c>
      <c r="D64" s="8">
        <v>1</v>
      </c>
      <c r="E64">
        <v>6</v>
      </c>
      <c r="F64" t="s">
        <v>118</v>
      </c>
      <c r="G64" t="s">
        <v>85</v>
      </c>
      <c r="H64" s="8" t="s">
        <v>1071</v>
      </c>
      <c r="I64">
        <f t="shared" si="4"/>
        <v>30</v>
      </c>
      <c r="J64" s="8">
        <f t="shared" si="1"/>
        <v>13.607771100000001</v>
      </c>
      <c r="K64">
        <v>0.59899999999999998</v>
      </c>
      <c r="L64">
        <f t="shared" si="2"/>
        <v>8.151054888900001</v>
      </c>
    </row>
    <row r="65" spans="1:12" x14ac:dyDescent="0.2">
      <c r="A65" s="4">
        <v>43434</v>
      </c>
      <c r="B65" t="s">
        <v>538</v>
      </c>
      <c r="C65">
        <v>1</v>
      </c>
      <c r="D65">
        <v>1</v>
      </c>
      <c r="E65">
        <v>25</v>
      </c>
      <c r="F65" t="s">
        <v>551</v>
      </c>
      <c r="G65" s="6" t="s">
        <v>868</v>
      </c>
      <c r="H65" t="s">
        <v>1071</v>
      </c>
      <c r="I65">
        <f t="shared" si="4"/>
        <v>25</v>
      </c>
      <c r="J65">
        <f t="shared" si="1"/>
        <v>11.33980925</v>
      </c>
      <c r="K65">
        <v>1.28</v>
      </c>
      <c r="L65">
        <f t="shared" si="2"/>
        <v>14.514955840000001</v>
      </c>
    </row>
    <row r="66" spans="1:12" x14ac:dyDescent="0.2">
      <c r="A66" s="4">
        <v>43439</v>
      </c>
      <c r="B66" t="s">
        <v>531</v>
      </c>
      <c r="C66">
        <v>1</v>
      </c>
      <c r="D66">
        <v>10</v>
      </c>
      <c r="E66">
        <v>1</v>
      </c>
      <c r="F66" t="s">
        <v>410</v>
      </c>
      <c r="G66" s="6" t="s">
        <v>868</v>
      </c>
      <c r="H66" t="s">
        <v>1071</v>
      </c>
      <c r="I66">
        <f t="shared" si="4"/>
        <v>10</v>
      </c>
      <c r="J66">
        <f t="shared" si="1"/>
        <v>4.5359237000000006</v>
      </c>
      <c r="K66">
        <v>1.28</v>
      </c>
      <c r="L66">
        <f t="shared" si="2"/>
        <v>5.8059823360000005</v>
      </c>
    </row>
    <row r="67" spans="1:12" x14ac:dyDescent="0.2">
      <c r="A67" s="4">
        <v>43344</v>
      </c>
      <c r="B67" s="6" t="s">
        <v>1074</v>
      </c>
      <c r="C67">
        <v>8</v>
      </c>
      <c r="D67" s="8">
        <v>1</v>
      </c>
      <c r="E67">
        <v>12</v>
      </c>
      <c r="F67" t="s">
        <v>119</v>
      </c>
      <c r="G67" t="s">
        <v>204</v>
      </c>
      <c r="H67" s="8" t="s">
        <v>1071</v>
      </c>
      <c r="I67">
        <f t="shared" si="4"/>
        <v>96</v>
      </c>
      <c r="J67" s="8">
        <f t="shared" ref="J67:J130" si="5">CONVERT(I67,"lbm","kg")</f>
        <v>43.544867520000004</v>
      </c>
      <c r="K67">
        <v>0.79700000000000004</v>
      </c>
      <c r="L67">
        <f t="shared" ref="L67:L130" si="6">J67*K67</f>
        <v>34.705259413440004</v>
      </c>
    </row>
    <row r="68" spans="1:12" x14ac:dyDescent="0.2">
      <c r="A68" s="4">
        <v>43347</v>
      </c>
      <c r="B68" s="6" t="s">
        <v>1074</v>
      </c>
      <c r="C68">
        <v>6</v>
      </c>
      <c r="D68" s="8">
        <v>1</v>
      </c>
      <c r="E68">
        <v>12</v>
      </c>
      <c r="F68" t="s">
        <v>119</v>
      </c>
      <c r="G68" t="s">
        <v>204</v>
      </c>
      <c r="H68" s="8" t="s">
        <v>1071</v>
      </c>
      <c r="I68">
        <f t="shared" si="4"/>
        <v>72</v>
      </c>
      <c r="J68" s="8">
        <f t="shared" si="5"/>
        <v>32.658650639999998</v>
      </c>
      <c r="K68">
        <v>0.79700000000000004</v>
      </c>
      <c r="L68">
        <f t="shared" si="6"/>
        <v>26.028944560079999</v>
      </c>
    </row>
    <row r="69" spans="1:12" x14ac:dyDescent="0.2">
      <c r="A69" s="4">
        <v>43347</v>
      </c>
      <c r="B69" s="6" t="s">
        <v>1074</v>
      </c>
      <c r="C69">
        <v>8</v>
      </c>
      <c r="D69" s="8">
        <v>1</v>
      </c>
      <c r="E69" s="9">
        <v>12</v>
      </c>
      <c r="F69" t="s">
        <v>119</v>
      </c>
      <c r="G69" t="s">
        <v>204</v>
      </c>
      <c r="H69" s="8" t="s">
        <v>1071</v>
      </c>
      <c r="I69">
        <f t="shared" si="4"/>
        <v>96</v>
      </c>
      <c r="J69" s="8">
        <f t="shared" si="5"/>
        <v>43.544867520000004</v>
      </c>
      <c r="K69">
        <v>0.79700000000000004</v>
      </c>
      <c r="L69">
        <f t="shared" si="6"/>
        <v>34.705259413440004</v>
      </c>
    </row>
    <row r="70" spans="1:12" x14ac:dyDescent="0.2">
      <c r="A70" s="4">
        <v>43343</v>
      </c>
      <c r="B70" s="6" t="s">
        <v>1074</v>
      </c>
      <c r="C70">
        <v>1</v>
      </c>
      <c r="D70" s="8">
        <v>1</v>
      </c>
      <c r="E70" s="6">
        <f>4*12</f>
        <v>48</v>
      </c>
      <c r="F70" t="s">
        <v>86</v>
      </c>
      <c r="G70" t="s">
        <v>86</v>
      </c>
      <c r="H70" s="8" t="s">
        <v>1071</v>
      </c>
      <c r="I70">
        <f t="shared" si="4"/>
        <v>48</v>
      </c>
      <c r="J70" s="8">
        <f t="shared" si="5"/>
        <v>21.772433760000002</v>
      </c>
      <c r="K70">
        <v>0.79700000000000004</v>
      </c>
      <c r="L70">
        <f t="shared" si="6"/>
        <v>17.352629706720002</v>
      </c>
    </row>
    <row r="71" spans="1:12" x14ac:dyDescent="0.2">
      <c r="A71" s="4">
        <v>43348</v>
      </c>
      <c r="B71" s="6" t="s">
        <v>1074</v>
      </c>
      <c r="C71">
        <v>2</v>
      </c>
      <c r="D71" s="8">
        <v>1</v>
      </c>
      <c r="E71">
        <v>12</v>
      </c>
      <c r="F71" t="s">
        <v>86</v>
      </c>
      <c r="G71" t="s">
        <v>86</v>
      </c>
      <c r="H71" s="8" t="s">
        <v>1071</v>
      </c>
      <c r="I71">
        <f t="shared" si="4"/>
        <v>24</v>
      </c>
      <c r="J71" s="8">
        <f t="shared" si="5"/>
        <v>10.886216880000001</v>
      </c>
      <c r="K71">
        <v>0.79700000000000004</v>
      </c>
      <c r="L71">
        <f t="shared" si="6"/>
        <v>8.676314853360001</v>
      </c>
    </row>
    <row r="72" spans="1:12" x14ac:dyDescent="0.2">
      <c r="A72" s="4">
        <v>43349</v>
      </c>
      <c r="B72" s="6" t="s">
        <v>1074</v>
      </c>
      <c r="C72">
        <v>8</v>
      </c>
      <c r="D72" s="8">
        <v>1</v>
      </c>
      <c r="E72">
        <v>12</v>
      </c>
      <c r="F72" t="s">
        <v>86</v>
      </c>
      <c r="G72" t="s">
        <v>86</v>
      </c>
      <c r="H72" s="8" t="s">
        <v>1071</v>
      </c>
      <c r="I72">
        <f t="shared" si="4"/>
        <v>96</v>
      </c>
      <c r="J72" s="8">
        <f t="shared" si="5"/>
        <v>43.544867520000004</v>
      </c>
      <c r="K72">
        <v>0.79700000000000004</v>
      </c>
      <c r="L72">
        <f t="shared" si="6"/>
        <v>34.705259413440004</v>
      </c>
    </row>
    <row r="73" spans="1:12" x14ac:dyDescent="0.2">
      <c r="A73" s="4">
        <v>43343</v>
      </c>
      <c r="B73" s="6" t="s">
        <v>1074</v>
      </c>
      <c r="C73">
        <v>1</v>
      </c>
      <c r="D73" s="8">
        <v>1</v>
      </c>
      <c r="E73">
        <f>5*2</f>
        <v>10</v>
      </c>
      <c r="F73" t="s">
        <v>64</v>
      </c>
      <c r="G73" t="s">
        <v>760</v>
      </c>
      <c r="H73" s="8" t="s">
        <v>1071</v>
      </c>
      <c r="I73">
        <f t="shared" si="4"/>
        <v>10</v>
      </c>
      <c r="J73" s="8">
        <f t="shared" si="5"/>
        <v>4.5359237000000006</v>
      </c>
      <c r="K73">
        <v>0.49</v>
      </c>
      <c r="L73">
        <f t="shared" si="6"/>
        <v>2.2226026130000003</v>
      </c>
    </row>
    <row r="74" spans="1:12" x14ac:dyDescent="0.2">
      <c r="A74" s="4">
        <v>43347</v>
      </c>
      <c r="B74" s="6" t="s">
        <v>1074</v>
      </c>
      <c r="C74">
        <v>2</v>
      </c>
      <c r="D74" s="8">
        <v>1</v>
      </c>
      <c r="E74">
        <v>20</v>
      </c>
      <c r="F74" t="s">
        <v>1033</v>
      </c>
      <c r="G74" t="s">
        <v>64</v>
      </c>
      <c r="H74" s="8" t="s">
        <v>1071</v>
      </c>
      <c r="I74">
        <f t="shared" si="4"/>
        <v>40</v>
      </c>
      <c r="J74" s="8">
        <f t="shared" si="5"/>
        <v>18.143694800000002</v>
      </c>
      <c r="K74">
        <v>0.49</v>
      </c>
      <c r="L74">
        <f t="shared" si="6"/>
        <v>8.8904104520000011</v>
      </c>
    </row>
    <row r="75" spans="1:12" x14ac:dyDescent="0.2">
      <c r="A75" s="4">
        <v>43349</v>
      </c>
      <c r="B75" s="6" t="s">
        <v>1074</v>
      </c>
      <c r="C75" s="8">
        <v>2</v>
      </c>
      <c r="D75" s="8">
        <v>1</v>
      </c>
      <c r="E75" s="8">
        <v>20</v>
      </c>
      <c r="F75" s="8" t="s">
        <v>64</v>
      </c>
      <c r="G75" s="8" t="s">
        <v>64</v>
      </c>
      <c r="H75" s="8" t="s">
        <v>1071</v>
      </c>
      <c r="I75">
        <f t="shared" si="4"/>
        <v>40</v>
      </c>
      <c r="J75" s="8">
        <f t="shared" si="5"/>
        <v>18.143694800000002</v>
      </c>
      <c r="K75">
        <v>0.49</v>
      </c>
      <c r="L75">
        <f t="shared" si="6"/>
        <v>8.8904104520000011</v>
      </c>
    </row>
    <row r="76" spans="1:12" x14ac:dyDescent="0.2">
      <c r="A76" s="4">
        <v>43439</v>
      </c>
      <c r="B76" t="s">
        <v>531</v>
      </c>
      <c r="C76">
        <v>2</v>
      </c>
      <c r="D76">
        <v>12</v>
      </c>
      <c r="E76">
        <f>6*(3.5/16)</f>
        <v>1.3125</v>
      </c>
      <c r="F76" t="s">
        <v>589</v>
      </c>
      <c r="G76" s="6" t="s">
        <v>880</v>
      </c>
      <c r="H76" t="s">
        <v>1071</v>
      </c>
      <c r="I76">
        <f t="shared" si="4"/>
        <v>31.5</v>
      </c>
      <c r="J76">
        <f t="shared" si="5"/>
        <v>14.288159655000001</v>
      </c>
      <c r="K76">
        <v>1.28</v>
      </c>
      <c r="L76">
        <f t="shared" si="6"/>
        <v>18.288844358400002</v>
      </c>
    </row>
    <row r="77" spans="1:12" x14ac:dyDescent="0.2">
      <c r="A77" s="4">
        <v>43434</v>
      </c>
      <c r="B77" t="s">
        <v>517</v>
      </c>
      <c r="C77">
        <v>2</v>
      </c>
      <c r="D77">
        <v>36</v>
      </c>
      <c r="E77">
        <v>1</v>
      </c>
      <c r="F77" t="s">
        <v>382</v>
      </c>
      <c r="G77" t="s">
        <v>845</v>
      </c>
      <c r="H77" t="s">
        <v>1073</v>
      </c>
      <c r="I77">
        <f t="shared" si="4"/>
        <v>72</v>
      </c>
      <c r="J77">
        <f t="shared" si="5"/>
        <v>32.658650639999998</v>
      </c>
      <c r="K77">
        <v>11.52</v>
      </c>
      <c r="L77">
        <f t="shared" si="6"/>
        <v>376.22765537279997</v>
      </c>
    </row>
    <row r="78" spans="1:12" x14ac:dyDescent="0.2">
      <c r="A78" s="4">
        <v>43347</v>
      </c>
      <c r="B78" t="s">
        <v>22</v>
      </c>
      <c r="C78">
        <v>1</v>
      </c>
      <c r="D78">
        <v>1</v>
      </c>
      <c r="E78">
        <v>90</v>
      </c>
      <c r="F78" s="9" t="s">
        <v>23</v>
      </c>
      <c r="G78" s="9" t="s">
        <v>753</v>
      </c>
      <c r="H78" s="8" t="s">
        <v>1071</v>
      </c>
      <c r="I78">
        <f t="shared" si="4"/>
        <v>90</v>
      </c>
      <c r="J78" s="8">
        <f t="shared" si="5"/>
        <v>40.823313300000002</v>
      </c>
      <c r="K78">
        <v>0.219</v>
      </c>
      <c r="L78">
        <f t="shared" si="6"/>
        <v>8.9403056127000013</v>
      </c>
    </row>
    <row r="79" spans="1:12" x14ac:dyDescent="0.2">
      <c r="A79" s="4">
        <v>43343</v>
      </c>
      <c r="B79" t="s">
        <v>22</v>
      </c>
      <c r="C79">
        <v>1</v>
      </c>
      <c r="D79">
        <v>1</v>
      </c>
      <c r="E79">
        <v>90</v>
      </c>
      <c r="F79" s="9" t="s">
        <v>23</v>
      </c>
      <c r="G79" s="9" t="s">
        <v>753</v>
      </c>
      <c r="H79" s="8" t="s">
        <v>1071</v>
      </c>
      <c r="I79">
        <f t="shared" si="4"/>
        <v>90</v>
      </c>
      <c r="J79" s="8">
        <f t="shared" si="5"/>
        <v>40.823313300000002</v>
      </c>
      <c r="K79">
        <v>0.219</v>
      </c>
      <c r="L79">
        <f t="shared" si="6"/>
        <v>8.9403056127000013</v>
      </c>
    </row>
    <row r="80" spans="1:12" x14ac:dyDescent="0.2">
      <c r="A80" s="4">
        <v>43347</v>
      </c>
      <c r="B80" t="s">
        <v>22</v>
      </c>
      <c r="C80">
        <v>1</v>
      </c>
      <c r="D80">
        <v>1</v>
      </c>
      <c r="E80">
        <v>90</v>
      </c>
      <c r="F80" s="9" t="s">
        <v>23</v>
      </c>
      <c r="G80" s="9" t="s">
        <v>753</v>
      </c>
      <c r="H80" s="8" t="s">
        <v>1071</v>
      </c>
      <c r="I80">
        <f t="shared" si="4"/>
        <v>90</v>
      </c>
      <c r="J80" s="8">
        <f t="shared" si="5"/>
        <v>40.823313300000002</v>
      </c>
      <c r="K80">
        <v>0.219</v>
      </c>
      <c r="L80">
        <f t="shared" si="6"/>
        <v>8.9403056127000013</v>
      </c>
    </row>
    <row r="81" spans="1:12" x14ac:dyDescent="0.2">
      <c r="A81" s="4">
        <v>43434</v>
      </c>
      <c r="B81" t="s">
        <v>538</v>
      </c>
      <c r="C81">
        <v>4</v>
      </c>
      <c r="D81">
        <v>1</v>
      </c>
      <c r="E81">
        <v>35</v>
      </c>
      <c r="F81" t="s">
        <v>441</v>
      </c>
      <c r="G81" t="s">
        <v>905</v>
      </c>
      <c r="H81" t="s">
        <v>1071</v>
      </c>
      <c r="I81">
        <f t="shared" si="4"/>
        <v>140</v>
      </c>
      <c r="J81">
        <f t="shared" si="5"/>
        <v>63.502931800000006</v>
      </c>
      <c r="K81">
        <v>2.6459999999999999</v>
      </c>
      <c r="L81">
        <f t="shared" si="6"/>
        <v>168.02875754280001</v>
      </c>
    </row>
    <row r="82" spans="1:12" x14ac:dyDescent="0.2">
      <c r="A82" s="4">
        <v>43343</v>
      </c>
      <c r="B82" s="6" t="s">
        <v>1074</v>
      </c>
      <c r="C82">
        <v>1</v>
      </c>
      <c r="D82" s="8">
        <v>1</v>
      </c>
      <c r="E82">
        <f>9*3*10</f>
        <v>270</v>
      </c>
      <c r="F82" t="s">
        <v>102</v>
      </c>
      <c r="G82" t="s">
        <v>102</v>
      </c>
      <c r="H82" s="8" t="s">
        <v>1071</v>
      </c>
      <c r="I82">
        <f t="shared" si="4"/>
        <v>270</v>
      </c>
      <c r="J82" s="8">
        <f t="shared" si="5"/>
        <v>122.4699399</v>
      </c>
      <c r="K82">
        <v>0.49</v>
      </c>
      <c r="L82">
        <f t="shared" si="6"/>
        <v>60.010270550999998</v>
      </c>
    </row>
    <row r="83" spans="1:12" x14ac:dyDescent="0.2">
      <c r="A83" s="4">
        <v>43347</v>
      </c>
      <c r="B83" s="6" t="s">
        <v>1074</v>
      </c>
      <c r="C83">
        <v>6</v>
      </c>
      <c r="D83" s="8">
        <v>1</v>
      </c>
      <c r="E83">
        <f>9*3</f>
        <v>27</v>
      </c>
      <c r="F83" t="s">
        <v>1082</v>
      </c>
      <c r="G83" t="s">
        <v>102</v>
      </c>
      <c r="H83" s="8" t="s">
        <v>1071</v>
      </c>
      <c r="I83">
        <f t="shared" si="4"/>
        <v>162</v>
      </c>
      <c r="J83" s="8">
        <f t="shared" si="5"/>
        <v>73.48196394</v>
      </c>
      <c r="K83">
        <v>0.49</v>
      </c>
      <c r="L83">
        <f t="shared" si="6"/>
        <v>36.006162330599999</v>
      </c>
    </row>
    <row r="84" spans="1:12" x14ac:dyDescent="0.2">
      <c r="A84" s="4">
        <v>43347</v>
      </c>
      <c r="B84" s="6" t="s">
        <v>1074</v>
      </c>
      <c r="C84">
        <v>5</v>
      </c>
      <c r="D84" s="8">
        <v>1</v>
      </c>
      <c r="E84">
        <f>9*3</f>
        <v>27</v>
      </c>
      <c r="F84" t="s">
        <v>1082</v>
      </c>
      <c r="G84" t="s">
        <v>102</v>
      </c>
      <c r="H84" s="8" t="s">
        <v>1071</v>
      </c>
      <c r="I84">
        <f t="shared" si="4"/>
        <v>135</v>
      </c>
      <c r="J84" s="8">
        <f t="shared" si="5"/>
        <v>61.23496995</v>
      </c>
      <c r="K84">
        <v>0.49</v>
      </c>
      <c r="L84">
        <f t="shared" si="6"/>
        <v>30.005135275499999</v>
      </c>
    </row>
    <row r="85" spans="1:12" x14ac:dyDescent="0.2">
      <c r="A85" s="4">
        <v>43348</v>
      </c>
      <c r="B85" s="6" t="s">
        <v>1074</v>
      </c>
      <c r="C85">
        <v>2</v>
      </c>
      <c r="D85" s="8">
        <v>1</v>
      </c>
      <c r="E85">
        <f>9*3</f>
        <v>27</v>
      </c>
      <c r="F85" t="s">
        <v>102</v>
      </c>
      <c r="G85" t="s">
        <v>102</v>
      </c>
      <c r="H85" s="8" t="s">
        <v>1071</v>
      </c>
      <c r="I85">
        <f t="shared" si="4"/>
        <v>54</v>
      </c>
      <c r="J85" s="8">
        <f t="shared" si="5"/>
        <v>24.493987980000004</v>
      </c>
      <c r="K85">
        <v>0.49</v>
      </c>
      <c r="L85">
        <f t="shared" si="6"/>
        <v>12.002054110200001</v>
      </c>
    </row>
    <row r="86" spans="1:12" x14ac:dyDescent="0.2">
      <c r="A86" s="4">
        <v>43349</v>
      </c>
      <c r="B86" s="6" t="s">
        <v>1074</v>
      </c>
      <c r="C86">
        <v>6</v>
      </c>
      <c r="D86" s="8">
        <v>1</v>
      </c>
      <c r="E86">
        <v>27</v>
      </c>
      <c r="F86" t="s">
        <v>102</v>
      </c>
      <c r="G86" t="s">
        <v>102</v>
      </c>
      <c r="H86" s="8" t="s">
        <v>1071</v>
      </c>
      <c r="I86">
        <f t="shared" si="4"/>
        <v>162</v>
      </c>
      <c r="J86" s="8">
        <f t="shared" si="5"/>
        <v>73.48196394</v>
      </c>
      <c r="K86">
        <v>0.49</v>
      </c>
      <c r="L86">
        <f t="shared" si="6"/>
        <v>36.006162330599999</v>
      </c>
    </row>
    <row r="87" spans="1:12" x14ac:dyDescent="0.2">
      <c r="A87" s="4">
        <v>43343</v>
      </c>
      <c r="B87" s="6" t="s">
        <v>1074</v>
      </c>
      <c r="C87">
        <v>1</v>
      </c>
      <c r="D87" s="8">
        <v>1</v>
      </c>
      <c r="E87">
        <f>50</f>
        <v>50</v>
      </c>
      <c r="F87" t="s">
        <v>87</v>
      </c>
      <c r="G87" t="s">
        <v>87</v>
      </c>
      <c r="H87" s="8" t="s">
        <v>1071</v>
      </c>
      <c r="I87">
        <f t="shared" si="4"/>
        <v>50</v>
      </c>
      <c r="J87" s="8">
        <f t="shared" si="5"/>
        <v>22.6796185</v>
      </c>
      <c r="K87">
        <v>9.1999999999999998E-2</v>
      </c>
      <c r="L87">
        <f t="shared" si="6"/>
        <v>2.0865249019999998</v>
      </c>
    </row>
    <row r="88" spans="1:12" x14ac:dyDescent="0.2">
      <c r="A88" s="4">
        <v>43344</v>
      </c>
      <c r="B88" s="6" t="s">
        <v>1074</v>
      </c>
      <c r="C88">
        <v>2</v>
      </c>
      <c r="D88" s="8">
        <v>1</v>
      </c>
      <c r="E88">
        <v>20</v>
      </c>
      <c r="F88" t="s">
        <v>1024</v>
      </c>
      <c r="G88" t="s">
        <v>87</v>
      </c>
      <c r="H88" s="8" t="s">
        <v>1071</v>
      </c>
      <c r="I88">
        <f t="shared" ref="I88:I119" si="7">C88*D88*E88</f>
        <v>40</v>
      </c>
      <c r="J88" s="8">
        <f t="shared" si="5"/>
        <v>18.143694800000002</v>
      </c>
      <c r="K88">
        <v>9.1999999999999998E-2</v>
      </c>
      <c r="L88">
        <f t="shared" si="6"/>
        <v>1.6692199216000001</v>
      </c>
    </row>
    <row r="89" spans="1:12" x14ac:dyDescent="0.2">
      <c r="A89" s="4">
        <v>43348</v>
      </c>
      <c r="B89" s="6" t="s">
        <v>1074</v>
      </c>
      <c r="C89">
        <v>2</v>
      </c>
      <c r="D89" s="8">
        <v>1</v>
      </c>
      <c r="E89">
        <v>50</v>
      </c>
      <c r="F89" t="s">
        <v>87</v>
      </c>
      <c r="G89" t="s">
        <v>87</v>
      </c>
      <c r="H89" s="8" t="s">
        <v>1071</v>
      </c>
      <c r="I89">
        <f t="shared" si="7"/>
        <v>100</v>
      </c>
      <c r="J89" s="8">
        <f t="shared" si="5"/>
        <v>45.359237</v>
      </c>
      <c r="K89">
        <v>9.1999999999999998E-2</v>
      </c>
      <c r="L89">
        <f t="shared" si="6"/>
        <v>4.1730498039999997</v>
      </c>
    </row>
    <row r="90" spans="1:12" x14ac:dyDescent="0.2">
      <c r="A90" s="4">
        <v>43348</v>
      </c>
      <c r="B90" s="6" t="s">
        <v>1074</v>
      </c>
      <c r="C90">
        <v>1</v>
      </c>
      <c r="D90" s="8">
        <v>1</v>
      </c>
      <c r="E90">
        <v>20</v>
      </c>
      <c r="F90" t="s">
        <v>87</v>
      </c>
      <c r="G90" t="s">
        <v>87</v>
      </c>
      <c r="H90" s="8" t="s">
        <v>1071</v>
      </c>
      <c r="I90">
        <f t="shared" si="7"/>
        <v>20</v>
      </c>
      <c r="J90" s="8">
        <f t="shared" si="5"/>
        <v>9.0718474000000011</v>
      </c>
      <c r="K90">
        <v>9.1999999999999998E-2</v>
      </c>
      <c r="L90">
        <f t="shared" si="6"/>
        <v>0.83460996080000005</v>
      </c>
    </row>
    <row r="91" spans="1:12" x14ac:dyDescent="0.2">
      <c r="A91" s="4">
        <v>43349</v>
      </c>
      <c r="B91" s="6" t="s">
        <v>1074</v>
      </c>
      <c r="C91">
        <v>2</v>
      </c>
      <c r="D91" s="8">
        <v>1</v>
      </c>
      <c r="E91">
        <v>20</v>
      </c>
      <c r="F91" t="s">
        <v>87</v>
      </c>
      <c r="G91" t="s">
        <v>87</v>
      </c>
      <c r="H91" s="8" t="s">
        <v>1071</v>
      </c>
      <c r="I91">
        <f t="shared" si="7"/>
        <v>40</v>
      </c>
      <c r="J91" s="8">
        <f t="shared" si="5"/>
        <v>18.143694800000002</v>
      </c>
      <c r="K91">
        <v>9.1999999999999998E-2</v>
      </c>
      <c r="L91">
        <f t="shared" si="6"/>
        <v>1.6692199216000001</v>
      </c>
    </row>
    <row r="92" spans="1:12" x14ac:dyDescent="0.2">
      <c r="A92" s="4">
        <v>43347</v>
      </c>
      <c r="B92" s="6" t="s">
        <v>1074</v>
      </c>
      <c r="C92">
        <v>2</v>
      </c>
      <c r="D92" s="8">
        <v>1</v>
      </c>
      <c r="E92">
        <v>20</v>
      </c>
      <c r="F92" t="s">
        <v>1034</v>
      </c>
      <c r="G92" t="s">
        <v>87</v>
      </c>
      <c r="H92" s="8" t="s">
        <v>1071</v>
      </c>
      <c r="I92">
        <f t="shared" si="7"/>
        <v>40</v>
      </c>
      <c r="J92" s="8">
        <f t="shared" si="5"/>
        <v>18.143694800000002</v>
      </c>
      <c r="K92">
        <v>9.1999999999999998E-2</v>
      </c>
      <c r="L92">
        <f t="shared" si="6"/>
        <v>1.6692199216000001</v>
      </c>
    </row>
    <row r="93" spans="1:12" x14ac:dyDescent="0.2">
      <c r="A93" s="4">
        <v>43343</v>
      </c>
      <c r="B93" s="6" t="s">
        <v>1074</v>
      </c>
      <c r="C93">
        <v>1</v>
      </c>
      <c r="D93" s="8">
        <v>1</v>
      </c>
      <c r="E93">
        <f>5*2</f>
        <v>10</v>
      </c>
      <c r="F93" t="s">
        <v>65</v>
      </c>
      <c r="G93" t="s">
        <v>761</v>
      </c>
      <c r="H93" s="8" t="s">
        <v>1071</v>
      </c>
      <c r="I93">
        <f t="shared" si="7"/>
        <v>10</v>
      </c>
      <c r="J93" s="8">
        <f t="shared" si="5"/>
        <v>4.5359237000000006</v>
      </c>
      <c r="K93">
        <v>9.1999999999999998E-2</v>
      </c>
      <c r="L93">
        <f t="shared" si="6"/>
        <v>0.41730498040000003</v>
      </c>
    </row>
    <row r="94" spans="1:12" x14ac:dyDescent="0.2">
      <c r="A94" s="4">
        <v>43343</v>
      </c>
      <c r="B94" s="6" t="s">
        <v>1074</v>
      </c>
      <c r="C94">
        <v>1</v>
      </c>
      <c r="D94" s="8">
        <v>1</v>
      </c>
      <c r="E94">
        <f>4*5</f>
        <v>20</v>
      </c>
      <c r="F94" t="s">
        <v>66</v>
      </c>
      <c r="G94" t="s">
        <v>220</v>
      </c>
      <c r="H94" s="8" t="s">
        <v>1071</v>
      </c>
      <c r="I94">
        <f t="shared" si="7"/>
        <v>20</v>
      </c>
      <c r="J94" s="8">
        <f t="shared" si="5"/>
        <v>9.0718474000000011</v>
      </c>
      <c r="K94">
        <v>0.93400000000000005</v>
      </c>
      <c r="L94">
        <f t="shared" si="6"/>
        <v>8.473105471600002</v>
      </c>
    </row>
    <row r="95" spans="1:12" x14ac:dyDescent="0.2">
      <c r="A95" s="4">
        <v>43344</v>
      </c>
      <c r="B95" s="6" t="s">
        <v>1074</v>
      </c>
      <c r="C95">
        <v>3</v>
      </c>
      <c r="D95" s="8">
        <v>1</v>
      </c>
      <c r="E95">
        <f>12*1.3</f>
        <v>15.600000000000001</v>
      </c>
      <c r="F95" t="s">
        <v>131</v>
      </c>
      <c r="G95" t="s">
        <v>220</v>
      </c>
      <c r="H95" s="8" t="s">
        <v>1071</v>
      </c>
      <c r="I95">
        <f t="shared" si="7"/>
        <v>46.800000000000004</v>
      </c>
      <c r="J95" s="8">
        <f t="shared" si="5"/>
        <v>21.228122916000004</v>
      </c>
      <c r="K95">
        <v>0.93400000000000005</v>
      </c>
      <c r="L95">
        <f t="shared" si="6"/>
        <v>19.827066803544003</v>
      </c>
    </row>
    <row r="96" spans="1:12" x14ac:dyDescent="0.2">
      <c r="A96" s="4">
        <v>43347</v>
      </c>
      <c r="B96" s="6" t="s">
        <v>1074</v>
      </c>
      <c r="C96">
        <v>4</v>
      </c>
      <c r="D96" s="8">
        <v>1</v>
      </c>
      <c r="E96">
        <v>12</v>
      </c>
      <c r="F96" t="s">
        <v>131</v>
      </c>
      <c r="G96" t="s">
        <v>220</v>
      </c>
      <c r="H96" s="8" t="s">
        <v>1071</v>
      </c>
      <c r="I96">
        <f t="shared" si="7"/>
        <v>48</v>
      </c>
      <c r="J96" s="8">
        <f t="shared" si="5"/>
        <v>21.772433760000002</v>
      </c>
      <c r="K96">
        <v>0.93400000000000005</v>
      </c>
      <c r="L96">
        <f t="shared" si="6"/>
        <v>20.335453131840001</v>
      </c>
    </row>
    <row r="97" spans="1:12" x14ac:dyDescent="0.2">
      <c r="A97" s="4">
        <v>43347</v>
      </c>
      <c r="B97" s="6" t="s">
        <v>1074</v>
      </c>
      <c r="C97">
        <v>2</v>
      </c>
      <c r="D97" s="8">
        <v>1</v>
      </c>
      <c r="E97">
        <v>12</v>
      </c>
      <c r="F97" t="s">
        <v>131</v>
      </c>
      <c r="G97" t="s">
        <v>220</v>
      </c>
      <c r="H97" s="8" t="s">
        <v>1071</v>
      </c>
      <c r="I97">
        <f t="shared" si="7"/>
        <v>24</v>
      </c>
      <c r="J97" s="8">
        <f t="shared" si="5"/>
        <v>10.886216880000001</v>
      </c>
      <c r="K97">
        <v>0.93400000000000005</v>
      </c>
      <c r="L97">
        <f t="shared" si="6"/>
        <v>10.167726565920001</v>
      </c>
    </row>
    <row r="98" spans="1:12" x14ac:dyDescent="0.2">
      <c r="A98" s="4">
        <v>43348</v>
      </c>
      <c r="B98" s="6" t="s">
        <v>1074</v>
      </c>
      <c r="C98">
        <v>1</v>
      </c>
      <c r="D98" s="8">
        <v>1</v>
      </c>
      <c r="E98">
        <v>36</v>
      </c>
      <c r="F98" t="s">
        <v>163</v>
      </c>
      <c r="G98" t="s">
        <v>163</v>
      </c>
      <c r="H98" s="8" t="s">
        <v>1071</v>
      </c>
      <c r="I98">
        <f t="shared" si="7"/>
        <v>36</v>
      </c>
      <c r="J98" s="8">
        <f t="shared" si="5"/>
        <v>16.329325319999999</v>
      </c>
      <c r="K98">
        <v>0.33100000000000002</v>
      </c>
      <c r="L98">
        <f t="shared" si="6"/>
        <v>5.4050066809199997</v>
      </c>
    </row>
    <row r="99" spans="1:12" x14ac:dyDescent="0.2">
      <c r="A99" s="4">
        <v>43434</v>
      </c>
      <c r="B99" t="s">
        <v>538</v>
      </c>
      <c r="C99">
        <v>2</v>
      </c>
      <c r="D99">
        <v>4</v>
      </c>
      <c r="E99">
        <v>30.3125</v>
      </c>
      <c r="F99" t="s">
        <v>470</v>
      </c>
      <c r="G99" s="6" t="s">
        <v>861</v>
      </c>
      <c r="H99" t="s">
        <v>1071</v>
      </c>
      <c r="I99">
        <f t="shared" si="7"/>
        <v>242.5</v>
      </c>
      <c r="J99">
        <f t="shared" si="5"/>
        <v>109.99614972500001</v>
      </c>
      <c r="K99">
        <v>1.61</v>
      </c>
      <c r="L99">
        <f t="shared" si="6"/>
        <v>177.09380105725003</v>
      </c>
    </row>
    <row r="100" spans="1:12" x14ac:dyDescent="0.2">
      <c r="A100" s="4">
        <v>43434</v>
      </c>
      <c r="B100" t="s">
        <v>538</v>
      </c>
      <c r="C100">
        <v>2</v>
      </c>
      <c r="D100">
        <v>4</v>
      </c>
      <c r="E100">
        <v>40.3125</v>
      </c>
      <c r="F100" t="s">
        <v>548</v>
      </c>
      <c r="G100" s="6" t="s">
        <v>861</v>
      </c>
      <c r="H100" t="s">
        <v>1071</v>
      </c>
      <c r="I100">
        <f t="shared" si="7"/>
        <v>322.5</v>
      </c>
      <c r="J100">
        <f t="shared" si="5"/>
        <v>146.28353932500002</v>
      </c>
      <c r="K100">
        <v>1.61</v>
      </c>
      <c r="L100">
        <f t="shared" si="6"/>
        <v>235.51649831325005</v>
      </c>
    </row>
    <row r="101" spans="1:12" x14ac:dyDescent="0.2">
      <c r="A101" s="4">
        <v>43437</v>
      </c>
      <c r="B101" t="s">
        <v>538</v>
      </c>
      <c r="C101">
        <v>1</v>
      </c>
      <c r="D101">
        <v>4</v>
      </c>
      <c r="E101">
        <v>1.8125</v>
      </c>
      <c r="F101" t="s">
        <v>575</v>
      </c>
      <c r="G101" s="6" t="s">
        <v>861</v>
      </c>
      <c r="H101" t="s">
        <v>1071</v>
      </c>
      <c r="I101">
        <f t="shared" si="7"/>
        <v>7.25</v>
      </c>
      <c r="J101">
        <f t="shared" si="5"/>
        <v>3.2885446825</v>
      </c>
      <c r="K101">
        <v>1.61</v>
      </c>
      <c r="L101">
        <f t="shared" si="6"/>
        <v>5.294556938825</v>
      </c>
    </row>
    <row r="102" spans="1:12" x14ac:dyDescent="0.2">
      <c r="A102" s="4">
        <v>43437</v>
      </c>
      <c r="B102" t="s">
        <v>538</v>
      </c>
      <c r="C102">
        <v>1</v>
      </c>
      <c r="D102">
        <v>4</v>
      </c>
      <c r="E102">
        <v>2.5</v>
      </c>
      <c r="F102" t="s">
        <v>436</v>
      </c>
      <c r="G102" s="6" t="s">
        <v>861</v>
      </c>
      <c r="H102" t="s">
        <v>1071</v>
      </c>
      <c r="I102">
        <f t="shared" si="7"/>
        <v>10</v>
      </c>
      <c r="J102">
        <f t="shared" si="5"/>
        <v>4.5359237000000006</v>
      </c>
      <c r="K102">
        <v>1.61</v>
      </c>
      <c r="L102">
        <f t="shared" si="6"/>
        <v>7.3028371570000017</v>
      </c>
    </row>
    <row r="103" spans="1:12" x14ac:dyDescent="0.2">
      <c r="A103" s="4">
        <v>43437</v>
      </c>
      <c r="B103" t="s">
        <v>538</v>
      </c>
      <c r="C103">
        <v>2</v>
      </c>
      <c r="D103">
        <v>4</v>
      </c>
      <c r="E103">
        <v>30.3125</v>
      </c>
      <c r="F103" t="s">
        <v>470</v>
      </c>
      <c r="G103" s="6" t="s">
        <v>861</v>
      </c>
      <c r="H103" t="s">
        <v>1071</v>
      </c>
      <c r="I103">
        <f t="shared" si="7"/>
        <v>242.5</v>
      </c>
      <c r="J103">
        <f t="shared" si="5"/>
        <v>109.99614972500001</v>
      </c>
      <c r="K103">
        <v>1.61</v>
      </c>
      <c r="L103">
        <f t="shared" si="6"/>
        <v>177.09380105725003</v>
      </c>
    </row>
    <row r="104" spans="1:12" x14ac:dyDescent="0.2">
      <c r="A104" s="4">
        <v>43437</v>
      </c>
      <c r="B104" t="s">
        <v>538</v>
      </c>
      <c r="C104">
        <v>2</v>
      </c>
      <c r="D104">
        <v>4</v>
      </c>
      <c r="E104">
        <v>30.3125</v>
      </c>
      <c r="F104" t="s">
        <v>580</v>
      </c>
      <c r="G104" s="6" t="s">
        <v>861</v>
      </c>
      <c r="H104" t="s">
        <v>1071</v>
      </c>
      <c r="I104">
        <f t="shared" si="7"/>
        <v>242.5</v>
      </c>
      <c r="J104">
        <f t="shared" si="5"/>
        <v>109.99614972500001</v>
      </c>
      <c r="K104">
        <v>1.61</v>
      </c>
      <c r="L104">
        <f t="shared" si="6"/>
        <v>177.09380105725003</v>
      </c>
    </row>
    <row r="105" spans="1:12" x14ac:dyDescent="0.2">
      <c r="A105" s="4">
        <v>43437</v>
      </c>
      <c r="B105" t="s">
        <v>538</v>
      </c>
      <c r="C105">
        <v>1</v>
      </c>
      <c r="D105">
        <v>4</v>
      </c>
      <c r="E105">
        <v>3.125</v>
      </c>
      <c r="F105" t="s">
        <v>453</v>
      </c>
      <c r="G105" s="6" t="s">
        <v>861</v>
      </c>
      <c r="H105" t="s">
        <v>1071</v>
      </c>
      <c r="I105">
        <f t="shared" si="7"/>
        <v>12.5</v>
      </c>
      <c r="J105">
        <f t="shared" si="5"/>
        <v>5.669904625</v>
      </c>
      <c r="K105">
        <v>1.61</v>
      </c>
      <c r="L105">
        <f t="shared" si="6"/>
        <v>9.1285464462500006</v>
      </c>
    </row>
    <row r="106" spans="1:12" x14ac:dyDescent="0.2">
      <c r="A106" s="4">
        <v>43439</v>
      </c>
      <c r="B106" t="s">
        <v>538</v>
      </c>
      <c r="C106">
        <v>1</v>
      </c>
      <c r="D106">
        <v>4</v>
      </c>
      <c r="E106">
        <v>1.8125</v>
      </c>
      <c r="F106" t="s">
        <v>575</v>
      </c>
      <c r="G106" s="6" t="s">
        <v>861</v>
      </c>
      <c r="H106" t="s">
        <v>1071</v>
      </c>
      <c r="I106">
        <f t="shared" si="7"/>
        <v>7.25</v>
      </c>
      <c r="J106">
        <f t="shared" si="5"/>
        <v>3.2885446825</v>
      </c>
      <c r="K106">
        <v>1.61</v>
      </c>
      <c r="L106">
        <f t="shared" si="6"/>
        <v>5.294556938825</v>
      </c>
    </row>
    <row r="107" spans="1:12" x14ac:dyDescent="0.2">
      <c r="A107" s="4">
        <v>43439</v>
      </c>
      <c r="B107" t="s">
        <v>538</v>
      </c>
      <c r="C107">
        <v>3</v>
      </c>
      <c r="D107">
        <v>4</v>
      </c>
      <c r="E107">
        <v>2.5</v>
      </c>
      <c r="F107" t="s">
        <v>436</v>
      </c>
      <c r="G107" s="6" t="s">
        <v>861</v>
      </c>
      <c r="H107" t="s">
        <v>1071</v>
      </c>
      <c r="I107">
        <f t="shared" si="7"/>
        <v>30</v>
      </c>
      <c r="J107">
        <f t="shared" si="5"/>
        <v>13.607771100000001</v>
      </c>
      <c r="K107">
        <v>1.61</v>
      </c>
      <c r="L107">
        <f t="shared" si="6"/>
        <v>21.908511471000004</v>
      </c>
    </row>
    <row r="108" spans="1:12" x14ac:dyDescent="0.2">
      <c r="A108" s="4">
        <v>43439</v>
      </c>
      <c r="B108" t="s">
        <v>538</v>
      </c>
      <c r="C108">
        <v>3</v>
      </c>
      <c r="D108">
        <v>4</v>
      </c>
      <c r="E108">
        <v>30.3125</v>
      </c>
      <c r="F108" t="s">
        <v>470</v>
      </c>
      <c r="G108" s="6" t="s">
        <v>861</v>
      </c>
      <c r="H108" t="s">
        <v>1071</v>
      </c>
      <c r="I108">
        <f t="shared" si="7"/>
        <v>363.75</v>
      </c>
      <c r="J108">
        <f t="shared" si="5"/>
        <v>164.99422458750001</v>
      </c>
      <c r="K108">
        <v>1.61</v>
      </c>
      <c r="L108">
        <f t="shared" si="6"/>
        <v>265.64070158587504</v>
      </c>
    </row>
    <row r="109" spans="1:12" x14ac:dyDescent="0.2">
      <c r="A109" s="4">
        <v>43439</v>
      </c>
      <c r="B109" t="s">
        <v>538</v>
      </c>
      <c r="C109">
        <v>1</v>
      </c>
      <c r="D109">
        <v>4</v>
      </c>
      <c r="E109">
        <v>30.3125</v>
      </c>
      <c r="F109" t="s">
        <v>580</v>
      </c>
      <c r="G109" s="6" t="s">
        <v>861</v>
      </c>
      <c r="H109" t="s">
        <v>1071</v>
      </c>
      <c r="I109">
        <f t="shared" si="7"/>
        <v>121.25</v>
      </c>
      <c r="J109">
        <f t="shared" si="5"/>
        <v>54.998074862500005</v>
      </c>
      <c r="K109">
        <v>1.61</v>
      </c>
      <c r="L109">
        <f t="shared" si="6"/>
        <v>88.546900528625017</v>
      </c>
    </row>
    <row r="110" spans="1:12" x14ac:dyDescent="0.2">
      <c r="A110" s="4">
        <v>43439</v>
      </c>
      <c r="B110" t="s">
        <v>538</v>
      </c>
      <c r="C110">
        <v>4</v>
      </c>
      <c r="D110">
        <v>4</v>
      </c>
      <c r="E110">
        <v>40.3125</v>
      </c>
      <c r="F110" t="s">
        <v>548</v>
      </c>
      <c r="G110" s="6" t="s">
        <v>861</v>
      </c>
      <c r="H110" t="s">
        <v>1071</v>
      </c>
      <c r="I110">
        <f t="shared" si="7"/>
        <v>645</v>
      </c>
      <c r="J110">
        <f t="shared" si="5"/>
        <v>292.56707865000004</v>
      </c>
      <c r="K110">
        <v>1.61</v>
      </c>
      <c r="L110">
        <f t="shared" si="6"/>
        <v>471.03299662650011</v>
      </c>
    </row>
    <row r="111" spans="1:12" x14ac:dyDescent="0.2">
      <c r="A111" s="4">
        <v>43439</v>
      </c>
      <c r="B111" t="s">
        <v>538</v>
      </c>
      <c r="C111">
        <v>1</v>
      </c>
      <c r="D111">
        <v>4</v>
      </c>
      <c r="E111">
        <v>3.125</v>
      </c>
      <c r="F111" t="s">
        <v>453</v>
      </c>
      <c r="G111" s="6" t="s">
        <v>861</v>
      </c>
      <c r="H111" t="s">
        <v>1071</v>
      </c>
      <c r="I111">
        <f t="shared" si="7"/>
        <v>12.5</v>
      </c>
      <c r="J111">
        <f t="shared" si="5"/>
        <v>5.669904625</v>
      </c>
      <c r="K111">
        <v>1.61</v>
      </c>
      <c r="L111">
        <f t="shared" si="6"/>
        <v>9.1285464462500006</v>
      </c>
    </row>
    <row r="112" spans="1:12" x14ac:dyDescent="0.2">
      <c r="A112" s="4">
        <v>43434</v>
      </c>
      <c r="B112" t="s">
        <v>538</v>
      </c>
      <c r="C112">
        <v>2</v>
      </c>
      <c r="D112">
        <v>4</v>
      </c>
      <c r="E112">
        <v>30.0625</v>
      </c>
      <c r="F112" t="s">
        <v>545</v>
      </c>
      <c r="G112" s="6" t="s">
        <v>901</v>
      </c>
      <c r="H112" t="s">
        <v>1071</v>
      </c>
      <c r="I112">
        <f t="shared" si="7"/>
        <v>240.5</v>
      </c>
      <c r="J112">
        <f t="shared" si="5"/>
        <v>109.088964985</v>
      </c>
      <c r="K112">
        <v>1.61</v>
      </c>
      <c r="L112">
        <f t="shared" si="6"/>
        <v>175.63323362585001</v>
      </c>
    </row>
    <row r="113" spans="1:12" x14ac:dyDescent="0.2">
      <c r="A113" s="4">
        <v>43434</v>
      </c>
      <c r="B113" t="s">
        <v>538</v>
      </c>
      <c r="C113">
        <v>2</v>
      </c>
      <c r="D113">
        <v>4</v>
      </c>
      <c r="E113">
        <v>2.5</v>
      </c>
      <c r="F113" t="s">
        <v>436</v>
      </c>
      <c r="G113" s="6" t="s">
        <v>903</v>
      </c>
      <c r="H113" t="s">
        <v>1071</v>
      </c>
      <c r="I113">
        <f t="shared" si="7"/>
        <v>20</v>
      </c>
      <c r="J113">
        <f t="shared" si="5"/>
        <v>9.0718474000000011</v>
      </c>
      <c r="K113">
        <v>1.61</v>
      </c>
      <c r="L113">
        <f t="shared" si="6"/>
        <v>14.605674314000003</v>
      </c>
    </row>
    <row r="114" spans="1:12" x14ac:dyDescent="0.2">
      <c r="A114" s="4">
        <v>43434</v>
      </c>
      <c r="B114" t="s">
        <v>538</v>
      </c>
      <c r="C114">
        <v>4</v>
      </c>
      <c r="D114">
        <v>4</v>
      </c>
      <c r="E114">
        <v>3.125</v>
      </c>
      <c r="F114" t="s">
        <v>453</v>
      </c>
      <c r="G114" s="6" t="s">
        <v>910</v>
      </c>
      <c r="H114" t="s">
        <v>1071</v>
      </c>
      <c r="I114">
        <f t="shared" si="7"/>
        <v>50</v>
      </c>
      <c r="J114">
        <f t="shared" si="5"/>
        <v>22.6796185</v>
      </c>
      <c r="K114">
        <v>1.61</v>
      </c>
      <c r="L114">
        <f t="shared" si="6"/>
        <v>36.514185785000002</v>
      </c>
    </row>
    <row r="115" spans="1:12" x14ac:dyDescent="0.2">
      <c r="A115" s="4">
        <v>43348</v>
      </c>
      <c r="B115" s="6" t="s">
        <v>1074</v>
      </c>
      <c r="C115">
        <v>3</v>
      </c>
      <c r="D115" s="8">
        <v>1</v>
      </c>
      <c r="E115">
        <v>30</v>
      </c>
      <c r="F115" t="s">
        <v>164</v>
      </c>
      <c r="G115" t="s">
        <v>773</v>
      </c>
      <c r="H115" s="8" t="s">
        <v>1073</v>
      </c>
      <c r="I115">
        <f t="shared" si="7"/>
        <v>90</v>
      </c>
      <c r="J115" s="8">
        <f t="shared" si="5"/>
        <v>40.823313300000002</v>
      </c>
      <c r="K115">
        <v>9.9740000000000002</v>
      </c>
      <c r="L115">
        <f t="shared" si="6"/>
        <v>407.17172685420002</v>
      </c>
    </row>
    <row r="116" spans="1:12" x14ac:dyDescent="0.2">
      <c r="A116" s="4">
        <v>43434</v>
      </c>
      <c r="B116" t="s">
        <v>517</v>
      </c>
      <c r="C116">
        <v>2</v>
      </c>
      <c r="D116">
        <v>6</v>
      </c>
      <c r="E116">
        <v>1</v>
      </c>
      <c r="F116" t="s">
        <v>519</v>
      </c>
      <c r="G116" t="s">
        <v>847</v>
      </c>
      <c r="H116" t="s">
        <v>1073</v>
      </c>
      <c r="I116">
        <f t="shared" si="7"/>
        <v>12</v>
      </c>
      <c r="J116">
        <f t="shared" si="5"/>
        <v>5.4431084400000005</v>
      </c>
      <c r="K116">
        <v>9.9740000000000002</v>
      </c>
      <c r="L116">
        <f t="shared" si="6"/>
        <v>54.289563580560007</v>
      </c>
    </row>
    <row r="117" spans="1:12" x14ac:dyDescent="0.2">
      <c r="A117" s="4">
        <v>43434</v>
      </c>
      <c r="B117" t="s">
        <v>517</v>
      </c>
      <c r="C117">
        <v>2</v>
      </c>
      <c r="D117">
        <v>6</v>
      </c>
      <c r="E117">
        <v>3</v>
      </c>
      <c r="F117" t="s">
        <v>387</v>
      </c>
      <c r="G117" t="s">
        <v>847</v>
      </c>
      <c r="H117" t="s">
        <v>1073</v>
      </c>
      <c r="I117">
        <f t="shared" si="7"/>
        <v>36</v>
      </c>
      <c r="J117">
        <f t="shared" si="5"/>
        <v>16.329325319999999</v>
      </c>
      <c r="K117">
        <v>9.9740000000000002</v>
      </c>
      <c r="L117">
        <f t="shared" si="6"/>
        <v>162.86869074167998</v>
      </c>
    </row>
    <row r="118" spans="1:12" x14ac:dyDescent="0.2">
      <c r="A118" s="4">
        <v>43434</v>
      </c>
      <c r="B118" t="s">
        <v>517</v>
      </c>
      <c r="C118">
        <v>2</v>
      </c>
      <c r="D118">
        <v>4</v>
      </c>
      <c r="E118">
        <v>5</v>
      </c>
      <c r="F118" t="s">
        <v>389</v>
      </c>
      <c r="G118" t="s">
        <v>847</v>
      </c>
      <c r="H118" t="s">
        <v>1073</v>
      </c>
      <c r="I118">
        <f t="shared" si="7"/>
        <v>40</v>
      </c>
      <c r="J118">
        <f t="shared" si="5"/>
        <v>18.143694800000002</v>
      </c>
      <c r="K118">
        <v>9.9740000000000002</v>
      </c>
      <c r="L118">
        <f t="shared" si="6"/>
        <v>180.96521193520002</v>
      </c>
    </row>
    <row r="119" spans="1:12" x14ac:dyDescent="0.2">
      <c r="A119" s="4">
        <v>43434</v>
      </c>
      <c r="B119" t="s">
        <v>517</v>
      </c>
      <c r="C119">
        <v>15</v>
      </c>
      <c r="D119">
        <v>4</v>
      </c>
      <c r="E119">
        <v>5</v>
      </c>
      <c r="F119" t="s">
        <v>521</v>
      </c>
      <c r="G119" t="s">
        <v>847</v>
      </c>
      <c r="H119" t="s">
        <v>1073</v>
      </c>
      <c r="I119">
        <f t="shared" si="7"/>
        <v>300</v>
      </c>
      <c r="J119">
        <f t="shared" si="5"/>
        <v>136.07771100000002</v>
      </c>
      <c r="K119">
        <v>9.9740000000000002</v>
      </c>
      <c r="L119">
        <f t="shared" si="6"/>
        <v>1357.2390895140002</v>
      </c>
    </row>
    <row r="120" spans="1:12" x14ac:dyDescent="0.2">
      <c r="A120" s="4">
        <v>43434</v>
      </c>
      <c r="B120" t="s">
        <v>517</v>
      </c>
      <c r="C120">
        <v>1</v>
      </c>
      <c r="D120">
        <v>4</v>
      </c>
      <c r="E120">
        <v>5</v>
      </c>
      <c r="F120" t="s">
        <v>390</v>
      </c>
      <c r="G120" t="s">
        <v>847</v>
      </c>
      <c r="H120" t="s">
        <v>1073</v>
      </c>
      <c r="I120">
        <f t="shared" ref="I120:I153" si="8">C120*D120*E120</f>
        <v>20</v>
      </c>
      <c r="J120">
        <f t="shared" si="5"/>
        <v>9.0718474000000011</v>
      </c>
      <c r="K120">
        <v>9.9740000000000002</v>
      </c>
      <c r="L120">
        <f t="shared" si="6"/>
        <v>90.482605967600009</v>
      </c>
    </row>
    <row r="121" spans="1:12" x14ac:dyDescent="0.2">
      <c r="A121" s="4">
        <v>43434</v>
      </c>
      <c r="B121" t="s">
        <v>517</v>
      </c>
      <c r="C121">
        <v>4</v>
      </c>
      <c r="D121">
        <v>4</v>
      </c>
      <c r="E121">
        <v>5</v>
      </c>
      <c r="F121" t="s">
        <v>391</v>
      </c>
      <c r="G121" t="s">
        <v>847</v>
      </c>
      <c r="H121" t="s">
        <v>1073</v>
      </c>
      <c r="I121">
        <f t="shared" si="8"/>
        <v>80</v>
      </c>
      <c r="J121">
        <f t="shared" si="5"/>
        <v>36.287389600000004</v>
      </c>
      <c r="K121">
        <v>9.9740000000000002</v>
      </c>
      <c r="L121">
        <f t="shared" si="6"/>
        <v>361.93042387040003</v>
      </c>
    </row>
    <row r="122" spans="1:12" x14ac:dyDescent="0.2">
      <c r="A122" s="4">
        <v>43434</v>
      </c>
      <c r="B122" t="s">
        <v>517</v>
      </c>
      <c r="C122">
        <v>3</v>
      </c>
      <c r="D122">
        <v>4</v>
      </c>
      <c r="E122">
        <v>5</v>
      </c>
      <c r="F122" t="s">
        <v>522</v>
      </c>
      <c r="G122" t="s">
        <v>847</v>
      </c>
      <c r="H122" t="s">
        <v>1073</v>
      </c>
      <c r="I122">
        <f t="shared" si="8"/>
        <v>60</v>
      </c>
      <c r="J122">
        <f t="shared" si="5"/>
        <v>27.215542200000002</v>
      </c>
      <c r="K122">
        <v>9.9740000000000002</v>
      </c>
      <c r="L122">
        <f t="shared" si="6"/>
        <v>271.44781790280001</v>
      </c>
    </row>
    <row r="123" spans="1:12" x14ac:dyDescent="0.2">
      <c r="A123" s="4">
        <v>43434</v>
      </c>
      <c r="B123" t="s">
        <v>517</v>
      </c>
      <c r="C123">
        <v>2</v>
      </c>
      <c r="D123">
        <v>4</v>
      </c>
      <c r="E123">
        <v>2.5</v>
      </c>
      <c r="F123" t="s">
        <v>1008</v>
      </c>
      <c r="G123" t="s">
        <v>847</v>
      </c>
      <c r="H123" t="s">
        <v>1073</v>
      </c>
      <c r="I123">
        <f t="shared" si="8"/>
        <v>20</v>
      </c>
      <c r="J123">
        <f t="shared" si="5"/>
        <v>9.0718474000000011</v>
      </c>
      <c r="K123">
        <v>9.9740000000000002</v>
      </c>
      <c r="L123">
        <f t="shared" si="6"/>
        <v>90.482605967600009</v>
      </c>
    </row>
    <row r="124" spans="1:12" x14ac:dyDescent="0.2">
      <c r="A124" s="4">
        <v>43434</v>
      </c>
      <c r="B124" t="s">
        <v>517</v>
      </c>
      <c r="C124">
        <v>2</v>
      </c>
      <c r="D124">
        <v>4</v>
      </c>
      <c r="E124">
        <v>2.5</v>
      </c>
      <c r="F124" t="s">
        <v>1009</v>
      </c>
      <c r="G124" t="s">
        <v>847</v>
      </c>
      <c r="H124" t="s">
        <v>1073</v>
      </c>
      <c r="I124">
        <f t="shared" si="8"/>
        <v>20</v>
      </c>
      <c r="J124">
        <f t="shared" si="5"/>
        <v>9.0718474000000011</v>
      </c>
      <c r="K124">
        <v>9.9740000000000002</v>
      </c>
      <c r="L124">
        <f t="shared" si="6"/>
        <v>90.482605967600009</v>
      </c>
    </row>
    <row r="125" spans="1:12" x14ac:dyDescent="0.2">
      <c r="A125" s="4">
        <v>43434</v>
      </c>
      <c r="B125" t="s">
        <v>517</v>
      </c>
      <c r="C125">
        <v>2</v>
      </c>
      <c r="D125">
        <v>8</v>
      </c>
      <c r="E125">
        <v>1.25</v>
      </c>
      <c r="F125" t="s">
        <v>1010</v>
      </c>
      <c r="G125" t="s">
        <v>847</v>
      </c>
      <c r="H125" t="s">
        <v>1073</v>
      </c>
      <c r="I125">
        <f t="shared" si="8"/>
        <v>20</v>
      </c>
      <c r="J125">
        <f t="shared" si="5"/>
        <v>9.0718474000000011</v>
      </c>
      <c r="K125">
        <v>9.9740000000000002</v>
      </c>
      <c r="L125">
        <f t="shared" si="6"/>
        <v>90.482605967600009</v>
      </c>
    </row>
    <row r="126" spans="1:12" x14ac:dyDescent="0.2">
      <c r="A126" s="4">
        <v>43434</v>
      </c>
      <c r="B126" t="s">
        <v>517</v>
      </c>
      <c r="C126">
        <v>2</v>
      </c>
      <c r="D126">
        <v>4</v>
      </c>
      <c r="E126">
        <v>2.5</v>
      </c>
      <c r="F126" t="s">
        <v>1011</v>
      </c>
      <c r="G126" t="s">
        <v>847</v>
      </c>
      <c r="H126" t="s">
        <v>1073</v>
      </c>
      <c r="I126">
        <f t="shared" si="8"/>
        <v>20</v>
      </c>
      <c r="J126">
        <f t="shared" si="5"/>
        <v>9.0718474000000011</v>
      </c>
      <c r="K126">
        <v>9.9740000000000002</v>
      </c>
      <c r="L126">
        <f t="shared" si="6"/>
        <v>90.482605967600009</v>
      </c>
    </row>
    <row r="127" spans="1:12" x14ac:dyDescent="0.2">
      <c r="A127" s="4">
        <v>43434</v>
      </c>
      <c r="B127" t="s">
        <v>517</v>
      </c>
      <c r="C127">
        <v>1</v>
      </c>
      <c r="D127">
        <v>2</v>
      </c>
      <c r="E127">
        <v>5</v>
      </c>
      <c r="F127" t="s">
        <v>393</v>
      </c>
      <c r="G127" t="s">
        <v>847</v>
      </c>
      <c r="H127" t="s">
        <v>1073</v>
      </c>
      <c r="I127">
        <f t="shared" si="8"/>
        <v>10</v>
      </c>
      <c r="J127">
        <f t="shared" si="5"/>
        <v>4.5359237000000006</v>
      </c>
      <c r="K127">
        <v>9.9740000000000002</v>
      </c>
      <c r="L127">
        <f t="shared" si="6"/>
        <v>45.241302983800004</v>
      </c>
    </row>
    <row r="128" spans="1:12" x14ac:dyDescent="0.2">
      <c r="A128" s="4">
        <v>43434</v>
      </c>
      <c r="B128" t="s">
        <v>517</v>
      </c>
      <c r="C128">
        <v>1</v>
      </c>
      <c r="D128">
        <v>6</v>
      </c>
      <c r="E128">
        <v>2</v>
      </c>
      <c r="F128" t="s">
        <v>523</v>
      </c>
      <c r="G128" t="s">
        <v>847</v>
      </c>
      <c r="H128" t="s">
        <v>1073</v>
      </c>
      <c r="I128">
        <f t="shared" si="8"/>
        <v>12</v>
      </c>
      <c r="J128">
        <f t="shared" si="5"/>
        <v>5.4431084400000005</v>
      </c>
      <c r="K128">
        <v>9.9740000000000002</v>
      </c>
      <c r="L128">
        <f t="shared" si="6"/>
        <v>54.289563580560007</v>
      </c>
    </row>
    <row r="129" spans="1:12" x14ac:dyDescent="0.2">
      <c r="A129" s="4">
        <v>43434</v>
      </c>
      <c r="B129" t="s">
        <v>517</v>
      </c>
      <c r="C129">
        <v>1</v>
      </c>
      <c r="D129">
        <v>6</v>
      </c>
      <c r="E129">
        <v>3</v>
      </c>
      <c r="F129" t="s">
        <v>394</v>
      </c>
      <c r="G129" t="s">
        <v>847</v>
      </c>
      <c r="H129" t="s">
        <v>1073</v>
      </c>
      <c r="I129">
        <f t="shared" si="8"/>
        <v>18</v>
      </c>
      <c r="J129">
        <f t="shared" si="5"/>
        <v>8.1646626599999994</v>
      </c>
      <c r="K129">
        <v>9.9740000000000002</v>
      </c>
      <c r="L129">
        <f t="shared" si="6"/>
        <v>81.434345370839992</v>
      </c>
    </row>
    <row r="130" spans="1:12" x14ac:dyDescent="0.2">
      <c r="A130" s="4">
        <v>43437</v>
      </c>
      <c r="B130" t="s">
        <v>517</v>
      </c>
      <c r="C130">
        <v>4</v>
      </c>
      <c r="D130">
        <v>4</v>
      </c>
      <c r="E130">
        <v>5</v>
      </c>
      <c r="F130" t="s">
        <v>391</v>
      </c>
      <c r="G130" t="s">
        <v>847</v>
      </c>
      <c r="H130" t="s">
        <v>1073</v>
      </c>
      <c r="I130">
        <f t="shared" si="8"/>
        <v>80</v>
      </c>
      <c r="J130">
        <f t="shared" si="5"/>
        <v>36.287389600000004</v>
      </c>
      <c r="K130">
        <v>9.9740000000000002</v>
      </c>
      <c r="L130">
        <f t="shared" si="6"/>
        <v>361.93042387040003</v>
      </c>
    </row>
    <row r="131" spans="1:12" x14ac:dyDescent="0.2">
      <c r="A131" s="4">
        <v>43437</v>
      </c>
      <c r="B131" t="s">
        <v>517</v>
      </c>
      <c r="C131">
        <v>6</v>
      </c>
      <c r="D131">
        <v>4</v>
      </c>
      <c r="E131">
        <v>5</v>
      </c>
      <c r="F131" t="s">
        <v>392</v>
      </c>
      <c r="G131" t="s">
        <v>847</v>
      </c>
      <c r="H131" t="s">
        <v>1073</v>
      </c>
      <c r="I131">
        <f t="shared" si="8"/>
        <v>120</v>
      </c>
      <c r="J131">
        <f t="shared" ref="J131:J194" si="9">CONVERT(I131,"lbm","kg")</f>
        <v>54.431084400000003</v>
      </c>
      <c r="K131">
        <v>9.9740000000000002</v>
      </c>
      <c r="L131">
        <f t="shared" ref="L131:L194" si="10">J131*K131</f>
        <v>542.89563580560002</v>
      </c>
    </row>
    <row r="132" spans="1:12" x14ac:dyDescent="0.2">
      <c r="A132" s="4">
        <v>43437</v>
      </c>
      <c r="B132" t="s">
        <v>517</v>
      </c>
      <c r="C132">
        <v>3</v>
      </c>
      <c r="D132">
        <v>2</v>
      </c>
      <c r="E132">
        <v>5</v>
      </c>
      <c r="F132" t="s">
        <v>393</v>
      </c>
      <c r="G132" t="s">
        <v>847</v>
      </c>
      <c r="H132" t="s">
        <v>1073</v>
      </c>
      <c r="I132">
        <f t="shared" si="8"/>
        <v>30</v>
      </c>
      <c r="J132">
        <f t="shared" si="9"/>
        <v>13.607771100000001</v>
      </c>
      <c r="K132">
        <v>9.9740000000000002</v>
      </c>
      <c r="L132">
        <f t="shared" si="10"/>
        <v>135.72390895140001</v>
      </c>
    </row>
    <row r="133" spans="1:12" x14ac:dyDescent="0.2">
      <c r="A133" s="4">
        <v>43439</v>
      </c>
      <c r="B133" t="s">
        <v>517</v>
      </c>
      <c r="C133">
        <v>1</v>
      </c>
      <c r="D133">
        <v>10</v>
      </c>
      <c r="E133">
        <v>3</v>
      </c>
      <c r="F133" t="s">
        <v>587</v>
      </c>
      <c r="G133" t="s">
        <v>847</v>
      </c>
      <c r="H133" t="s">
        <v>1073</v>
      </c>
      <c r="I133">
        <f t="shared" si="8"/>
        <v>30</v>
      </c>
      <c r="J133">
        <f t="shared" si="9"/>
        <v>13.607771100000001</v>
      </c>
      <c r="K133">
        <v>9.9740000000000002</v>
      </c>
      <c r="L133">
        <f t="shared" si="10"/>
        <v>135.72390895140001</v>
      </c>
    </row>
    <row r="134" spans="1:12" x14ac:dyDescent="0.2">
      <c r="A134" s="4">
        <v>43439</v>
      </c>
      <c r="B134" t="s">
        <v>517</v>
      </c>
      <c r="C134">
        <v>2</v>
      </c>
      <c r="D134">
        <v>4</v>
      </c>
      <c r="E134">
        <v>5</v>
      </c>
      <c r="F134" t="s">
        <v>390</v>
      </c>
      <c r="G134" t="s">
        <v>847</v>
      </c>
      <c r="H134" t="s">
        <v>1073</v>
      </c>
      <c r="I134">
        <f t="shared" si="8"/>
        <v>40</v>
      </c>
      <c r="J134">
        <f t="shared" si="9"/>
        <v>18.143694800000002</v>
      </c>
      <c r="K134">
        <v>9.9740000000000002</v>
      </c>
      <c r="L134">
        <f t="shared" si="10"/>
        <v>180.96521193520002</v>
      </c>
    </row>
    <row r="135" spans="1:12" x14ac:dyDescent="0.2">
      <c r="A135" s="4">
        <v>43439</v>
      </c>
      <c r="B135" t="s">
        <v>517</v>
      </c>
      <c r="C135">
        <v>2</v>
      </c>
      <c r="D135">
        <v>4</v>
      </c>
      <c r="E135">
        <v>5</v>
      </c>
      <c r="F135" t="s">
        <v>391</v>
      </c>
      <c r="G135" t="s">
        <v>847</v>
      </c>
      <c r="H135" t="s">
        <v>1073</v>
      </c>
      <c r="I135">
        <f t="shared" si="8"/>
        <v>40</v>
      </c>
      <c r="J135">
        <f t="shared" si="9"/>
        <v>18.143694800000002</v>
      </c>
      <c r="K135">
        <v>9.9740000000000002</v>
      </c>
      <c r="L135">
        <f t="shared" si="10"/>
        <v>180.96521193520002</v>
      </c>
    </row>
    <row r="136" spans="1:12" x14ac:dyDescent="0.2">
      <c r="A136" s="4">
        <v>43439</v>
      </c>
      <c r="B136" t="s">
        <v>517</v>
      </c>
      <c r="C136">
        <v>5</v>
      </c>
      <c r="D136">
        <v>4</v>
      </c>
      <c r="E136">
        <v>5</v>
      </c>
      <c r="F136" t="s">
        <v>392</v>
      </c>
      <c r="G136" t="s">
        <v>847</v>
      </c>
      <c r="H136" t="s">
        <v>1073</v>
      </c>
      <c r="I136">
        <f t="shared" si="8"/>
        <v>100</v>
      </c>
      <c r="J136">
        <f t="shared" si="9"/>
        <v>45.359237</v>
      </c>
      <c r="K136">
        <v>9.9740000000000002</v>
      </c>
      <c r="L136">
        <f t="shared" si="10"/>
        <v>452.413029838</v>
      </c>
    </row>
    <row r="137" spans="1:12" x14ac:dyDescent="0.2">
      <c r="A137" s="4">
        <v>43439</v>
      </c>
      <c r="B137" t="s">
        <v>517</v>
      </c>
      <c r="C137">
        <v>1</v>
      </c>
      <c r="D137">
        <v>4</v>
      </c>
      <c r="E137">
        <v>2.5</v>
      </c>
      <c r="F137" t="s">
        <v>1008</v>
      </c>
      <c r="G137" t="s">
        <v>847</v>
      </c>
      <c r="H137" t="s">
        <v>1073</v>
      </c>
      <c r="I137">
        <f t="shared" si="8"/>
        <v>10</v>
      </c>
      <c r="J137">
        <f t="shared" si="9"/>
        <v>4.5359237000000006</v>
      </c>
      <c r="K137">
        <v>9.9740000000000002</v>
      </c>
      <c r="L137">
        <f t="shared" si="10"/>
        <v>45.241302983800004</v>
      </c>
    </row>
    <row r="138" spans="1:12" x14ac:dyDescent="0.2">
      <c r="A138" s="4">
        <v>43439</v>
      </c>
      <c r="B138" t="s">
        <v>517</v>
      </c>
      <c r="C138">
        <v>1</v>
      </c>
      <c r="D138">
        <v>8</v>
      </c>
      <c r="E138">
        <v>1.25</v>
      </c>
      <c r="F138" t="s">
        <v>1010</v>
      </c>
      <c r="G138" t="s">
        <v>847</v>
      </c>
      <c r="H138" t="s">
        <v>1073</v>
      </c>
      <c r="I138">
        <f t="shared" si="8"/>
        <v>10</v>
      </c>
      <c r="J138">
        <f t="shared" si="9"/>
        <v>4.5359237000000006</v>
      </c>
      <c r="K138">
        <v>9.9740000000000002</v>
      </c>
      <c r="L138">
        <f t="shared" si="10"/>
        <v>45.241302983800004</v>
      </c>
    </row>
    <row r="139" spans="1:12" x14ac:dyDescent="0.2">
      <c r="A139" s="4">
        <v>43439</v>
      </c>
      <c r="B139" t="s">
        <v>517</v>
      </c>
      <c r="C139">
        <v>2</v>
      </c>
      <c r="D139">
        <v>4</v>
      </c>
      <c r="E139">
        <v>2.5</v>
      </c>
      <c r="F139" t="s">
        <v>1011</v>
      </c>
      <c r="G139" t="s">
        <v>847</v>
      </c>
      <c r="H139" t="s">
        <v>1073</v>
      </c>
      <c r="I139">
        <f t="shared" si="8"/>
        <v>20</v>
      </c>
      <c r="J139">
        <f t="shared" si="9"/>
        <v>9.0718474000000011</v>
      </c>
      <c r="K139">
        <v>9.9740000000000002</v>
      </c>
      <c r="L139">
        <f t="shared" si="10"/>
        <v>90.482605967600009</v>
      </c>
    </row>
    <row r="140" spans="1:12" x14ac:dyDescent="0.2">
      <c r="A140" s="10">
        <v>43343</v>
      </c>
      <c r="B140" s="8" t="s">
        <v>30</v>
      </c>
      <c r="C140">
        <v>1</v>
      </c>
      <c r="D140">
        <v>1</v>
      </c>
      <c r="E140" s="9">
        <v>80</v>
      </c>
      <c r="F140" s="9" t="s">
        <v>31</v>
      </c>
      <c r="G140" s="9" t="s">
        <v>755</v>
      </c>
      <c r="H140" s="8" t="s">
        <v>1072</v>
      </c>
      <c r="I140">
        <f t="shared" si="8"/>
        <v>80</v>
      </c>
      <c r="J140" s="8">
        <f t="shared" si="9"/>
        <v>36.287389600000004</v>
      </c>
      <c r="K140">
        <v>4.1879999999999997</v>
      </c>
      <c r="L140">
        <f t="shared" si="10"/>
        <v>151.9715876448</v>
      </c>
    </row>
    <row r="141" spans="1:12" x14ac:dyDescent="0.2">
      <c r="A141" s="10">
        <v>43347</v>
      </c>
      <c r="B141" s="8" t="s">
        <v>30</v>
      </c>
      <c r="C141">
        <v>1</v>
      </c>
      <c r="D141">
        <v>1</v>
      </c>
      <c r="E141" s="9">
        <v>40</v>
      </c>
      <c r="F141" s="9" t="s">
        <v>36</v>
      </c>
      <c r="G141" s="9" t="s">
        <v>755</v>
      </c>
      <c r="H141" s="8" t="s">
        <v>1072</v>
      </c>
      <c r="I141">
        <f t="shared" si="8"/>
        <v>40</v>
      </c>
      <c r="J141" s="8">
        <f t="shared" si="9"/>
        <v>18.143694800000002</v>
      </c>
      <c r="K141">
        <v>4.1879999999999997</v>
      </c>
      <c r="L141">
        <f t="shared" si="10"/>
        <v>75.985793822399998</v>
      </c>
    </row>
    <row r="142" spans="1:12" x14ac:dyDescent="0.2">
      <c r="A142" s="4">
        <v>43343</v>
      </c>
      <c r="B142" s="9" t="s">
        <v>50</v>
      </c>
      <c r="C142">
        <v>1</v>
      </c>
      <c r="D142" s="8">
        <v>1</v>
      </c>
      <c r="E142">
        <v>340</v>
      </c>
      <c r="F142" t="s">
        <v>51</v>
      </c>
      <c r="G142" t="s">
        <v>755</v>
      </c>
      <c r="H142" s="8" t="s">
        <v>1072</v>
      </c>
      <c r="I142">
        <f t="shared" si="8"/>
        <v>340</v>
      </c>
      <c r="J142" s="8">
        <f t="shared" si="9"/>
        <v>154.22140580000001</v>
      </c>
      <c r="K142">
        <v>4.1879999999999997</v>
      </c>
      <c r="L142">
        <f t="shared" si="10"/>
        <v>645.87924749039996</v>
      </c>
    </row>
    <row r="143" spans="1:12" x14ac:dyDescent="0.2">
      <c r="A143" s="4">
        <v>43343</v>
      </c>
      <c r="B143" s="9" t="s">
        <v>50</v>
      </c>
      <c r="C143">
        <v>1</v>
      </c>
      <c r="D143" s="8">
        <v>1</v>
      </c>
      <c r="E143">
        <v>120</v>
      </c>
      <c r="F143" t="s">
        <v>52</v>
      </c>
      <c r="G143" t="s">
        <v>755</v>
      </c>
      <c r="H143" s="8" t="s">
        <v>1072</v>
      </c>
      <c r="I143">
        <f t="shared" si="8"/>
        <v>120</v>
      </c>
      <c r="J143" s="8">
        <f t="shared" si="9"/>
        <v>54.431084400000003</v>
      </c>
      <c r="K143">
        <v>4.1879999999999997</v>
      </c>
      <c r="L143">
        <f t="shared" si="10"/>
        <v>227.95738146720001</v>
      </c>
    </row>
    <row r="144" spans="1:12" x14ac:dyDescent="0.2">
      <c r="A144" s="4">
        <v>43343</v>
      </c>
      <c r="B144" s="9" t="s">
        <v>50</v>
      </c>
      <c r="C144">
        <v>1</v>
      </c>
      <c r="D144" s="8">
        <v>1</v>
      </c>
      <c r="E144">
        <v>680</v>
      </c>
      <c r="F144" t="s">
        <v>51</v>
      </c>
      <c r="G144" t="s">
        <v>755</v>
      </c>
      <c r="H144" s="8" t="s">
        <v>1072</v>
      </c>
      <c r="I144">
        <f t="shared" si="8"/>
        <v>680</v>
      </c>
      <c r="J144" s="8">
        <f t="shared" si="9"/>
        <v>308.44281160000003</v>
      </c>
      <c r="K144">
        <v>4.1879999999999997</v>
      </c>
      <c r="L144">
        <f t="shared" si="10"/>
        <v>1291.7584949807999</v>
      </c>
    </row>
    <row r="145" spans="1:12" x14ac:dyDescent="0.2">
      <c r="A145" s="4">
        <v>43343</v>
      </c>
      <c r="B145" s="9" t="s">
        <v>50</v>
      </c>
      <c r="C145">
        <v>1</v>
      </c>
      <c r="D145" s="8">
        <v>1</v>
      </c>
      <c r="E145">
        <v>300</v>
      </c>
      <c r="F145" t="s">
        <v>53</v>
      </c>
      <c r="G145" t="s">
        <v>755</v>
      </c>
      <c r="H145" s="8" t="s">
        <v>1072</v>
      </c>
      <c r="I145">
        <f t="shared" si="8"/>
        <v>300</v>
      </c>
      <c r="J145" s="8">
        <f t="shared" si="9"/>
        <v>136.07771100000002</v>
      </c>
      <c r="K145">
        <v>4.1879999999999997</v>
      </c>
      <c r="L145">
        <f t="shared" si="10"/>
        <v>569.89345366800001</v>
      </c>
    </row>
    <row r="146" spans="1:12" x14ac:dyDescent="0.2">
      <c r="A146" s="4">
        <v>43343</v>
      </c>
      <c r="B146" s="9" t="s">
        <v>50</v>
      </c>
      <c r="C146">
        <v>1</v>
      </c>
      <c r="D146" s="8">
        <v>1</v>
      </c>
      <c r="E146">
        <v>20</v>
      </c>
      <c r="F146" t="s">
        <v>54</v>
      </c>
      <c r="G146" t="s">
        <v>755</v>
      </c>
      <c r="H146" s="8" t="s">
        <v>1072</v>
      </c>
      <c r="I146">
        <f t="shared" si="8"/>
        <v>20</v>
      </c>
      <c r="J146" s="8">
        <f t="shared" si="9"/>
        <v>9.0718474000000011</v>
      </c>
      <c r="K146">
        <v>4.1879999999999997</v>
      </c>
      <c r="L146">
        <f t="shared" si="10"/>
        <v>37.992896911199999</v>
      </c>
    </row>
    <row r="147" spans="1:12" x14ac:dyDescent="0.2">
      <c r="A147" s="4">
        <v>43343</v>
      </c>
      <c r="B147" s="9" t="s">
        <v>50</v>
      </c>
      <c r="C147">
        <v>1</v>
      </c>
      <c r="D147" s="8">
        <v>1</v>
      </c>
      <c r="E147">
        <v>160</v>
      </c>
      <c r="F147" t="s">
        <v>52</v>
      </c>
      <c r="G147" t="s">
        <v>755</v>
      </c>
      <c r="H147" s="8" t="s">
        <v>1072</v>
      </c>
      <c r="I147">
        <f t="shared" si="8"/>
        <v>160</v>
      </c>
      <c r="J147" s="8">
        <f t="shared" si="9"/>
        <v>72.574779200000009</v>
      </c>
      <c r="K147">
        <v>4.1879999999999997</v>
      </c>
      <c r="L147">
        <f t="shared" si="10"/>
        <v>303.94317528959999</v>
      </c>
    </row>
    <row r="148" spans="1:12" x14ac:dyDescent="0.2">
      <c r="A148" s="4">
        <v>43434</v>
      </c>
      <c r="B148" t="s">
        <v>538</v>
      </c>
      <c r="C148">
        <v>8</v>
      </c>
      <c r="D148">
        <v>6</v>
      </c>
      <c r="E148">
        <v>10</v>
      </c>
      <c r="F148" t="s">
        <v>539</v>
      </c>
      <c r="G148" t="s">
        <v>896</v>
      </c>
      <c r="H148" s="6" t="s">
        <v>1071</v>
      </c>
      <c r="I148">
        <f t="shared" si="8"/>
        <v>480</v>
      </c>
      <c r="J148">
        <f t="shared" si="9"/>
        <v>217.72433760000001</v>
      </c>
      <c r="K148">
        <v>0.49099999999999999</v>
      </c>
      <c r="L148">
        <f t="shared" si="10"/>
        <v>106.9026497616</v>
      </c>
    </row>
    <row r="149" spans="1:12" x14ac:dyDescent="0.2">
      <c r="A149" s="4">
        <v>43439</v>
      </c>
      <c r="B149" t="s">
        <v>538</v>
      </c>
      <c r="C149">
        <v>3</v>
      </c>
      <c r="D149">
        <v>6</v>
      </c>
      <c r="E149">
        <v>10</v>
      </c>
      <c r="F149" t="s">
        <v>539</v>
      </c>
      <c r="G149" t="s">
        <v>896</v>
      </c>
      <c r="H149" s="6" t="s">
        <v>1071</v>
      </c>
      <c r="I149">
        <f t="shared" si="8"/>
        <v>180</v>
      </c>
      <c r="J149">
        <f t="shared" si="9"/>
        <v>81.646626600000005</v>
      </c>
      <c r="K149">
        <v>0.49099999999999999</v>
      </c>
      <c r="L149">
        <f t="shared" si="10"/>
        <v>40.088493660600001</v>
      </c>
    </row>
    <row r="150" spans="1:12" x14ac:dyDescent="0.2">
      <c r="A150" s="4">
        <v>43343</v>
      </c>
      <c r="B150" s="6" t="s">
        <v>1074</v>
      </c>
      <c r="C150">
        <v>1</v>
      </c>
      <c r="D150" s="8">
        <v>1</v>
      </c>
      <c r="E150">
        <f>1</f>
        <v>1</v>
      </c>
      <c r="F150" t="s">
        <v>94</v>
      </c>
      <c r="G150" t="s">
        <v>94</v>
      </c>
      <c r="H150" s="8" t="s">
        <v>1071</v>
      </c>
      <c r="I150">
        <f t="shared" si="8"/>
        <v>1</v>
      </c>
      <c r="J150" s="8">
        <f t="shared" si="9"/>
        <v>0.45359237000000002</v>
      </c>
      <c r="K150">
        <v>0.221</v>
      </c>
      <c r="L150">
        <f t="shared" si="10"/>
        <v>0.10024391377000001</v>
      </c>
    </row>
    <row r="151" spans="1:12" x14ac:dyDescent="0.2">
      <c r="A151" s="4">
        <v>43434</v>
      </c>
      <c r="B151" t="s">
        <v>531</v>
      </c>
      <c r="C151">
        <v>11</v>
      </c>
      <c r="D151">
        <v>100</v>
      </c>
      <c r="E151">
        <f>2.6/16</f>
        <v>0.16250000000000001</v>
      </c>
      <c r="F151" t="s">
        <v>532</v>
      </c>
      <c r="G151" s="6" t="s">
        <v>853</v>
      </c>
      <c r="H151" s="6" t="s">
        <v>1071</v>
      </c>
      <c r="I151">
        <f t="shared" si="8"/>
        <v>178.75</v>
      </c>
      <c r="J151">
        <f t="shared" si="9"/>
        <v>81.079636137500003</v>
      </c>
      <c r="K151">
        <v>1.2</v>
      </c>
      <c r="L151">
        <f t="shared" si="10"/>
        <v>97.295563365000007</v>
      </c>
    </row>
    <row r="152" spans="1:12" x14ac:dyDescent="0.2">
      <c r="A152" s="4">
        <v>43343</v>
      </c>
      <c r="B152" s="6" t="s">
        <v>1074</v>
      </c>
      <c r="C152">
        <v>1</v>
      </c>
      <c r="D152" s="8">
        <v>1</v>
      </c>
      <c r="E152">
        <f>30*(2.8/16)*1</f>
        <v>5.25</v>
      </c>
      <c r="F152" t="s">
        <v>88</v>
      </c>
      <c r="G152" t="s">
        <v>88</v>
      </c>
      <c r="H152" s="8" t="s">
        <v>1071</v>
      </c>
      <c r="I152">
        <f t="shared" si="8"/>
        <v>5.25</v>
      </c>
      <c r="J152" s="8">
        <f t="shared" si="9"/>
        <v>2.3813599425</v>
      </c>
      <c r="K152">
        <v>0.26100000000000001</v>
      </c>
      <c r="L152">
        <f t="shared" si="10"/>
        <v>0.62153494499250006</v>
      </c>
    </row>
    <row r="153" spans="1:12" x14ac:dyDescent="0.2">
      <c r="A153" s="4">
        <v>43344</v>
      </c>
      <c r="B153" s="6" t="s">
        <v>1074</v>
      </c>
      <c r="C153">
        <v>1</v>
      </c>
      <c r="D153" s="8">
        <v>1</v>
      </c>
      <c r="E153">
        <f>30*(2.8/16)</f>
        <v>5.25</v>
      </c>
      <c r="F153" t="s">
        <v>120</v>
      </c>
      <c r="G153" t="s">
        <v>88</v>
      </c>
      <c r="H153" s="8" t="s">
        <v>1071</v>
      </c>
      <c r="I153">
        <f t="shared" si="8"/>
        <v>5.25</v>
      </c>
      <c r="J153" s="8">
        <f t="shared" si="9"/>
        <v>2.3813599425</v>
      </c>
      <c r="K153">
        <v>0.26100000000000001</v>
      </c>
      <c r="L153">
        <f t="shared" si="10"/>
        <v>0.62153494499250006</v>
      </c>
    </row>
    <row r="154" spans="1:12" x14ac:dyDescent="0.2">
      <c r="A154" s="4">
        <v>43439</v>
      </c>
      <c r="B154" t="s">
        <v>538</v>
      </c>
      <c r="C154">
        <v>1</v>
      </c>
      <c r="D154">
        <v>6</v>
      </c>
      <c r="E154" t="s">
        <v>422</v>
      </c>
      <c r="F154" t="s">
        <v>423</v>
      </c>
      <c r="G154" s="14" t="s">
        <v>919</v>
      </c>
      <c r="H154" s="6" t="s">
        <v>1071</v>
      </c>
      <c r="I154">
        <v>0</v>
      </c>
      <c r="J154">
        <f t="shared" si="9"/>
        <v>0</v>
      </c>
      <c r="K154">
        <v>33.646999999999998</v>
      </c>
      <c r="L154">
        <f t="shared" si="10"/>
        <v>0</v>
      </c>
    </row>
    <row r="155" spans="1:12" x14ac:dyDescent="0.2">
      <c r="A155" s="4">
        <v>43347</v>
      </c>
      <c r="B155" s="6" t="s">
        <v>1074</v>
      </c>
      <c r="C155">
        <v>2</v>
      </c>
      <c r="D155" s="8">
        <v>1</v>
      </c>
      <c r="E155">
        <v>10</v>
      </c>
      <c r="F155" t="s">
        <v>1035</v>
      </c>
      <c r="G155" t="s">
        <v>778</v>
      </c>
      <c r="H155" s="8" t="s">
        <v>1071</v>
      </c>
      <c r="I155">
        <f t="shared" ref="I155:I174" si="11">C155*D155*E155</f>
        <v>20</v>
      </c>
      <c r="J155" s="8">
        <f t="shared" si="9"/>
        <v>9.0718474000000011</v>
      </c>
      <c r="K155">
        <v>0.20599999999999999</v>
      </c>
      <c r="L155">
        <f t="shared" si="10"/>
        <v>1.8688005644000001</v>
      </c>
    </row>
    <row r="156" spans="1:12" x14ac:dyDescent="0.2">
      <c r="A156" s="4">
        <v>43434</v>
      </c>
      <c r="B156" t="s">
        <v>538</v>
      </c>
      <c r="C156">
        <v>4</v>
      </c>
      <c r="D156">
        <v>2</v>
      </c>
      <c r="E156">
        <f>1.5*9.59</f>
        <v>14.385</v>
      </c>
      <c r="F156" t="s">
        <v>563</v>
      </c>
      <c r="G156" s="6" t="s">
        <v>980</v>
      </c>
      <c r="H156" s="9" t="s">
        <v>1071</v>
      </c>
      <c r="I156">
        <f t="shared" si="11"/>
        <v>115.08</v>
      </c>
      <c r="J156">
        <f t="shared" si="9"/>
        <v>52.199409939600002</v>
      </c>
      <c r="K156">
        <v>3.33</v>
      </c>
      <c r="L156">
        <f t="shared" si="10"/>
        <v>173.82403509886802</v>
      </c>
    </row>
    <row r="157" spans="1:12" x14ac:dyDescent="0.2">
      <c r="A157" s="4">
        <v>43437</v>
      </c>
      <c r="B157" t="s">
        <v>538</v>
      </c>
      <c r="C157">
        <v>1</v>
      </c>
      <c r="D157">
        <v>6</v>
      </c>
      <c r="E157">
        <v>7.125</v>
      </c>
      <c r="F157" t="s">
        <v>1007</v>
      </c>
      <c r="G157" s="6" t="s">
        <v>980</v>
      </c>
      <c r="H157" s="9" t="s">
        <v>1071</v>
      </c>
      <c r="I157">
        <f t="shared" si="11"/>
        <v>42.75</v>
      </c>
      <c r="J157">
        <f t="shared" si="9"/>
        <v>19.391073817500001</v>
      </c>
      <c r="K157">
        <v>3.33</v>
      </c>
      <c r="L157">
        <f t="shared" si="10"/>
        <v>64.572275812275009</v>
      </c>
    </row>
    <row r="158" spans="1:12" x14ac:dyDescent="0.2">
      <c r="A158" s="4">
        <v>43439</v>
      </c>
      <c r="B158" t="s">
        <v>538</v>
      </c>
      <c r="C158">
        <v>2</v>
      </c>
      <c r="D158">
        <v>6</v>
      </c>
      <c r="E158">
        <v>7.125</v>
      </c>
      <c r="F158" t="s">
        <v>1007</v>
      </c>
      <c r="G158" s="6" t="s">
        <v>980</v>
      </c>
      <c r="H158" s="9" t="s">
        <v>1071</v>
      </c>
      <c r="I158">
        <f t="shared" si="11"/>
        <v>85.5</v>
      </c>
      <c r="J158">
        <f t="shared" si="9"/>
        <v>38.782147635000001</v>
      </c>
      <c r="K158">
        <v>3.33</v>
      </c>
      <c r="L158">
        <f t="shared" si="10"/>
        <v>129.14455162455002</v>
      </c>
    </row>
    <row r="159" spans="1:12" x14ac:dyDescent="0.2">
      <c r="A159" s="4">
        <v>43434</v>
      </c>
      <c r="B159" t="s">
        <v>538</v>
      </c>
      <c r="C159">
        <v>2</v>
      </c>
      <c r="D159">
        <v>2</v>
      </c>
      <c r="E159">
        <f>105/16</f>
        <v>6.5625</v>
      </c>
      <c r="F159" t="s">
        <v>561</v>
      </c>
      <c r="G159" s="6" t="s">
        <v>980</v>
      </c>
      <c r="H159" s="9" t="s">
        <v>1071</v>
      </c>
      <c r="I159">
        <f t="shared" si="11"/>
        <v>26.25</v>
      </c>
      <c r="J159">
        <f t="shared" si="9"/>
        <v>11.9067997125</v>
      </c>
      <c r="K159">
        <v>3.33</v>
      </c>
      <c r="L159">
        <f t="shared" si="10"/>
        <v>39.649643042625001</v>
      </c>
    </row>
    <row r="160" spans="1:12" x14ac:dyDescent="0.2">
      <c r="A160" s="4">
        <v>43439</v>
      </c>
      <c r="B160" t="s">
        <v>538</v>
      </c>
      <c r="C160">
        <v>1</v>
      </c>
      <c r="D160">
        <v>4</v>
      </c>
      <c r="E160">
        <f>105/16</f>
        <v>6.5625</v>
      </c>
      <c r="F160" t="s">
        <v>456</v>
      </c>
      <c r="G160" s="6" t="s">
        <v>980</v>
      </c>
      <c r="H160" s="9" t="s">
        <v>1071</v>
      </c>
      <c r="I160">
        <f t="shared" si="11"/>
        <v>26.25</v>
      </c>
      <c r="J160">
        <f t="shared" si="9"/>
        <v>11.9067997125</v>
      </c>
      <c r="K160">
        <v>3.33</v>
      </c>
      <c r="L160">
        <f t="shared" si="10"/>
        <v>39.649643042625001</v>
      </c>
    </row>
    <row r="161" spans="1:12" x14ac:dyDescent="0.2">
      <c r="A161" s="4">
        <v>43434</v>
      </c>
      <c r="B161" t="s">
        <v>538</v>
      </c>
      <c r="C161">
        <v>1</v>
      </c>
      <c r="D161">
        <v>6</v>
      </c>
      <c r="E161">
        <v>5</v>
      </c>
      <c r="F161" t="s">
        <v>549</v>
      </c>
      <c r="G161" s="6" t="s">
        <v>980</v>
      </c>
      <c r="H161" s="9" t="s">
        <v>1071</v>
      </c>
      <c r="I161">
        <f t="shared" si="11"/>
        <v>30</v>
      </c>
      <c r="J161">
        <f t="shared" si="9"/>
        <v>13.607771100000001</v>
      </c>
      <c r="K161">
        <v>3.33</v>
      </c>
      <c r="L161">
        <f t="shared" si="10"/>
        <v>45.313877763000001</v>
      </c>
    </row>
    <row r="162" spans="1:12" x14ac:dyDescent="0.2">
      <c r="A162" s="4">
        <v>43437</v>
      </c>
      <c r="B162" t="s">
        <v>538</v>
      </c>
      <c r="C162">
        <v>1</v>
      </c>
      <c r="D162">
        <v>4</v>
      </c>
      <c r="E162">
        <f>1.13*10.16</f>
        <v>11.480799999999999</v>
      </c>
      <c r="F162" t="s">
        <v>572</v>
      </c>
      <c r="G162" s="6" t="s">
        <v>980</v>
      </c>
      <c r="H162" s="9" t="s">
        <v>1071</v>
      </c>
      <c r="I162">
        <f t="shared" si="11"/>
        <v>45.923199999999994</v>
      </c>
      <c r="J162">
        <f t="shared" si="9"/>
        <v>20.830413125983998</v>
      </c>
      <c r="K162">
        <v>3.33</v>
      </c>
      <c r="L162">
        <f t="shared" si="10"/>
        <v>69.365275709526713</v>
      </c>
    </row>
    <row r="163" spans="1:12" x14ac:dyDescent="0.2">
      <c r="A163" s="4">
        <v>43437</v>
      </c>
      <c r="B163" t="s">
        <v>538</v>
      </c>
      <c r="C163">
        <v>1</v>
      </c>
      <c r="D163">
        <v>12</v>
      </c>
      <c r="E163">
        <v>1.5625</v>
      </c>
      <c r="F163" t="s">
        <v>449</v>
      </c>
      <c r="G163" s="6" t="s">
        <v>980</v>
      </c>
      <c r="H163" s="9" t="s">
        <v>1071</v>
      </c>
      <c r="I163">
        <f t="shared" si="11"/>
        <v>18.75</v>
      </c>
      <c r="J163">
        <f t="shared" si="9"/>
        <v>8.5048569375000014</v>
      </c>
      <c r="K163">
        <v>3.33</v>
      </c>
      <c r="L163">
        <f t="shared" si="10"/>
        <v>28.321173601875007</v>
      </c>
    </row>
    <row r="164" spans="1:12" x14ac:dyDescent="0.2">
      <c r="A164" s="4">
        <v>43437</v>
      </c>
      <c r="B164" t="s">
        <v>538</v>
      </c>
      <c r="C164">
        <v>1</v>
      </c>
      <c r="D164">
        <v>4</v>
      </c>
      <c r="E164">
        <f>1.13*10.16</f>
        <v>11.480799999999999</v>
      </c>
      <c r="F164" t="s">
        <v>584</v>
      </c>
      <c r="G164" s="6" t="s">
        <v>980</v>
      </c>
      <c r="H164" s="9" t="s">
        <v>1071</v>
      </c>
      <c r="I164">
        <f t="shared" si="11"/>
        <v>45.923199999999994</v>
      </c>
      <c r="J164">
        <f t="shared" si="9"/>
        <v>20.830413125983998</v>
      </c>
      <c r="K164">
        <v>3.33</v>
      </c>
      <c r="L164">
        <f t="shared" si="10"/>
        <v>69.365275709526713</v>
      </c>
    </row>
    <row r="165" spans="1:12" x14ac:dyDescent="0.2">
      <c r="A165" s="4">
        <v>43437</v>
      </c>
      <c r="B165" t="s">
        <v>538</v>
      </c>
      <c r="C165">
        <v>2</v>
      </c>
      <c r="D165">
        <v>4</v>
      </c>
      <c r="E165">
        <f>1.13*11.68</f>
        <v>13.198399999999998</v>
      </c>
      <c r="F165" t="s">
        <v>585</v>
      </c>
      <c r="G165" s="6" t="s">
        <v>980</v>
      </c>
      <c r="H165" s="9" t="s">
        <v>1071</v>
      </c>
      <c r="I165">
        <f t="shared" si="11"/>
        <v>105.58719999999998</v>
      </c>
      <c r="J165">
        <f t="shared" si="9"/>
        <v>47.893548289663997</v>
      </c>
      <c r="K165">
        <v>3.33</v>
      </c>
      <c r="L165">
        <f t="shared" si="10"/>
        <v>159.48551580458113</v>
      </c>
    </row>
    <row r="166" spans="1:12" x14ac:dyDescent="0.2">
      <c r="A166" s="4">
        <v>43439</v>
      </c>
      <c r="B166" t="s">
        <v>538</v>
      </c>
      <c r="C166">
        <v>1</v>
      </c>
      <c r="D166">
        <v>24</v>
      </c>
      <c r="E166">
        <v>0.3125</v>
      </c>
      <c r="F166" t="s">
        <v>585</v>
      </c>
      <c r="G166" s="6" t="s">
        <v>980</v>
      </c>
      <c r="H166" s="9" t="s">
        <v>1071</v>
      </c>
      <c r="I166">
        <f t="shared" si="11"/>
        <v>7.5</v>
      </c>
      <c r="J166">
        <f t="shared" si="9"/>
        <v>3.4019427750000002</v>
      </c>
      <c r="K166">
        <v>3.33</v>
      </c>
      <c r="L166">
        <f t="shared" si="10"/>
        <v>11.32846944075</v>
      </c>
    </row>
    <row r="167" spans="1:12" x14ac:dyDescent="0.2">
      <c r="A167" s="4">
        <v>43439</v>
      </c>
      <c r="B167" t="s">
        <v>538</v>
      </c>
      <c r="C167">
        <v>1</v>
      </c>
      <c r="D167">
        <v>24</v>
      </c>
      <c r="E167">
        <f>6/16</f>
        <v>0.375</v>
      </c>
      <c r="F167" t="s">
        <v>594</v>
      </c>
      <c r="G167" s="6" t="s">
        <v>980</v>
      </c>
      <c r="H167" s="9" t="s">
        <v>1071</v>
      </c>
      <c r="I167">
        <f t="shared" si="11"/>
        <v>9</v>
      </c>
      <c r="J167">
        <f t="shared" si="9"/>
        <v>4.0823313299999997</v>
      </c>
      <c r="K167">
        <v>3.33</v>
      </c>
      <c r="L167">
        <f t="shared" si="10"/>
        <v>13.594163328899999</v>
      </c>
    </row>
    <row r="168" spans="1:12" x14ac:dyDescent="0.2">
      <c r="A168" s="4">
        <v>43439</v>
      </c>
      <c r="B168" t="s">
        <v>538</v>
      </c>
      <c r="C168">
        <v>1</v>
      </c>
      <c r="D168">
        <v>12</v>
      </c>
      <c r="E168">
        <v>1.5625</v>
      </c>
      <c r="F168" t="s">
        <v>449</v>
      </c>
      <c r="G168" s="6" t="s">
        <v>980</v>
      </c>
      <c r="H168" s="9" t="s">
        <v>1071</v>
      </c>
      <c r="I168">
        <f t="shared" si="11"/>
        <v>18.75</v>
      </c>
      <c r="J168">
        <f t="shared" si="9"/>
        <v>8.5048569375000014</v>
      </c>
      <c r="K168">
        <v>3.33</v>
      </c>
      <c r="L168">
        <f t="shared" si="10"/>
        <v>28.321173601875007</v>
      </c>
    </row>
    <row r="169" spans="1:12" x14ac:dyDescent="0.2">
      <c r="A169" s="4">
        <v>43439</v>
      </c>
      <c r="B169" t="s">
        <v>538</v>
      </c>
      <c r="C169">
        <v>1</v>
      </c>
      <c r="D169">
        <v>12</v>
      </c>
      <c r="E169">
        <v>10.4375</v>
      </c>
      <c r="F169" t="s">
        <v>460</v>
      </c>
      <c r="G169" s="6" t="s">
        <v>980</v>
      </c>
      <c r="H169" s="9" t="s">
        <v>1071</v>
      </c>
      <c r="I169">
        <f t="shared" si="11"/>
        <v>125.25</v>
      </c>
      <c r="J169">
        <f t="shared" si="9"/>
        <v>56.812444342500001</v>
      </c>
      <c r="K169">
        <v>3.33</v>
      </c>
      <c r="L169">
        <f t="shared" si="10"/>
        <v>189.18543966052502</v>
      </c>
    </row>
    <row r="170" spans="1:12" x14ac:dyDescent="0.2">
      <c r="A170" s="4">
        <v>43434</v>
      </c>
      <c r="B170" t="s">
        <v>538</v>
      </c>
      <c r="C170">
        <v>4</v>
      </c>
      <c r="D170">
        <v>4</v>
      </c>
      <c r="E170">
        <v>7.79</v>
      </c>
      <c r="F170" t="s">
        <v>543</v>
      </c>
      <c r="G170" s="6" t="s">
        <v>1089</v>
      </c>
      <c r="H170" s="9" t="s">
        <v>1073</v>
      </c>
      <c r="I170">
        <f t="shared" si="11"/>
        <v>124.64</v>
      </c>
      <c r="J170">
        <f t="shared" si="9"/>
        <v>56.535752996799999</v>
      </c>
      <c r="K170">
        <v>3.33</v>
      </c>
      <c r="L170">
        <f t="shared" si="10"/>
        <v>188.26405747934399</v>
      </c>
    </row>
    <row r="171" spans="1:12" x14ac:dyDescent="0.2">
      <c r="A171" s="4">
        <v>43439</v>
      </c>
      <c r="B171" t="s">
        <v>538</v>
      </c>
      <c r="C171">
        <v>3</v>
      </c>
      <c r="D171">
        <v>4</v>
      </c>
      <c r="E171">
        <v>7.79</v>
      </c>
      <c r="F171" t="s">
        <v>543</v>
      </c>
      <c r="G171" s="6" t="s">
        <v>1089</v>
      </c>
      <c r="H171" s="9" t="s">
        <v>1073</v>
      </c>
      <c r="I171">
        <f t="shared" si="11"/>
        <v>93.48</v>
      </c>
      <c r="J171">
        <f t="shared" si="9"/>
        <v>42.4018147476</v>
      </c>
      <c r="K171">
        <v>3.33</v>
      </c>
      <c r="L171">
        <f t="shared" si="10"/>
        <v>141.19804310950801</v>
      </c>
    </row>
    <row r="172" spans="1:12" x14ac:dyDescent="0.2">
      <c r="A172" s="4">
        <v>43437</v>
      </c>
      <c r="B172" t="s">
        <v>531</v>
      </c>
      <c r="C172">
        <v>3</v>
      </c>
      <c r="D172">
        <v>1</v>
      </c>
      <c r="E172">
        <v>30</v>
      </c>
      <c r="F172" t="s">
        <v>411</v>
      </c>
      <c r="G172" t="s">
        <v>849</v>
      </c>
      <c r="H172" s="6" t="s">
        <v>1071</v>
      </c>
      <c r="I172">
        <f t="shared" si="11"/>
        <v>90</v>
      </c>
      <c r="J172">
        <f t="shared" si="9"/>
        <v>40.823313300000002</v>
      </c>
      <c r="K172">
        <v>0.75700000000000001</v>
      </c>
      <c r="L172">
        <f t="shared" si="10"/>
        <v>30.903248168100003</v>
      </c>
    </row>
    <row r="173" spans="1:12" x14ac:dyDescent="0.2">
      <c r="A173" s="4">
        <v>43439</v>
      </c>
      <c r="B173" t="s">
        <v>531</v>
      </c>
      <c r="C173">
        <v>1</v>
      </c>
      <c r="D173">
        <v>1</v>
      </c>
      <c r="E173">
        <v>30</v>
      </c>
      <c r="F173" t="s">
        <v>411</v>
      </c>
      <c r="G173" t="s">
        <v>849</v>
      </c>
      <c r="H173" s="6" t="s">
        <v>1071</v>
      </c>
      <c r="I173">
        <f t="shared" si="11"/>
        <v>30</v>
      </c>
      <c r="J173">
        <f t="shared" si="9"/>
        <v>13.607771100000001</v>
      </c>
      <c r="K173">
        <v>0.75700000000000001</v>
      </c>
      <c r="L173">
        <f t="shared" si="10"/>
        <v>10.3010827227</v>
      </c>
    </row>
    <row r="174" spans="1:12" x14ac:dyDescent="0.2">
      <c r="A174" s="4">
        <v>43434</v>
      </c>
      <c r="B174" t="s">
        <v>525</v>
      </c>
      <c r="C174">
        <v>12</v>
      </c>
      <c r="D174">
        <v>1</v>
      </c>
      <c r="E174">
        <v>10</v>
      </c>
      <c r="F174" t="s">
        <v>526</v>
      </c>
      <c r="G174" s="9" t="s">
        <v>889</v>
      </c>
      <c r="H174" s="9" t="s">
        <v>1072</v>
      </c>
      <c r="I174">
        <f t="shared" si="11"/>
        <v>120</v>
      </c>
      <c r="J174">
        <f t="shared" si="9"/>
        <v>54.431084400000003</v>
      </c>
      <c r="K174">
        <v>32.845999999999997</v>
      </c>
      <c r="L174">
        <f t="shared" si="10"/>
        <v>1787.8433982023998</v>
      </c>
    </row>
    <row r="175" spans="1:12" x14ac:dyDescent="0.2">
      <c r="A175" s="4">
        <v>43439</v>
      </c>
      <c r="B175" t="s">
        <v>538</v>
      </c>
      <c r="C175">
        <v>1</v>
      </c>
      <c r="D175">
        <v>12</v>
      </c>
      <c r="E175" t="s">
        <v>407</v>
      </c>
      <c r="F175" t="s">
        <v>542</v>
      </c>
      <c r="G175" s="14" t="s">
        <v>916</v>
      </c>
      <c r="H175" t="s">
        <v>1071</v>
      </c>
      <c r="I175">
        <v>0</v>
      </c>
      <c r="J175">
        <f t="shared" si="9"/>
        <v>0</v>
      </c>
      <c r="K175">
        <v>0.55000000000000004</v>
      </c>
      <c r="L175">
        <f t="shared" si="10"/>
        <v>0</v>
      </c>
    </row>
    <row r="176" spans="1:12" x14ac:dyDescent="0.2">
      <c r="A176" s="4">
        <v>43437</v>
      </c>
      <c r="B176" t="s">
        <v>538</v>
      </c>
      <c r="C176">
        <v>1</v>
      </c>
      <c r="D176">
        <v>1</v>
      </c>
      <c r="E176">
        <v>25</v>
      </c>
      <c r="F176" t="s">
        <v>573</v>
      </c>
      <c r="G176" t="s">
        <v>916</v>
      </c>
      <c r="H176" s="9" t="s">
        <v>1071</v>
      </c>
      <c r="I176">
        <f>C176*D176*E176</f>
        <v>25</v>
      </c>
      <c r="J176">
        <f t="shared" si="9"/>
        <v>11.33980925</v>
      </c>
      <c r="K176">
        <v>0.55000000000000004</v>
      </c>
      <c r="L176">
        <f t="shared" si="10"/>
        <v>6.2368950875000007</v>
      </c>
    </row>
    <row r="177" spans="1:12" x14ac:dyDescent="0.2">
      <c r="A177" s="4">
        <v>43437</v>
      </c>
      <c r="B177" t="s">
        <v>538</v>
      </c>
      <c r="C177">
        <v>1</v>
      </c>
      <c r="D177">
        <v>6</v>
      </c>
      <c r="E177">
        <v>5</v>
      </c>
      <c r="F177" t="s">
        <v>579</v>
      </c>
      <c r="G177" s="14" t="s">
        <v>916</v>
      </c>
      <c r="H177" s="9" t="s">
        <v>1071</v>
      </c>
      <c r="I177">
        <f>C177*D177*E177</f>
        <v>30</v>
      </c>
      <c r="J177">
        <f t="shared" si="9"/>
        <v>13.607771100000001</v>
      </c>
      <c r="K177">
        <v>0.55000000000000004</v>
      </c>
      <c r="L177">
        <f t="shared" si="10"/>
        <v>7.4842741050000008</v>
      </c>
    </row>
    <row r="178" spans="1:12" x14ac:dyDescent="0.2">
      <c r="A178" s="4">
        <v>43439</v>
      </c>
      <c r="B178" t="s">
        <v>538</v>
      </c>
      <c r="C178">
        <v>1</v>
      </c>
      <c r="D178">
        <v>24</v>
      </c>
      <c r="E178">
        <v>1</v>
      </c>
      <c r="F178" t="s">
        <v>433</v>
      </c>
      <c r="G178" t="s">
        <v>900</v>
      </c>
      <c r="H178" s="9" t="s">
        <v>1071</v>
      </c>
      <c r="I178">
        <f>C178*D178*E178</f>
        <v>24</v>
      </c>
      <c r="J178">
        <f t="shared" si="9"/>
        <v>10.886216880000001</v>
      </c>
      <c r="K178">
        <v>0.76</v>
      </c>
      <c r="L178">
        <f t="shared" si="10"/>
        <v>8.2735248288000012</v>
      </c>
    </row>
    <row r="179" spans="1:12" x14ac:dyDescent="0.2">
      <c r="A179" s="4">
        <v>43434</v>
      </c>
      <c r="B179" t="s">
        <v>538</v>
      </c>
      <c r="C179">
        <v>2</v>
      </c>
      <c r="D179">
        <v>24</v>
      </c>
      <c r="E179">
        <v>1</v>
      </c>
      <c r="F179" t="s">
        <v>433</v>
      </c>
      <c r="G179" t="s">
        <v>900</v>
      </c>
      <c r="H179" s="9" t="s">
        <v>1071</v>
      </c>
      <c r="I179">
        <f>C179*D179*E179</f>
        <v>48</v>
      </c>
      <c r="J179">
        <f t="shared" si="9"/>
        <v>21.772433760000002</v>
      </c>
      <c r="K179">
        <v>0.76</v>
      </c>
      <c r="L179">
        <f t="shared" si="10"/>
        <v>16.547049657600002</v>
      </c>
    </row>
    <row r="180" spans="1:12" x14ac:dyDescent="0.2">
      <c r="A180" s="10">
        <v>43348</v>
      </c>
      <c r="B180" s="8" t="s">
        <v>27</v>
      </c>
      <c r="C180">
        <v>1</v>
      </c>
      <c r="D180">
        <v>1</v>
      </c>
      <c r="E180" s="9">
        <v>50</v>
      </c>
      <c r="F180" s="9" t="s">
        <v>29</v>
      </c>
      <c r="G180" s="9" t="s">
        <v>29</v>
      </c>
      <c r="H180" s="8" t="s">
        <v>1071</v>
      </c>
      <c r="I180">
        <f>C180*D180*E180</f>
        <v>50</v>
      </c>
      <c r="J180" s="8">
        <f t="shared" si="9"/>
        <v>22.6796185</v>
      </c>
      <c r="K180">
        <v>0.55000000000000004</v>
      </c>
      <c r="L180">
        <f t="shared" si="10"/>
        <v>12.473790175000001</v>
      </c>
    </row>
    <row r="181" spans="1:12" x14ac:dyDescent="0.2">
      <c r="A181" s="4">
        <v>43439</v>
      </c>
      <c r="B181" t="s">
        <v>538</v>
      </c>
      <c r="C181">
        <v>1</v>
      </c>
      <c r="D181">
        <v>500</v>
      </c>
      <c r="E181" t="s">
        <v>1088</v>
      </c>
      <c r="F181" t="s">
        <v>430</v>
      </c>
      <c r="G181" s="14" t="s">
        <v>881</v>
      </c>
      <c r="H181" s="9" t="s">
        <v>1071</v>
      </c>
      <c r="I181">
        <v>0</v>
      </c>
      <c r="J181">
        <f t="shared" si="9"/>
        <v>0</v>
      </c>
      <c r="K181">
        <v>2.5299999999999998</v>
      </c>
      <c r="L181">
        <f t="shared" si="10"/>
        <v>0</v>
      </c>
    </row>
    <row r="182" spans="1:12" x14ac:dyDescent="0.2">
      <c r="A182" s="4">
        <v>43439</v>
      </c>
      <c r="B182" t="s">
        <v>538</v>
      </c>
      <c r="C182">
        <v>1</v>
      </c>
      <c r="D182">
        <v>150</v>
      </c>
      <c r="E182">
        <v>3.125E-2</v>
      </c>
      <c r="F182" t="s">
        <v>442</v>
      </c>
      <c r="G182" s="6" t="s">
        <v>881</v>
      </c>
      <c r="H182" s="9" t="s">
        <v>1071</v>
      </c>
      <c r="I182">
        <f t="shared" ref="I182:I245" si="12">C182*D182*E182</f>
        <v>4.6875</v>
      </c>
      <c r="J182">
        <f t="shared" si="9"/>
        <v>2.1262142343750003</v>
      </c>
      <c r="K182">
        <v>2.5299999999999998</v>
      </c>
      <c r="L182">
        <f t="shared" si="10"/>
        <v>5.3793220129687507</v>
      </c>
    </row>
    <row r="183" spans="1:12" x14ac:dyDescent="0.2">
      <c r="A183" s="4">
        <v>43437</v>
      </c>
      <c r="B183" t="s">
        <v>538</v>
      </c>
      <c r="C183">
        <v>1</v>
      </c>
      <c r="D183">
        <v>1</v>
      </c>
      <c r="E183">
        <v>10</v>
      </c>
      <c r="F183" t="s">
        <v>454</v>
      </c>
      <c r="G183" t="s">
        <v>879</v>
      </c>
      <c r="H183" s="9" t="s">
        <v>1071</v>
      </c>
      <c r="I183">
        <f t="shared" si="12"/>
        <v>10</v>
      </c>
      <c r="J183">
        <f t="shared" si="9"/>
        <v>4.5359237000000006</v>
      </c>
      <c r="K183">
        <v>1.4179999999999999</v>
      </c>
      <c r="L183">
        <f t="shared" si="10"/>
        <v>6.4319398066000009</v>
      </c>
    </row>
    <row r="184" spans="1:12" x14ac:dyDescent="0.2">
      <c r="A184" s="4">
        <v>43434</v>
      </c>
      <c r="B184" t="s">
        <v>517</v>
      </c>
      <c r="C184">
        <v>1</v>
      </c>
      <c r="D184">
        <v>1</v>
      </c>
      <c r="E184">
        <v>2</v>
      </c>
      <c r="F184" t="s">
        <v>380</v>
      </c>
      <c r="G184" t="s">
        <v>841</v>
      </c>
      <c r="H184" s="9" t="s">
        <v>1073</v>
      </c>
      <c r="I184">
        <f t="shared" si="12"/>
        <v>2</v>
      </c>
      <c r="J184">
        <f t="shared" si="9"/>
        <v>0.90718474000000004</v>
      </c>
      <c r="K184">
        <v>5.32</v>
      </c>
      <c r="L184">
        <f t="shared" si="10"/>
        <v>4.8262228168000005</v>
      </c>
    </row>
    <row r="185" spans="1:12" x14ac:dyDescent="0.2">
      <c r="A185" s="4">
        <v>43439</v>
      </c>
      <c r="B185" t="s">
        <v>517</v>
      </c>
      <c r="C185">
        <v>1</v>
      </c>
      <c r="D185">
        <v>1</v>
      </c>
      <c r="E185">
        <v>2</v>
      </c>
      <c r="F185" t="s">
        <v>380</v>
      </c>
      <c r="G185" t="s">
        <v>841</v>
      </c>
      <c r="H185" s="9" t="s">
        <v>1073</v>
      </c>
      <c r="I185">
        <f t="shared" si="12"/>
        <v>2</v>
      </c>
      <c r="J185">
        <f t="shared" si="9"/>
        <v>0.90718474000000004</v>
      </c>
      <c r="K185">
        <v>5.32</v>
      </c>
      <c r="L185">
        <f t="shared" si="10"/>
        <v>4.8262228168000005</v>
      </c>
    </row>
    <row r="186" spans="1:12" x14ac:dyDescent="0.2">
      <c r="A186" s="4">
        <v>43343</v>
      </c>
      <c r="B186" s="6" t="s">
        <v>1074</v>
      </c>
      <c r="C186">
        <v>1</v>
      </c>
      <c r="D186" s="8">
        <v>1</v>
      </c>
      <c r="E186">
        <f>(10/9)*50*2</f>
        <v>111.11111111111111</v>
      </c>
      <c r="F186" t="s">
        <v>89</v>
      </c>
      <c r="G186" t="s">
        <v>89</v>
      </c>
      <c r="H186" s="8" t="s">
        <v>1071</v>
      </c>
      <c r="I186">
        <f t="shared" si="12"/>
        <v>111.11111111111111</v>
      </c>
      <c r="J186" s="8">
        <f t="shared" si="9"/>
        <v>50.399152222222227</v>
      </c>
      <c r="K186">
        <v>0.40899999999999997</v>
      </c>
      <c r="L186">
        <f t="shared" si="10"/>
        <v>20.613253258888889</v>
      </c>
    </row>
    <row r="187" spans="1:12" x14ac:dyDescent="0.2">
      <c r="A187" s="4">
        <v>43346</v>
      </c>
      <c r="B187" s="6" t="s">
        <v>1074</v>
      </c>
      <c r="C187">
        <v>1</v>
      </c>
      <c r="D187" s="8">
        <v>1</v>
      </c>
      <c r="E187">
        <f>10/9*(50)</f>
        <v>55.555555555555557</v>
      </c>
      <c r="F187" t="s">
        <v>134</v>
      </c>
      <c r="G187" s="15" t="s">
        <v>89</v>
      </c>
      <c r="H187" s="8" t="s">
        <v>1071</v>
      </c>
      <c r="I187">
        <f t="shared" si="12"/>
        <v>55.555555555555557</v>
      </c>
      <c r="J187" s="8">
        <f t="shared" si="9"/>
        <v>25.199576111111114</v>
      </c>
      <c r="K187">
        <v>0.40899999999999997</v>
      </c>
      <c r="L187">
        <f t="shared" si="10"/>
        <v>10.306626629444445</v>
      </c>
    </row>
    <row r="188" spans="1:12" x14ac:dyDescent="0.2">
      <c r="A188" s="4">
        <v>43347</v>
      </c>
      <c r="B188" s="6" t="s">
        <v>1074</v>
      </c>
      <c r="C188">
        <v>1</v>
      </c>
      <c r="D188" s="8">
        <v>1</v>
      </c>
      <c r="E188">
        <f>(10/9)*50</f>
        <v>55.555555555555557</v>
      </c>
      <c r="F188" t="s">
        <v>134</v>
      </c>
      <c r="G188" s="15" t="s">
        <v>89</v>
      </c>
      <c r="H188" s="8" t="s">
        <v>1071</v>
      </c>
      <c r="I188">
        <f t="shared" si="12"/>
        <v>55.555555555555557</v>
      </c>
      <c r="J188" s="8">
        <f t="shared" si="9"/>
        <v>25.199576111111114</v>
      </c>
      <c r="K188">
        <v>0.40899999999999997</v>
      </c>
      <c r="L188">
        <f t="shared" si="10"/>
        <v>10.306626629444445</v>
      </c>
    </row>
    <row r="189" spans="1:12" x14ac:dyDescent="0.2">
      <c r="A189" s="4">
        <v>43348</v>
      </c>
      <c r="B189" s="6" t="s">
        <v>1074</v>
      </c>
      <c r="C189">
        <v>1</v>
      </c>
      <c r="D189" s="8">
        <v>1</v>
      </c>
      <c r="E189">
        <f>10/9*50</f>
        <v>55.555555555555557</v>
      </c>
      <c r="F189" t="s">
        <v>89</v>
      </c>
      <c r="G189" t="s">
        <v>89</v>
      </c>
      <c r="H189" s="8" t="s">
        <v>1071</v>
      </c>
      <c r="I189">
        <f t="shared" si="12"/>
        <v>55.555555555555557</v>
      </c>
      <c r="J189" s="8">
        <f t="shared" si="9"/>
        <v>25.199576111111114</v>
      </c>
      <c r="K189">
        <v>0.40899999999999997</v>
      </c>
      <c r="L189">
        <f t="shared" si="10"/>
        <v>10.306626629444445</v>
      </c>
    </row>
    <row r="190" spans="1:12" x14ac:dyDescent="0.2">
      <c r="A190" s="4">
        <v>43349</v>
      </c>
      <c r="B190" s="6" t="s">
        <v>1074</v>
      </c>
      <c r="C190">
        <v>1</v>
      </c>
      <c r="D190" s="8">
        <v>1</v>
      </c>
      <c r="E190">
        <f>10/9*50</f>
        <v>55.555555555555557</v>
      </c>
      <c r="F190" t="s">
        <v>89</v>
      </c>
      <c r="G190" t="s">
        <v>89</v>
      </c>
      <c r="H190" s="8" t="s">
        <v>1071</v>
      </c>
      <c r="I190">
        <f t="shared" si="12"/>
        <v>55.555555555555557</v>
      </c>
      <c r="J190" s="8">
        <f t="shared" si="9"/>
        <v>25.199576111111114</v>
      </c>
      <c r="K190">
        <v>0.40899999999999997</v>
      </c>
      <c r="L190">
        <f t="shared" si="10"/>
        <v>10.306626629444445</v>
      </c>
    </row>
    <row r="191" spans="1:12" x14ac:dyDescent="0.2">
      <c r="A191" s="4">
        <v>43439</v>
      </c>
      <c r="B191" t="s">
        <v>538</v>
      </c>
      <c r="C191">
        <v>2</v>
      </c>
      <c r="D191">
        <v>4</v>
      </c>
      <c r="E191">
        <v>8.35</v>
      </c>
      <c r="F191" t="s">
        <v>595</v>
      </c>
      <c r="G191" t="s">
        <v>89</v>
      </c>
      <c r="H191" s="9" t="s">
        <v>1071</v>
      </c>
      <c r="I191">
        <f t="shared" si="12"/>
        <v>66.8</v>
      </c>
      <c r="J191">
        <f t="shared" si="9"/>
        <v>30.299970316</v>
      </c>
      <c r="K191">
        <v>0.40899999999999997</v>
      </c>
      <c r="L191">
        <f t="shared" si="10"/>
        <v>12.392687859243999</v>
      </c>
    </row>
    <row r="192" spans="1:12" x14ac:dyDescent="0.2">
      <c r="A192" s="4">
        <v>43343</v>
      </c>
      <c r="B192" s="6" t="s">
        <v>1074</v>
      </c>
      <c r="C192">
        <v>1</v>
      </c>
      <c r="D192" s="8">
        <v>1</v>
      </c>
      <c r="E192">
        <f>1</f>
        <v>1</v>
      </c>
      <c r="F192" t="s">
        <v>95</v>
      </c>
      <c r="G192" t="s">
        <v>95</v>
      </c>
      <c r="H192" s="8" t="s">
        <v>1071</v>
      </c>
      <c r="I192">
        <f t="shared" si="12"/>
        <v>1</v>
      </c>
      <c r="J192" s="8">
        <f t="shared" si="9"/>
        <v>0.45359237000000002</v>
      </c>
      <c r="K192">
        <v>0.87</v>
      </c>
      <c r="L192">
        <f t="shared" si="10"/>
        <v>0.39462536190000003</v>
      </c>
    </row>
    <row r="193" spans="1:12" x14ac:dyDescent="0.2">
      <c r="A193" s="4">
        <v>43434</v>
      </c>
      <c r="B193" t="s">
        <v>517</v>
      </c>
      <c r="C193">
        <v>12</v>
      </c>
      <c r="D193">
        <v>2</v>
      </c>
      <c r="E193">
        <v>20</v>
      </c>
      <c r="F193" t="s">
        <v>381</v>
      </c>
      <c r="G193" t="s">
        <v>843</v>
      </c>
      <c r="H193" s="9" t="s">
        <v>1073</v>
      </c>
      <c r="I193">
        <f t="shared" si="12"/>
        <v>480</v>
      </c>
      <c r="J193">
        <f t="shared" si="9"/>
        <v>217.72433760000001</v>
      </c>
      <c r="K193">
        <v>3.754</v>
      </c>
      <c r="L193">
        <f t="shared" si="10"/>
        <v>817.33716335040003</v>
      </c>
    </row>
    <row r="194" spans="1:12" x14ac:dyDescent="0.2">
      <c r="A194" s="4">
        <v>43434</v>
      </c>
      <c r="B194" t="s">
        <v>517</v>
      </c>
      <c r="C194">
        <v>1</v>
      </c>
      <c r="D194">
        <v>15</v>
      </c>
      <c r="E194">
        <v>2</v>
      </c>
      <c r="F194" t="s">
        <v>385</v>
      </c>
      <c r="G194" t="s">
        <v>843</v>
      </c>
      <c r="H194" s="9" t="s">
        <v>1073</v>
      </c>
      <c r="I194">
        <f t="shared" si="12"/>
        <v>30</v>
      </c>
      <c r="J194">
        <f t="shared" si="9"/>
        <v>13.607771100000001</v>
      </c>
      <c r="K194">
        <v>3.754</v>
      </c>
      <c r="L194">
        <f t="shared" si="10"/>
        <v>51.083572709400002</v>
      </c>
    </row>
    <row r="195" spans="1:12" x14ac:dyDescent="0.2">
      <c r="A195" s="4">
        <v>43434</v>
      </c>
      <c r="B195" t="s">
        <v>517</v>
      </c>
      <c r="C195">
        <v>2</v>
      </c>
      <c r="D195">
        <v>15</v>
      </c>
      <c r="E195">
        <f>24/16</f>
        <v>1.5</v>
      </c>
      <c r="F195" t="s">
        <v>386</v>
      </c>
      <c r="G195" t="s">
        <v>843</v>
      </c>
      <c r="H195" s="9" t="s">
        <v>1073</v>
      </c>
      <c r="I195">
        <f t="shared" si="12"/>
        <v>45</v>
      </c>
      <c r="J195">
        <f t="shared" ref="J195:J258" si="13">CONVERT(I195,"lbm","kg")</f>
        <v>20.411656650000001</v>
      </c>
      <c r="K195">
        <v>3.754</v>
      </c>
      <c r="L195">
        <f t="shared" ref="L195:L258" si="14">J195*K195</f>
        <v>76.62535906410001</v>
      </c>
    </row>
    <row r="196" spans="1:12" x14ac:dyDescent="0.2">
      <c r="A196" s="4">
        <v>43437</v>
      </c>
      <c r="B196" t="s">
        <v>517</v>
      </c>
      <c r="C196">
        <v>13</v>
      </c>
      <c r="D196">
        <v>2</v>
      </c>
      <c r="E196">
        <v>20</v>
      </c>
      <c r="F196" t="s">
        <v>381</v>
      </c>
      <c r="G196" t="s">
        <v>843</v>
      </c>
      <c r="H196" s="9" t="s">
        <v>1073</v>
      </c>
      <c r="I196">
        <f t="shared" si="12"/>
        <v>520</v>
      </c>
      <c r="J196">
        <f t="shared" si="13"/>
        <v>235.8680324</v>
      </c>
      <c r="K196">
        <v>3.754</v>
      </c>
      <c r="L196">
        <f t="shared" si="14"/>
        <v>885.44859362960005</v>
      </c>
    </row>
    <row r="197" spans="1:12" x14ac:dyDescent="0.2">
      <c r="A197" s="4">
        <v>43437</v>
      </c>
      <c r="B197" t="s">
        <v>517</v>
      </c>
      <c r="C197">
        <v>2</v>
      </c>
      <c r="D197">
        <v>15</v>
      </c>
      <c r="E197">
        <v>2</v>
      </c>
      <c r="F197" t="s">
        <v>385</v>
      </c>
      <c r="G197" t="s">
        <v>843</v>
      </c>
      <c r="H197" s="9" t="s">
        <v>1073</v>
      </c>
      <c r="I197">
        <f t="shared" si="12"/>
        <v>60</v>
      </c>
      <c r="J197">
        <f t="shared" si="13"/>
        <v>27.215542200000002</v>
      </c>
      <c r="K197">
        <v>3.754</v>
      </c>
      <c r="L197">
        <f t="shared" si="14"/>
        <v>102.1671454188</v>
      </c>
    </row>
    <row r="198" spans="1:12" x14ac:dyDescent="0.2">
      <c r="A198" s="4">
        <v>43439</v>
      </c>
      <c r="B198" t="s">
        <v>517</v>
      </c>
      <c r="C198">
        <v>8</v>
      </c>
      <c r="D198">
        <v>2</v>
      </c>
      <c r="E198">
        <v>20</v>
      </c>
      <c r="F198" t="s">
        <v>381</v>
      </c>
      <c r="G198" t="s">
        <v>843</v>
      </c>
      <c r="H198" s="9" t="s">
        <v>1073</v>
      </c>
      <c r="I198">
        <f t="shared" si="12"/>
        <v>320</v>
      </c>
      <c r="J198">
        <f t="shared" si="13"/>
        <v>145.14955840000002</v>
      </c>
      <c r="K198">
        <v>3.754</v>
      </c>
      <c r="L198">
        <f t="shared" si="14"/>
        <v>544.89144223360006</v>
      </c>
    </row>
    <row r="199" spans="1:12" x14ac:dyDescent="0.2">
      <c r="A199" s="4">
        <v>43439</v>
      </c>
      <c r="B199" t="s">
        <v>517</v>
      </c>
      <c r="C199">
        <v>2</v>
      </c>
      <c r="D199">
        <v>15</v>
      </c>
      <c r="E199">
        <v>2</v>
      </c>
      <c r="F199" t="s">
        <v>385</v>
      </c>
      <c r="G199" t="s">
        <v>843</v>
      </c>
      <c r="H199" s="9" t="s">
        <v>1073</v>
      </c>
      <c r="I199">
        <f t="shared" si="12"/>
        <v>60</v>
      </c>
      <c r="J199">
        <f t="shared" si="13"/>
        <v>27.215542200000002</v>
      </c>
      <c r="K199">
        <v>3.754</v>
      </c>
      <c r="L199">
        <f t="shared" si="14"/>
        <v>102.1671454188</v>
      </c>
    </row>
    <row r="200" spans="1:12" x14ac:dyDescent="0.2">
      <c r="A200" s="4">
        <v>43439</v>
      </c>
      <c r="B200" t="s">
        <v>517</v>
      </c>
      <c r="C200">
        <v>4</v>
      </c>
      <c r="D200">
        <v>15</v>
      </c>
      <c r="E200">
        <f>24/16</f>
        <v>1.5</v>
      </c>
      <c r="F200" t="s">
        <v>386</v>
      </c>
      <c r="G200" t="s">
        <v>843</v>
      </c>
      <c r="H200" s="9" t="s">
        <v>1073</v>
      </c>
      <c r="I200">
        <f t="shared" si="12"/>
        <v>90</v>
      </c>
      <c r="J200">
        <f t="shared" si="13"/>
        <v>40.823313300000002</v>
      </c>
      <c r="K200">
        <v>3.754</v>
      </c>
      <c r="L200">
        <f t="shared" si="14"/>
        <v>153.25071812820002</v>
      </c>
    </row>
    <row r="201" spans="1:12" x14ac:dyDescent="0.2">
      <c r="A201" s="4">
        <v>43343</v>
      </c>
      <c r="B201" s="6" t="s">
        <v>1074</v>
      </c>
      <c r="C201">
        <v>1</v>
      </c>
      <c r="D201" s="8">
        <v>1</v>
      </c>
      <c r="E201">
        <f>(10/9)*35*2</f>
        <v>77.777777777777786</v>
      </c>
      <c r="F201" t="s">
        <v>90</v>
      </c>
      <c r="G201" t="s">
        <v>90</v>
      </c>
      <c r="H201" s="8" t="s">
        <v>1071</v>
      </c>
      <c r="I201">
        <f t="shared" si="12"/>
        <v>77.777777777777786</v>
      </c>
      <c r="J201" s="8">
        <f t="shared" si="13"/>
        <v>35.27940655555556</v>
      </c>
      <c r="K201">
        <v>0.52600000000000002</v>
      </c>
      <c r="L201">
        <f t="shared" si="14"/>
        <v>18.556967848222225</v>
      </c>
    </row>
    <row r="202" spans="1:12" x14ac:dyDescent="0.2">
      <c r="A202" s="4">
        <v>43346</v>
      </c>
      <c r="B202" s="6" t="s">
        <v>1074</v>
      </c>
      <c r="C202">
        <v>2</v>
      </c>
      <c r="D202" s="8">
        <v>1</v>
      </c>
      <c r="E202">
        <f>10/9*(35)</f>
        <v>38.888888888888893</v>
      </c>
      <c r="F202" t="s">
        <v>135</v>
      </c>
      <c r="G202" s="15" t="s">
        <v>90</v>
      </c>
      <c r="H202" s="8" t="s">
        <v>1071</v>
      </c>
      <c r="I202">
        <f t="shared" si="12"/>
        <v>77.777777777777786</v>
      </c>
      <c r="J202" s="8">
        <f t="shared" si="13"/>
        <v>35.27940655555556</v>
      </c>
      <c r="K202">
        <v>0.52600000000000002</v>
      </c>
      <c r="L202">
        <f t="shared" si="14"/>
        <v>18.556967848222225</v>
      </c>
    </row>
    <row r="203" spans="1:12" x14ac:dyDescent="0.2">
      <c r="A203" s="4">
        <v>43348</v>
      </c>
      <c r="B203" s="6" t="s">
        <v>1074</v>
      </c>
      <c r="C203">
        <v>2</v>
      </c>
      <c r="D203" s="8">
        <v>1</v>
      </c>
      <c r="E203">
        <f>10/9*35</f>
        <v>38.888888888888893</v>
      </c>
      <c r="F203" t="s">
        <v>90</v>
      </c>
      <c r="G203" t="s">
        <v>90</v>
      </c>
      <c r="H203" s="8" t="s">
        <v>1071</v>
      </c>
      <c r="I203">
        <f t="shared" si="12"/>
        <v>77.777777777777786</v>
      </c>
      <c r="J203" s="8">
        <f t="shared" si="13"/>
        <v>35.27940655555556</v>
      </c>
      <c r="K203">
        <v>0.52600000000000002</v>
      </c>
      <c r="L203">
        <f t="shared" si="14"/>
        <v>18.556967848222225</v>
      </c>
    </row>
    <row r="204" spans="1:12" x14ac:dyDescent="0.2">
      <c r="A204" s="4">
        <v>43349</v>
      </c>
      <c r="B204" s="6" t="s">
        <v>1074</v>
      </c>
      <c r="C204">
        <v>2</v>
      </c>
      <c r="D204" s="8">
        <v>1</v>
      </c>
      <c r="E204">
        <f>10/9*35</f>
        <v>38.888888888888893</v>
      </c>
      <c r="F204" t="s">
        <v>90</v>
      </c>
      <c r="G204" t="s">
        <v>90</v>
      </c>
      <c r="H204" s="8" t="s">
        <v>1071</v>
      </c>
      <c r="I204">
        <f t="shared" si="12"/>
        <v>77.777777777777786</v>
      </c>
      <c r="J204" s="8">
        <f t="shared" si="13"/>
        <v>35.27940655555556</v>
      </c>
      <c r="K204">
        <v>0.52600000000000002</v>
      </c>
      <c r="L204">
        <f t="shared" si="14"/>
        <v>18.556967848222225</v>
      </c>
    </row>
    <row r="205" spans="1:12" x14ac:dyDescent="0.2">
      <c r="A205" s="4">
        <v>43434</v>
      </c>
      <c r="B205" t="s">
        <v>527</v>
      </c>
      <c r="C205">
        <v>6</v>
      </c>
      <c r="D205">
        <v>1</v>
      </c>
      <c r="E205">
        <v>10</v>
      </c>
      <c r="F205" t="s">
        <v>528</v>
      </c>
      <c r="G205" t="s">
        <v>884</v>
      </c>
      <c r="H205" s="9" t="s">
        <v>1072</v>
      </c>
      <c r="I205">
        <f t="shared" si="12"/>
        <v>60</v>
      </c>
      <c r="J205">
        <f t="shared" si="13"/>
        <v>27.215542200000002</v>
      </c>
      <c r="K205">
        <v>3.0209999999999999</v>
      </c>
      <c r="L205">
        <f t="shared" si="14"/>
        <v>82.218152986199996</v>
      </c>
    </row>
    <row r="206" spans="1:12" x14ac:dyDescent="0.2">
      <c r="A206" s="4">
        <v>43434</v>
      </c>
      <c r="B206" t="s">
        <v>527</v>
      </c>
      <c r="C206">
        <v>8</v>
      </c>
      <c r="D206">
        <v>1</v>
      </c>
      <c r="E206">
        <v>10</v>
      </c>
      <c r="F206" t="s">
        <v>529</v>
      </c>
      <c r="G206" t="s">
        <v>884</v>
      </c>
      <c r="H206" s="9" t="s">
        <v>1072</v>
      </c>
      <c r="I206">
        <f t="shared" si="12"/>
        <v>80</v>
      </c>
      <c r="J206">
        <f t="shared" si="13"/>
        <v>36.287389600000004</v>
      </c>
      <c r="K206">
        <v>3.0209999999999999</v>
      </c>
      <c r="L206">
        <f t="shared" si="14"/>
        <v>109.6242039816</v>
      </c>
    </row>
    <row r="207" spans="1:12" x14ac:dyDescent="0.2">
      <c r="A207" s="4">
        <v>43437</v>
      </c>
      <c r="B207" t="s">
        <v>527</v>
      </c>
      <c r="C207">
        <v>10</v>
      </c>
      <c r="D207">
        <v>1</v>
      </c>
      <c r="E207">
        <v>10</v>
      </c>
      <c r="F207" t="s">
        <v>528</v>
      </c>
      <c r="G207" t="s">
        <v>884</v>
      </c>
      <c r="H207" s="9" t="s">
        <v>1072</v>
      </c>
      <c r="I207">
        <f t="shared" si="12"/>
        <v>100</v>
      </c>
      <c r="J207">
        <f t="shared" si="13"/>
        <v>45.359237</v>
      </c>
      <c r="K207">
        <v>3.0209999999999999</v>
      </c>
      <c r="L207">
        <f t="shared" si="14"/>
        <v>137.030254977</v>
      </c>
    </row>
    <row r="208" spans="1:12" x14ac:dyDescent="0.2">
      <c r="A208" s="4">
        <v>43437</v>
      </c>
      <c r="B208" t="s">
        <v>527</v>
      </c>
      <c r="C208">
        <v>5</v>
      </c>
      <c r="D208">
        <v>1</v>
      </c>
      <c r="E208">
        <v>10</v>
      </c>
      <c r="F208" t="s">
        <v>529</v>
      </c>
      <c r="G208" t="s">
        <v>884</v>
      </c>
      <c r="H208" s="9" t="s">
        <v>1072</v>
      </c>
      <c r="I208">
        <f t="shared" si="12"/>
        <v>50</v>
      </c>
      <c r="J208">
        <f t="shared" si="13"/>
        <v>22.6796185</v>
      </c>
      <c r="K208">
        <v>3.0209999999999999</v>
      </c>
      <c r="L208">
        <f t="shared" si="14"/>
        <v>68.515127488499999</v>
      </c>
    </row>
    <row r="209" spans="1:12" x14ac:dyDescent="0.2">
      <c r="A209" s="4">
        <v>43437</v>
      </c>
      <c r="B209" t="s">
        <v>527</v>
      </c>
      <c r="C209">
        <v>4</v>
      </c>
      <c r="D209">
        <v>1</v>
      </c>
      <c r="E209">
        <v>15</v>
      </c>
      <c r="F209" t="s">
        <v>1013</v>
      </c>
      <c r="G209" t="s">
        <v>884</v>
      </c>
      <c r="H209" s="9" t="s">
        <v>1072</v>
      </c>
      <c r="I209">
        <f t="shared" si="12"/>
        <v>60</v>
      </c>
      <c r="J209">
        <f t="shared" si="13"/>
        <v>27.215542200000002</v>
      </c>
      <c r="K209">
        <v>3.0209999999999999</v>
      </c>
      <c r="L209">
        <f t="shared" si="14"/>
        <v>82.218152986199996</v>
      </c>
    </row>
    <row r="210" spans="1:12" x14ac:dyDescent="0.2">
      <c r="A210" s="4">
        <v>43439</v>
      </c>
      <c r="B210" t="s">
        <v>527</v>
      </c>
      <c r="C210">
        <v>1</v>
      </c>
      <c r="D210">
        <v>1</v>
      </c>
      <c r="E210">
        <v>10</v>
      </c>
      <c r="F210" t="s">
        <v>528</v>
      </c>
      <c r="G210" t="s">
        <v>884</v>
      </c>
      <c r="H210" s="9" t="s">
        <v>1072</v>
      </c>
      <c r="I210">
        <f t="shared" si="12"/>
        <v>10</v>
      </c>
      <c r="J210">
        <f t="shared" si="13"/>
        <v>4.5359237000000006</v>
      </c>
      <c r="K210">
        <v>3.0209999999999999</v>
      </c>
      <c r="L210">
        <f t="shared" si="14"/>
        <v>13.703025497700001</v>
      </c>
    </row>
    <row r="211" spans="1:12" x14ac:dyDescent="0.2">
      <c r="A211" s="4">
        <v>43439</v>
      </c>
      <c r="B211" t="s">
        <v>527</v>
      </c>
      <c r="C211">
        <v>8</v>
      </c>
      <c r="D211">
        <v>1</v>
      </c>
      <c r="E211">
        <v>15</v>
      </c>
      <c r="F211" t="s">
        <v>1013</v>
      </c>
      <c r="G211" t="s">
        <v>884</v>
      </c>
      <c r="H211" s="9" t="s">
        <v>1072</v>
      </c>
      <c r="I211">
        <f t="shared" si="12"/>
        <v>120</v>
      </c>
      <c r="J211">
        <f t="shared" si="13"/>
        <v>54.431084400000003</v>
      </c>
      <c r="K211">
        <v>3.0209999999999999</v>
      </c>
      <c r="L211">
        <f t="shared" si="14"/>
        <v>164.43630597239999</v>
      </c>
    </row>
    <row r="212" spans="1:12" x14ac:dyDescent="0.2">
      <c r="A212" s="4">
        <v>43434</v>
      </c>
      <c r="B212" t="s">
        <v>538</v>
      </c>
      <c r="C212">
        <v>6</v>
      </c>
      <c r="D212">
        <v>1</v>
      </c>
      <c r="E212">
        <v>50</v>
      </c>
      <c r="F212" t="s">
        <v>431</v>
      </c>
      <c r="G212" t="s">
        <v>863</v>
      </c>
      <c r="H212" s="9" t="s">
        <v>1071</v>
      </c>
      <c r="I212">
        <f t="shared" si="12"/>
        <v>300</v>
      </c>
      <c r="J212">
        <f t="shared" si="13"/>
        <v>136.07771100000002</v>
      </c>
      <c r="K212">
        <v>0.35799999999999998</v>
      </c>
      <c r="L212">
        <f t="shared" si="14"/>
        <v>48.715820538000003</v>
      </c>
    </row>
    <row r="213" spans="1:12" x14ac:dyDescent="0.2">
      <c r="A213" s="4">
        <v>43434</v>
      </c>
      <c r="B213" t="s">
        <v>538</v>
      </c>
      <c r="C213">
        <v>4</v>
      </c>
      <c r="D213">
        <v>1</v>
      </c>
      <c r="E213">
        <v>25</v>
      </c>
      <c r="F213" t="s">
        <v>446</v>
      </c>
      <c r="G213" t="s">
        <v>863</v>
      </c>
      <c r="H213" s="9" t="s">
        <v>1071</v>
      </c>
      <c r="I213">
        <f t="shared" si="12"/>
        <v>100</v>
      </c>
      <c r="J213">
        <f t="shared" si="13"/>
        <v>45.359237</v>
      </c>
      <c r="K213">
        <v>0.35799999999999998</v>
      </c>
      <c r="L213">
        <f t="shared" si="14"/>
        <v>16.238606846</v>
      </c>
    </row>
    <row r="214" spans="1:12" x14ac:dyDescent="0.2">
      <c r="A214" s="4">
        <v>43437</v>
      </c>
      <c r="B214" t="s">
        <v>538</v>
      </c>
      <c r="C214">
        <v>1</v>
      </c>
      <c r="D214">
        <v>1</v>
      </c>
      <c r="E214">
        <v>50</v>
      </c>
      <c r="F214" t="s">
        <v>431</v>
      </c>
      <c r="G214" t="s">
        <v>863</v>
      </c>
      <c r="H214" s="9" t="s">
        <v>1071</v>
      </c>
      <c r="I214">
        <f t="shared" si="12"/>
        <v>50</v>
      </c>
      <c r="J214">
        <f t="shared" si="13"/>
        <v>22.6796185</v>
      </c>
      <c r="K214">
        <v>0.35799999999999998</v>
      </c>
      <c r="L214">
        <f t="shared" si="14"/>
        <v>8.1193034229999999</v>
      </c>
    </row>
    <row r="215" spans="1:12" x14ac:dyDescent="0.2">
      <c r="A215" s="4">
        <v>43439</v>
      </c>
      <c r="B215" t="s">
        <v>538</v>
      </c>
      <c r="C215">
        <v>5</v>
      </c>
      <c r="D215">
        <v>1</v>
      </c>
      <c r="E215">
        <v>50</v>
      </c>
      <c r="F215" t="s">
        <v>431</v>
      </c>
      <c r="G215" t="s">
        <v>863</v>
      </c>
      <c r="H215" s="9" t="s">
        <v>1071</v>
      </c>
      <c r="I215">
        <f t="shared" si="12"/>
        <v>250</v>
      </c>
      <c r="J215">
        <f t="shared" si="13"/>
        <v>113.3980925</v>
      </c>
      <c r="K215">
        <v>0.35799999999999998</v>
      </c>
      <c r="L215">
        <f t="shared" si="14"/>
        <v>40.596517114999997</v>
      </c>
    </row>
    <row r="216" spans="1:12" x14ac:dyDescent="0.2">
      <c r="A216" s="4">
        <v>43343</v>
      </c>
      <c r="B216" s="6" t="s">
        <v>1074</v>
      </c>
      <c r="C216">
        <v>1</v>
      </c>
      <c r="D216" s="8">
        <v>1</v>
      </c>
      <c r="E216">
        <f>4*8.35*1</f>
        <v>33.4</v>
      </c>
      <c r="F216" t="s">
        <v>91</v>
      </c>
      <c r="G216" t="s">
        <v>205</v>
      </c>
      <c r="H216" s="8" t="s">
        <v>1071</v>
      </c>
      <c r="I216">
        <f t="shared" si="12"/>
        <v>33.4</v>
      </c>
      <c r="J216" s="8">
        <f t="shared" si="13"/>
        <v>15.149985158</v>
      </c>
      <c r="K216">
        <v>0.74299999999999999</v>
      </c>
      <c r="L216">
        <f t="shared" si="14"/>
        <v>11.256438972393999</v>
      </c>
    </row>
    <row r="217" spans="1:12" x14ac:dyDescent="0.2">
      <c r="A217" s="4">
        <v>43344</v>
      </c>
      <c r="B217" s="6" t="s">
        <v>1074</v>
      </c>
      <c r="C217">
        <v>1</v>
      </c>
      <c r="D217" s="8">
        <v>1</v>
      </c>
      <c r="E217">
        <f>4*4.54</f>
        <v>18.16</v>
      </c>
      <c r="F217" t="s">
        <v>121</v>
      </c>
      <c r="G217" t="s">
        <v>205</v>
      </c>
      <c r="H217" s="8" t="s">
        <v>1071</v>
      </c>
      <c r="I217">
        <f t="shared" si="12"/>
        <v>18.16</v>
      </c>
      <c r="J217" s="8">
        <f t="shared" si="13"/>
        <v>8.2372374392000012</v>
      </c>
      <c r="K217">
        <v>0.74299999999999999</v>
      </c>
      <c r="L217">
        <f t="shared" si="14"/>
        <v>6.1202674173256009</v>
      </c>
    </row>
    <row r="218" spans="1:12" x14ac:dyDescent="0.2">
      <c r="A218" s="4">
        <v>43347</v>
      </c>
      <c r="B218" s="6" t="s">
        <v>1074</v>
      </c>
      <c r="C218">
        <v>1</v>
      </c>
      <c r="D218" s="8">
        <v>1</v>
      </c>
      <c r="E218">
        <f>4*4.54</f>
        <v>18.16</v>
      </c>
      <c r="F218" t="s">
        <v>121</v>
      </c>
      <c r="G218" t="s">
        <v>205</v>
      </c>
      <c r="H218" s="8" t="s">
        <v>1071</v>
      </c>
      <c r="I218">
        <f t="shared" si="12"/>
        <v>18.16</v>
      </c>
      <c r="J218" s="8">
        <f t="shared" si="13"/>
        <v>8.2372374392000012</v>
      </c>
      <c r="K218">
        <v>0.74299999999999999</v>
      </c>
      <c r="L218">
        <f t="shared" si="14"/>
        <v>6.1202674173256009</v>
      </c>
    </row>
    <row r="219" spans="1:12" x14ac:dyDescent="0.2">
      <c r="A219" s="4">
        <v>43347</v>
      </c>
      <c r="B219" s="6" t="s">
        <v>1074</v>
      </c>
      <c r="C219">
        <v>1</v>
      </c>
      <c r="D219" s="8">
        <v>1</v>
      </c>
      <c r="E219">
        <f>4*4.54</f>
        <v>18.16</v>
      </c>
      <c r="F219" t="s">
        <v>121</v>
      </c>
      <c r="G219" t="s">
        <v>205</v>
      </c>
      <c r="H219" s="8" t="s">
        <v>1071</v>
      </c>
      <c r="I219">
        <f t="shared" si="12"/>
        <v>18.16</v>
      </c>
      <c r="J219" s="8">
        <f t="shared" si="13"/>
        <v>8.2372374392000012</v>
      </c>
      <c r="K219">
        <v>0.74299999999999999</v>
      </c>
      <c r="L219">
        <f t="shared" si="14"/>
        <v>6.1202674173256009</v>
      </c>
    </row>
    <row r="220" spans="1:12" x14ac:dyDescent="0.2">
      <c r="A220" s="4">
        <v>43343</v>
      </c>
      <c r="B220" s="6" t="s">
        <v>1074</v>
      </c>
      <c r="C220">
        <v>1</v>
      </c>
      <c r="D220" s="8">
        <v>1</v>
      </c>
      <c r="E220">
        <f>25*3</f>
        <v>75</v>
      </c>
      <c r="F220" t="s">
        <v>79</v>
      </c>
      <c r="G220" t="s">
        <v>215</v>
      </c>
      <c r="H220" s="8" t="s">
        <v>1071</v>
      </c>
      <c r="I220">
        <f t="shared" si="12"/>
        <v>75</v>
      </c>
      <c r="J220" s="8">
        <f t="shared" si="13"/>
        <v>34.019427750000006</v>
      </c>
      <c r="K220">
        <v>0.95</v>
      </c>
      <c r="L220">
        <f t="shared" si="14"/>
        <v>32.318456362500001</v>
      </c>
    </row>
    <row r="221" spans="1:12" x14ac:dyDescent="0.2">
      <c r="A221" s="4">
        <v>43343</v>
      </c>
      <c r="B221" s="6" t="s">
        <v>1074</v>
      </c>
      <c r="C221">
        <v>1</v>
      </c>
      <c r="D221" s="8">
        <v>1</v>
      </c>
      <c r="E221">
        <f>18*8</f>
        <v>144</v>
      </c>
      <c r="F221" t="s">
        <v>92</v>
      </c>
      <c r="G221" t="s">
        <v>764</v>
      </c>
      <c r="H221" s="8" t="s">
        <v>1071</v>
      </c>
      <c r="I221">
        <f t="shared" si="12"/>
        <v>144</v>
      </c>
      <c r="J221" s="8">
        <f t="shared" si="13"/>
        <v>65.317301279999995</v>
      </c>
      <c r="K221">
        <v>0.47799999999999998</v>
      </c>
      <c r="L221">
        <f t="shared" si="14"/>
        <v>31.221670011839997</v>
      </c>
    </row>
    <row r="222" spans="1:12" x14ac:dyDescent="0.2">
      <c r="A222" s="4">
        <v>43347</v>
      </c>
      <c r="B222" s="6" t="s">
        <v>1074</v>
      </c>
      <c r="C222">
        <v>4</v>
      </c>
      <c r="D222" s="8">
        <v>1</v>
      </c>
      <c r="E222">
        <v>18</v>
      </c>
      <c r="F222" t="s">
        <v>156</v>
      </c>
      <c r="G222" t="s">
        <v>764</v>
      </c>
      <c r="H222" s="8" t="s">
        <v>1071</v>
      </c>
      <c r="I222">
        <f t="shared" si="12"/>
        <v>72</v>
      </c>
      <c r="J222" s="8">
        <f t="shared" si="13"/>
        <v>32.658650639999998</v>
      </c>
      <c r="K222">
        <v>0.47799999999999998</v>
      </c>
      <c r="L222">
        <f t="shared" si="14"/>
        <v>15.610835005919999</v>
      </c>
    </row>
    <row r="223" spans="1:12" x14ac:dyDescent="0.2">
      <c r="A223" s="4">
        <v>43348</v>
      </c>
      <c r="B223" s="6" t="s">
        <v>1074</v>
      </c>
      <c r="C223">
        <v>2</v>
      </c>
      <c r="D223" s="8">
        <v>1</v>
      </c>
      <c r="E223">
        <v>18</v>
      </c>
      <c r="F223" t="s">
        <v>92</v>
      </c>
      <c r="G223" t="s">
        <v>764</v>
      </c>
      <c r="H223" s="8" t="s">
        <v>1071</v>
      </c>
      <c r="I223">
        <f t="shared" si="12"/>
        <v>36</v>
      </c>
      <c r="J223" s="8">
        <f t="shared" si="13"/>
        <v>16.329325319999999</v>
      </c>
      <c r="K223">
        <v>0.47799999999999998</v>
      </c>
      <c r="L223">
        <f t="shared" si="14"/>
        <v>7.8054175029599993</v>
      </c>
    </row>
    <row r="224" spans="1:12" x14ac:dyDescent="0.2">
      <c r="A224" s="4">
        <v>43349</v>
      </c>
      <c r="B224" s="6" t="s">
        <v>1074</v>
      </c>
      <c r="C224">
        <v>4</v>
      </c>
      <c r="D224" s="8">
        <v>1</v>
      </c>
      <c r="E224">
        <v>18</v>
      </c>
      <c r="F224" t="s">
        <v>92</v>
      </c>
      <c r="G224" t="s">
        <v>764</v>
      </c>
      <c r="H224" s="8" t="s">
        <v>1071</v>
      </c>
      <c r="I224">
        <f t="shared" si="12"/>
        <v>72</v>
      </c>
      <c r="J224" s="8">
        <f t="shared" si="13"/>
        <v>32.658650639999998</v>
      </c>
      <c r="K224">
        <v>0.47799999999999998</v>
      </c>
      <c r="L224">
        <f t="shared" si="14"/>
        <v>15.610835005919999</v>
      </c>
    </row>
    <row r="225" spans="1:12" x14ac:dyDescent="0.2">
      <c r="A225" s="10">
        <v>43348</v>
      </c>
      <c r="B225" s="8" t="s">
        <v>27</v>
      </c>
      <c r="C225">
        <v>1</v>
      </c>
      <c r="D225">
        <v>1</v>
      </c>
      <c r="E225" s="9">
        <v>100</v>
      </c>
      <c r="F225" s="9" t="s">
        <v>28</v>
      </c>
      <c r="G225" s="9" t="s">
        <v>28</v>
      </c>
      <c r="H225" s="8" t="s">
        <v>1071</v>
      </c>
      <c r="I225">
        <f t="shared" si="12"/>
        <v>100</v>
      </c>
      <c r="J225" s="8">
        <f t="shared" si="13"/>
        <v>45.359237</v>
      </c>
      <c r="K225">
        <v>0.55000000000000004</v>
      </c>
      <c r="L225">
        <f t="shared" si="14"/>
        <v>24.947580350000003</v>
      </c>
    </row>
    <row r="226" spans="1:12" x14ac:dyDescent="0.2">
      <c r="A226" s="4">
        <v>43434</v>
      </c>
      <c r="B226" t="s">
        <v>538</v>
      </c>
      <c r="C226">
        <v>2</v>
      </c>
      <c r="D226">
        <v>8</v>
      </c>
      <c r="E226">
        <v>5</v>
      </c>
      <c r="F226" t="s">
        <v>542</v>
      </c>
      <c r="G226" s="6" t="s">
        <v>899</v>
      </c>
      <c r="H226" s="9" t="s">
        <v>1071</v>
      </c>
      <c r="I226">
        <f t="shared" si="12"/>
        <v>80</v>
      </c>
      <c r="J226">
        <f t="shared" si="13"/>
        <v>36.287389600000004</v>
      </c>
      <c r="K226">
        <v>0.55000000000000004</v>
      </c>
      <c r="L226">
        <f t="shared" si="14"/>
        <v>19.958064280000006</v>
      </c>
    </row>
    <row r="227" spans="1:12" x14ac:dyDescent="0.2">
      <c r="A227" s="4">
        <v>43346</v>
      </c>
      <c r="B227" s="9" t="s">
        <v>38</v>
      </c>
      <c r="C227">
        <v>36</v>
      </c>
      <c r="D227" s="8">
        <v>1</v>
      </c>
      <c r="E227">
        <v>2.0499999999999998</v>
      </c>
      <c r="F227" s="9" t="s">
        <v>43</v>
      </c>
      <c r="G227" s="9" t="s">
        <v>610</v>
      </c>
      <c r="H227" s="8" t="s">
        <v>1073</v>
      </c>
      <c r="I227">
        <f t="shared" si="12"/>
        <v>73.8</v>
      </c>
      <c r="J227" s="8">
        <f t="shared" si="13"/>
        <v>33.475116906000004</v>
      </c>
      <c r="K227">
        <f>(0.5*1.323)+(0.5*5.2)</f>
        <v>3.2614999999999998</v>
      </c>
      <c r="L227">
        <f t="shared" si="14"/>
        <v>109.179093788919</v>
      </c>
    </row>
    <row r="228" spans="1:12" x14ac:dyDescent="0.2">
      <c r="A228" s="4">
        <v>43343</v>
      </c>
      <c r="B228" s="9" t="s">
        <v>38</v>
      </c>
      <c r="C228">
        <v>24</v>
      </c>
      <c r="D228" s="8">
        <v>1</v>
      </c>
      <c r="E228">
        <v>2.0499999999999998</v>
      </c>
      <c r="F228" s="9" t="s">
        <v>43</v>
      </c>
      <c r="G228" s="9" t="s">
        <v>957</v>
      </c>
      <c r="H228" s="8" t="s">
        <v>1073</v>
      </c>
      <c r="I228">
        <f t="shared" si="12"/>
        <v>49.199999999999996</v>
      </c>
      <c r="J228" s="8">
        <f t="shared" si="13"/>
        <v>22.316744604</v>
      </c>
      <c r="K228">
        <f>(0.5*1.323)+(0.5*5.2)</f>
        <v>3.2614999999999998</v>
      </c>
      <c r="L228">
        <f t="shared" si="14"/>
        <v>72.786062525945994</v>
      </c>
    </row>
    <row r="229" spans="1:12" x14ac:dyDescent="0.2">
      <c r="A229" s="4">
        <v>43343</v>
      </c>
      <c r="B229" s="6" t="s">
        <v>1074</v>
      </c>
      <c r="C229">
        <v>1</v>
      </c>
      <c r="D229" s="8">
        <v>1</v>
      </c>
      <c r="E229">
        <f>1*2</f>
        <v>2</v>
      </c>
      <c r="F229" t="s">
        <v>96</v>
      </c>
      <c r="G229" t="s">
        <v>775</v>
      </c>
      <c r="H229" s="8" t="s">
        <v>1071</v>
      </c>
      <c r="I229">
        <f t="shared" si="12"/>
        <v>2</v>
      </c>
      <c r="J229" s="8">
        <f t="shared" si="13"/>
        <v>0.90718474000000004</v>
      </c>
      <c r="K229">
        <v>0.221</v>
      </c>
      <c r="L229">
        <f t="shared" si="14"/>
        <v>0.20048782754000002</v>
      </c>
    </row>
    <row r="230" spans="1:12" x14ac:dyDescent="0.2">
      <c r="A230" s="4">
        <v>43343</v>
      </c>
      <c r="B230" s="6" t="s">
        <v>1074</v>
      </c>
      <c r="C230">
        <v>1</v>
      </c>
      <c r="D230" s="8">
        <v>1</v>
      </c>
      <c r="E230">
        <f>1</f>
        <v>1</v>
      </c>
      <c r="F230" t="s">
        <v>97</v>
      </c>
      <c r="G230" t="s">
        <v>775</v>
      </c>
      <c r="H230" s="8" t="s">
        <v>1071</v>
      </c>
      <c r="I230">
        <f t="shared" si="12"/>
        <v>1</v>
      </c>
      <c r="J230" s="8">
        <f t="shared" si="13"/>
        <v>0.45359237000000002</v>
      </c>
      <c r="K230">
        <v>0.221</v>
      </c>
      <c r="L230">
        <f t="shared" si="14"/>
        <v>0.10024391377000001</v>
      </c>
    </row>
    <row r="231" spans="1:12" x14ac:dyDescent="0.2">
      <c r="A231" s="4">
        <v>43343</v>
      </c>
      <c r="B231" s="6" t="s">
        <v>1074</v>
      </c>
      <c r="C231">
        <v>1</v>
      </c>
      <c r="D231" s="8">
        <v>1</v>
      </c>
      <c r="E231">
        <f>1</f>
        <v>1</v>
      </c>
      <c r="F231" t="s">
        <v>98</v>
      </c>
      <c r="G231" t="s">
        <v>775</v>
      </c>
      <c r="H231" s="8" t="s">
        <v>1071</v>
      </c>
      <c r="I231">
        <f t="shared" si="12"/>
        <v>1</v>
      </c>
      <c r="J231" s="8">
        <f t="shared" si="13"/>
        <v>0.45359237000000002</v>
      </c>
      <c r="K231">
        <v>0.221</v>
      </c>
      <c r="L231">
        <f t="shared" si="14"/>
        <v>0.10024391377000001</v>
      </c>
    </row>
    <row r="232" spans="1:12" x14ac:dyDescent="0.2">
      <c r="A232" s="4">
        <v>43346</v>
      </c>
      <c r="B232" s="6" t="s">
        <v>1074</v>
      </c>
      <c r="C232">
        <v>1</v>
      </c>
      <c r="D232" s="8">
        <v>1</v>
      </c>
      <c r="E232">
        <v>1</v>
      </c>
      <c r="F232" t="s">
        <v>1004</v>
      </c>
      <c r="G232" t="s">
        <v>775</v>
      </c>
      <c r="H232" s="8" t="s">
        <v>1071</v>
      </c>
      <c r="I232">
        <f t="shared" si="12"/>
        <v>1</v>
      </c>
      <c r="J232" s="8">
        <f t="shared" si="13"/>
        <v>0.45359237000000002</v>
      </c>
      <c r="K232">
        <v>0.221</v>
      </c>
      <c r="L232">
        <f t="shared" si="14"/>
        <v>0.10024391377000001</v>
      </c>
    </row>
    <row r="233" spans="1:12" x14ac:dyDescent="0.2">
      <c r="A233" s="4">
        <v>43343</v>
      </c>
      <c r="B233" s="6" t="s">
        <v>1074</v>
      </c>
      <c r="C233">
        <v>1</v>
      </c>
      <c r="D233" s="8">
        <v>1</v>
      </c>
      <c r="E233">
        <f>30*2</f>
        <v>60</v>
      </c>
      <c r="F233" t="s">
        <v>78</v>
      </c>
      <c r="G233" s="6" t="s">
        <v>1085</v>
      </c>
      <c r="H233" s="8" t="s">
        <v>1071</v>
      </c>
      <c r="I233">
        <f t="shared" si="12"/>
        <v>60</v>
      </c>
      <c r="J233" s="8">
        <f t="shared" si="13"/>
        <v>27.215542200000002</v>
      </c>
      <c r="K233">
        <v>0.221</v>
      </c>
      <c r="L233">
        <f t="shared" si="14"/>
        <v>6.0146348262</v>
      </c>
    </row>
    <row r="234" spans="1:12" x14ac:dyDescent="0.2">
      <c r="A234" s="4">
        <v>43437</v>
      </c>
      <c r="B234" t="s">
        <v>538</v>
      </c>
      <c r="C234">
        <v>1</v>
      </c>
      <c r="D234">
        <v>6</v>
      </c>
      <c r="E234">
        <v>5</v>
      </c>
      <c r="F234" t="s">
        <v>571</v>
      </c>
      <c r="G234" t="s">
        <v>878</v>
      </c>
      <c r="H234" s="9" t="s">
        <v>1071</v>
      </c>
      <c r="I234">
        <f t="shared" si="12"/>
        <v>30</v>
      </c>
      <c r="J234">
        <f t="shared" si="13"/>
        <v>13.607771100000001</v>
      </c>
      <c r="K234">
        <v>2.44</v>
      </c>
      <c r="L234">
        <f t="shared" si="14"/>
        <v>33.202961483999999</v>
      </c>
    </row>
    <row r="235" spans="1:12" x14ac:dyDescent="0.2">
      <c r="A235" s="4">
        <v>43439</v>
      </c>
      <c r="B235" t="s">
        <v>538</v>
      </c>
      <c r="C235">
        <v>1</v>
      </c>
      <c r="D235">
        <v>6</v>
      </c>
      <c r="E235">
        <v>5</v>
      </c>
      <c r="F235" t="s">
        <v>571</v>
      </c>
      <c r="G235" t="s">
        <v>878</v>
      </c>
      <c r="H235" s="9" t="s">
        <v>1071</v>
      </c>
      <c r="I235">
        <f t="shared" si="12"/>
        <v>30</v>
      </c>
      <c r="J235">
        <f t="shared" si="13"/>
        <v>13.607771100000001</v>
      </c>
      <c r="K235">
        <v>2.44</v>
      </c>
      <c r="L235">
        <f t="shared" si="14"/>
        <v>33.202961483999999</v>
      </c>
    </row>
    <row r="236" spans="1:12" x14ac:dyDescent="0.2">
      <c r="A236" s="4">
        <v>43343</v>
      </c>
      <c r="B236" s="6" t="s">
        <v>1074</v>
      </c>
      <c r="C236">
        <v>1</v>
      </c>
      <c r="D236" s="8">
        <v>1</v>
      </c>
      <c r="E236">
        <f>9*4*10</f>
        <v>360</v>
      </c>
      <c r="F236" t="s">
        <v>103</v>
      </c>
      <c r="G236" t="s">
        <v>103</v>
      </c>
      <c r="H236" s="8" t="s">
        <v>1071</v>
      </c>
      <c r="I236">
        <f t="shared" si="12"/>
        <v>360</v>
      </c>
      <c r="J236" s="8">
        <f t="shared" si="13"/>
        <v>163.29325320000001</v>
      </c>
      <c r="K236">
        <v>0.28399999999999997</v>
      </c>
      <c r="L236">
        <f t="shared" si="14"/>
        <v>46.3752839088</v>
      </c>
    </row>
    <row r="237" spans="1:12" x14ac:dyDescent="0.2">
      <c r="A237" s="4">
        <v>43347</v>
      </c>
      <c r="B237" s="6" t="s">
        <v>1074</v>
      </c>
      <c r="C237">
        <v>6</v>
      </c>
      <c r="D237" s="8">
        <v>1</v>
      </c>
      <c r="E237">
        <f>8*4</f>
        <v>32</v>
      </c>
      <c r="F237" t="s">
        <v>1084</v>
      </c>
      <c r="G237" t="s">
        <v>103</v>
      </c>
      <c r="H237" s="8" t="s">
        <v>1071</v>
      </c>
      <c r="I237">
        <f t="shared" si="12"/>
        <v>192</v>
      </c>
      <c r="J237" s="8">
        <f t="shared" si="13"/>
        <v>87.089735040000008</v>
      </c>
      <c r="K237">
        <v>0.28399999999999997</v>
      </c>
      <c r="L237">
        <f t="shared" si="14"/>
        <v>24.733484751359999</v>
      </c>
    </row>
    <row r="238" spans="1:12" x14ac:dyDescent="0.2">
      <c r="A238" s="4">
        <v>43348</v>
      </c>
      <c r="B238" s="6" t="s">
        <v>1074</v>
      </c>
      <c r="C238">
        <v>6</v>
      </c>
      <c r="D238" s="8">
        <v>1</v>
      </c>
      <c r="E238">
        <v>32</v>
      </c>
      <c r="F238" t="s">
        <v>103</v>
      </c>
      <c r="G238" t="s">
        <v>103</v>
      </c>
      <c r="H238" s="8" t="s">
        <v>1071</v>
      </c>
      <c r="I238">
        <f t="shared" si="12"/>
        <v>192</v>
      </c>
      <c r="J238" s="8">
        <f t="shared" si="13"/>
        <v>87.089735040000008</v>
      </c>
      <c r="K238">
        <v>0.28399999999999997</v>
      </c>
      <c r="L238">
        <f t="shared" si="14"/>
        <v>24.733484751359999</v>
      </c>
    </row>
    <row r="239" spans="1:12" x14ac:dyDescent="0.2">
      <c r="A239" s="4">
        <v>43349</v>
      </c>
      <c r="B239" s="6" t="s">
        <v>1074</v>
      </c>
      <c r="C239">
        <v>6</v>
      </c>
      <c r="D239" s="8">
        <v>1</v>
      </c>
      <c r="E239">
        <v>32</v>
      </c>
      <c r="F239" t="s">
        <v>103</v>
      </c>
      <c r="G239" t="s">
        <v>103</v>
      </c>
      <c r="H239" s="8" t="s">
        <v>1071</v>
      </c>
      <c r="I239">
        <f t="shared" si="12"/>
        <v>192</v>
      </c>
      <c r="J239" s="8">
        <f t="shared" si="13"/>
        <v>87.089735040000008</v>
      </c>
      <c r="K239">
        <v>0.28399999999999997</v>
      </c>
      <c r="L239">
        <f t="shared" si="14"/>
        <v>24.733484751359999</v>
      </c>
    </row>
    <row r="240" spans="1:12" x14ac:dyDescent="0.2">
      <c r="A240" s="10">
        <v>43348</v>
      </c>
      <c r="B240" s="9" t="s">
        <v>946</v>
      </c>
      <c r="C240">
        <v>1</v>
      </c>
      <c r="D240">
        <v>1</v>
      </c>
      <c r="E240" s="9">
        <f>5*10</f>
        <v>50</v>
      </c>
      <c r="F240" s="9" t="s">
        <v>947</v>
      </c>
      <c r="G240" s="9" t="s">
        <v>950</v>
      </c>
      <c r="H240" s="8" t="s">
        <v>1073</v>
      </c>
      <c r="I240">
        <f t="shared" si="12"/>
        <v>50</v>
      </c>
      <c r="J240" s="8">
        <f t="shared" si="13"/>
        <v>22.6796185</v>
      </c>
      <c r="K240" s="11">
        <v>3.84</v>
      </c>
      <c r="L240">
        <f t="shared" si="14"/>
        <v>87.089735039999994</v>
      </c>
    </row>
    <row r="241" spans="1:12" x14ac:dyDescent="0.2">
      <c r="A241" s="10">
        <v>43349</v>
      </c>
      <c r="B241" s="9" t="s">
        <v>946</v>
      </c>
      <c r="C241">
        <v>1</v>
      </c>
      <c r="D241">
        <v>1</v>
      </c>
      <c r="E241" s="9">
        <f>5*10</f>
        <v>50</v>
      </c>
      <c r="F241" s="9" t="s">
        <v>948</v>
      </c>
      <c r="G241" s="9" t="s">
        <v>950</v>
      </c>
      <c r="H241" s="8" t="s">
        <v>1073</v>
      </c>
      <c r="I241">
        <f t="shared" si="12"/>
        <v>50</v>
      </c>
      <c r="J241" s="8">
        <f t="shared" si="13"/>
        <v>22.6796185</v>
      </c>
      <c r="K241" s="11">
        <v>3.84</v>
      </c>
      <c r="L241">
        <f t="shared" si="14"/>
        <v>87.089735039999994</v>
      </c>
    </row>
    <row r="242" spans="1:12" x14ac:dyDescent="0.2">
      <c r="A242" s="10">
        <v>43350</v>
      </c>
      <c r="B242" s="9" t="s">
        <v>946</v>
      </c>
      <c r="C242">
        <v>1</v>
      </c>
      <c r="D242">
        <v>1</v>
      </c>
      <c r="E242" s="9">
        <f>5*10</f>
        <v>50</v>
      </c>
      <c r="F242" s="9" t="s">
        <v>949</v>
      </c>
      <c r="G242" s="9" t="s">
        <v>950</v>
      </c>
      <c r="H242" s="8" t="s">
        <v>1073</v>
      </c>
      <c r="I242">
        <f t="shared" si="12"/>
        <v>50</v>
      </c>
      <c r="J242" s="8">
        <f t="shared" si="13"/>
        <v>22.6796185</v>
      </c>
      <c r="K242" s="11">
        <v>3.84</v>
      </c>
      <c r="L242">
        <f t="shared" si="14"/>
        <v>87.089735039999994</v>
      </c>
    </row>
    <row r="243" spans="1:12" x14ac:dyDescent="0.2">
      <c r="A243" s="4">
        <v>43434</v>
      </c>
      <c r="B243" t="s">
        <v>517</v>
      </c>
      <c r="C243">
        <v>4</v>
      </c>
      <c r="D243">
        <v>1</v>
      </c>
      <c r="E243">
        <f t="shared" ref="E243:E250" si="15">3*8.6</f>
        <v>25.799999999999997</v>
      </c>
      <c r="F243" t="s">
        <v>518</v>
      </c>
      <c r="G243" s="6" t="s">
        <v>888</v>
      </c>
      <c r="H243" s="9" t="s">
        <v>1073</v>
      </c>
      <c r="I243">
        <f t="shared" si="12"/>
        <v>103.19999999999999</v>
      </c>
      <c r="J243">
        <f t="shared" si="13"/>
        <v>46.810732584</v>
      </c>
      <c r="K243" s="6">
        <v>3.84</v>
      </c>
      <c r="L243">
        <f t="shared" si="14"/>
        <v>179.75321312256</v>
      </c>
    </row>
    <row r="244" spans="1:12" x14ac:dyDescent="0.2">
      <c r="A244" s="4">
        <v>43434</v>
      </c>
      <c r="B244" t="s">
        <v>517</v>
      </c>
      <c r="C244">
        <v>4</v>
      </c>
      <c r="D244">
        <v>1</v>
      </c>
      <c r="E244">
        <f t="shared" si="15"/>
        <v>25.799999999999997</v>
      </c>
      <c r="F244" t="s">
        <v>468</v>
      </c>
      <c r="G244" s="6" t="s">
        <v>888</v>
      </c>
      <c r="H244" s="9" t="s">
        <v>1073</v>
      </c>
      <c r="I244">
        <f t="shared" si="12"/>
        <v>103.19999999999999</v>
      </c>
      <c r="J244">
        <f t="shared" si="13"/>
        <v>46.810732584</v>
      </c>
      <c r="K244" s="6">
        <v>3.84</v>
      </c>
      <c r="L244">
        <f t="shared" si="14"/>
        <v>179.75321312256</v>
      </c>
    </row>
    <row r="245" spans="1:12" x14ac:dyDescent="0.2">
      <c r="A245" s="4">
        <v>43434</v>
      </c>
      <c r="B245" t="s">
        <v>517</v>
      </c>
      <c r="C245">
        <v>4</v>
      </c>
      <c r="D245">
        <v>1</v>
      </c>
      <c r="E245">
        <f t="shared" si="15"/>
        <v>25.799999999999997</v>
      </c>
      <c r="F245" t="s">
        <v>524</v>
      </c>
      <c r="G245" s="6" t="s">
        <v>888</v>
      </c>
      <c r="H245" s="9" t="s">
        <v>1073</v>
      </c>
      <c r="I245">
        <f t="shared" si="12"/>
        <v>103.19999999999999</v>
      </c>
      <c r="J245">
        <f t="shared" si="13"/>
        <v>46.810732584</v>
      </c>
      <c r="K245" s="6">
        <v>3.84</v>
      </c>
      <c r="L245">
        <f t="shared" si="14"/>
        <v>179.75321312256</v>
      </c>
    </row>
    <row r="246" spans="1:12" x14ac:dyDescent="0.2">
      <c r="A246" s="4">
        <v>43439</v>
      </c>
      <c r="B246" t="s">
        <v>517</v>
      </c>
      <c r="C246">
        <v>2</v>
      </c>
      <c r="D246">
        <v>1</v>
      </c>
      <c r="E246">
        <f t="shared" si="15"/>
        <v>25.799999999999997</v>
      </c>
      <c r="F246" t="s">
        <v>600</v>
      </c>
      <c r="G246" s="6" t="s">
        <v>888</v>
      </c>
      <c r="H246" s="9" t="s">
        <v>1073</v>
      </c>
      <c r="I246">
        <f t="shared" ref="I246:I309" si="16">C246*D246*E246</f>
        <v>51.599999999999994</v>
      </c>
      <c r="J246">
        <f t="shared" si="13"/>
        <v>23.405366292</v>
      </c>
      <c r="K246" s="6">
        <v>3.84</v>
      </c>
      <c r="L246">
        <f t="shared" si="14"/>
        <v>89.876606561279999</v>
      </c>
    </row>
    <row r="247" spans="1:12" x14ac:dyDescent="0.2">
      <c r="A247" s="4">
        <v>43439</v>
      </c>
      <c r="B247" t="s">
        <v>517</v>
      </c>
      <c r="C247">
        <v>2</v>
      </c>
      <c r="D247">
        <v>1</v>
      </c>
      <c r="E247">
        <f t="shared" si="15"/>
        <v>25.799999999999997</v>
      </c>
      <c r="F247" t="s">
        <v>466</v>
      </c>
      <c r="G247" s="6" t="s">
        <v>888</v>
      </c>
      <c r="H247" s="9" t="s">
        <v>1073</v>
      </c>
      <c r="I247">
        <f t="shared" si="16"/>
        <v>51.599999999999994</v>
      </c>
      <c r="J247">
        <f t="shared" si="13"/>
        <v>23.405366292</v>
      </c>
      <c r="K247" s="6">
        <v>3.84</v>
      </c>
      <c r="L247">
        <f t="shared" si="14"/>
        <v>89.876606561279999</v>
      </c>
    </row>
    <row r="248" spans="1:12" x14ac:dyDescent="0.2">
      <c r="A248" s="4">
        <v>43439</v>
      </c>
      <c r="B248" t="s">
        <v>517</v>
      </c>
      <c r="C248">
        <v>3</v>
      </c>
      <c r="D248">
        <v>1</v>
      </c>
      <c r="E248">
        <f t="shared" si="15"/>
        <v>25.799999999999997</v>
      </c>
      <c r="F248" t="s">
        <v>467</v>
      </c>
      <c r="G248" s="6" t="s">
        <v>888</v>
      </c>
      <c r="H248" s="9" t="s">
        <v>1073</v>
      </c>
      <c r="I248">
        <f t="shared" si="16"/>
        <v>77.399999999999991</v>
      </c>
      <c r="J248">
        <f t="shared" si="13"/>
        <v>35.108049437999995</v>
      </c>
      <c r="K248" s="6">
        <v>3.84</v>
      </c>
      <c r="L248">
        <f t="shared" si="14"/>
        <v>134.81490984191998</v>
      </c>
    </row>
    <row r="249" spans="1:12" x14ac:dyDescent="0.2">
      <c r="A249" s="4">
        <v>43439</v>
      </c>
      <c r="B249" t="s">
        <v>517</v>
      </c>
      <c r="C249">
        <v>3</v>
      </c>
      <c r="D249">
        <v>1</v>
      </c>
      <c r="E249">
        <f t="shared" si="15"/>
        <v>25.799999999999997</v>
      </c>
      <c r="F249" t="s">
        <v>468</v>
      </c>
      <c r="G249" s="6" t="s">
        <v>888</v>
      </c>
      <c r="H249" s="9" t="s">
        <v>1073</v>
      </c>
      <c r="I249">
        <f t="shared" si="16"/>
        <v>77.399999999999991</v>
      </c>
      <c r="J249">
        <f t="shared" si="13"/>
        <v>35.108049437999995</v>
      </c>
      <c r="K249" s="6">
        <v>3.84</v>
      </c>
      <c r="L249">
        <f t="shared" si="14"/>
        <v>134.81490984191998</v>
      </c>
    </row>
    <row r="250" spans="1:12" x14ac:dyDescent="0.2">
      <c r="A250" s="4">
        <v>43439</v>
      </c>
      <c r="B250" t="s">
        <v>517</v>
      </c>
      <c r="C250">
        <v>3</v>
      </c>
      <c r="D250">
        <v>1</v>
      </c>
      <c r="E250">
        <f t="shared" si="15"/>
        <v>25.799999999999997</v>
      </c>
      <c r="F250" t="s">
        <v>469</v>
      </c>
      <c r="G250" s="6" t="s">
        <v>888</v>
      </c>
      <c r="H250" s="9" t="s">
        <v>1073</v>
      </c>
      <c r="I250">
        <f t="shared" si="16"/>
        <v>77.399999999999991</v>
      </c>
      <c r="J250">
        <f t="shared" si="13"/>
        <v>35.108049437999995</v>
      </c>
      <c r="K250" s="6">
        <v>3.84</v>
      </c>
      <c r="L250">
        <f t="shared" si="14"/>
        <v>134.81490984191998</v>
      </c>
    </row>
    <row r="251" spans="1:12" x14ac:dyDescent="0.2">
      <c r="A251" s="4">
        <v>43434</v>
      </c>
      <c r="B251" t="s">
        <v>538</v>
      </c>
      <c r="C251">
        <v>1</v>
      </c>
      <c r="D251">
        <v>6</v>
      </c>
      <c r="E251">
        <v>4</v>
      </c>
      <c r="F251" t="s">
        <v>438</v>
      </c>
      <c r="G251" s="6" t="s">
        <v>866</v>
      </c>
      <c r="H251" s="9" t="s">
        <v>1071</v>
      </c>
      <c r="I251">
        <f t="shared" si="16"/>
        <v>24</v>
      </c>
      <c r="J251">
        <f t="shared" si="13"/>
        <v>10.886216880000001</v>
      </c>
      <c r="K251" s="6">
        <v>3.25</v>
      </c>
      <c r="L251">
        <f t="shared" si="14"/>
        <v>35.380204860000006</v>
      </c>
    </row>
    <row r="252" spans="1:12" x14ac:dyDescent="0.2">
      <c r="A252" s="4">
        <v>43439</v>
      </c>
      <c r="B252" t="s">
        <v>538</v>
      </c>
      <c r="C252">
        <v>1</v>
      </c>
      <c r="D252">
        <v>6</v>
      </c>
      <c r="E252">
        <v>4</v>
      </c>
      <c r="F252" t="s">
        <v>438</v>
      </c>
      <c r="G252" s="6" t="s">
        <v>866</v>
      </c>
      <c r="H252" s="9" t="s">
        <v>1071</v>
      </c>
      <c r="I252">
        <f t="shared" si="16"/>
        <v>24</v>
      </c>
      <c r="J252">
        <f t="shared" si="13"/>
        <v>10.886216880000001</v>
      </c>
      <c r="K252" s="6">
        <v>3.25</v>
      </c>
      <c r="L252">
        <f t="shared" si="14"/>
        <v>35.380204860000006</v>
      </c>
    </row>
    <row r="253" spans="1:12" x14ac:dyDescent="0.2">
      <c r="A253" s="4">
        <v>43343</v>
      </c>
      <c r="B253" s="6" t="s">
        <v>1074</v>
      </c>
      <c r="C253">
        <v>1</v>
      </c>
      <c r="D253" s="8">
        <v>1</v>
      </c>
      <c r="E253">
        <f>5*3</f>
        <v>15</v>
      </c>
      <c r="F253" t="s">
        <v>67</v>
      </c>
      <c r="G253" t="s">
        <v>507</v>
      </c>
      <c r="H253" s="8" t="s">
        <v>1071</v>
      </c>
      <c r="I253">
        <f t="shared" si="16"/>
        <v>15</v>
      </c>
      <c r="J253" s="8">
        <f t="shared" si="13"/>
        <v>6.8038855500000004</v>
      </c>
      <c r="K253">
        <v>0.193</v>
      </c>
      <c r="L253">
        <f t="shared" si="14"/>
        <v>1.31314991115</v>
      </c>
    </row>
    <row r="254" spans="1:12" x14ac:dyDescent="0.2">
      <c r="A254" s="4">
        <v>43344</v>
      </c>
      <c r="B254" s="6" t="s">
        <v>1074</v>
      </c>
      <c r="C254">
        <v>2</v>
      </c>
      <c r="D254" s="8">
        <v>1</v>
      </c>
      <c r="E254">
        <v>10</v>
      </c>
      <c r="F254" t="s">
        <v>1025</v>
      </c>
      <c r="G254" t="s">
        <v>507</v>
      </c>
      <c r="H254" s="8" t="s">
        <v>1071</v>
      </c>
      <c r="I254">
        <f t="shared" si="16"/>
        <v>20</v>
      </c>
      <c r="J254" s="8">
        <f t="shared" si="13"/>
        <v>9.0718474000000011</v>
      </c>
      <c r="K254">
        <v>0.193</v>
      </c>
      <c r="L254">
        <f t="shared" si="14"/>
        <v>1.7508665482000003</v>
      </c>
    </row>
    <row r="255" spans="1:12" x14ac:dyDescent="0.2">
      <c r="A255" s="10">
        <v>43343</v>
      </c>
      <c r="B255" s="8" t="s">
        <v>30</v>
      </c>
      <c r="C255">
        <v>1</v>
      </c>
      <c r="D255">
        <v>1</v>
      </c>
      <c r="E255" s="9">
        <v>40</v>
      </c>
      <c r="F255" s="9" t="s">
        <v>32</v>
      </c>
      <c r="G255" s="9" t="s">
        <v>756</v>
      </c>
      <c r="H255" s="8" t="s">
        <v>1072</v>
      </c>
      <c r="I255">
        <f t="shared" si="16"/>
        <v>40</v>
      </c>
      <c r="J255" s="8">
        <f t="shared" si="13"/>
        <v>18.143694800000002</v>
      </c>
      <c r="K255">
        <v>34.744999999999997</v>
      </c>
      <c r="L255">
        <f t="shared" si="14"/>
        <v>630.40267582600006</v>
      </c>
    </row>
    <row r="256" spans="1:12" x14ac:dyDescent="0.2">
      <c r="A256" s="10">
        <v>43347</v>
      </c>
      <c r="B256" s="8" t="s">
        <v>30</v>
      </c>
      <c r="C256">
        <v>1</v>
      </c>
      <c r="D256">
        <v>1</v>
      </c>
      <c r="E256" s="9">
        <v>100</v>
      </c>
      <c r="F256" s="9" t="s">
        <v>35</v>
      </c>
      <c r="G256" s="9" t="s">
        <v>756</v>
      </c>
      <c r="H256" s="8" t="s">
        <v>1072</v>
      </c>
      <c r="I256">
        <f t="shared" si="16"/>
        <v>100</v>
      </c>
      <c r="J256" s="8">
        <f t="shared" si="13"/>
        <v>45.359237</v>
      </c>
      <c r="K256">
        <v>34.744999999999997</v>
      </c>
      <c r="L256">
        <f t="shared" si="14"/>
        <v>1576.006689565</v>
      </c>
    </row>
    <row r="257" spans="1:12" x14ac:dyDescent="0.2">
      <c r="A257" s="4">
        <v>43347</v>
      </c>
      <c r="B257" s="6" t="s">
        <v>1074</v>
      </c>
      <c r="C257">
        <v>1</v>
      </c>
      <c r="D257" s="8">
        <v>1</v>
      </c>
      <c r="E257">
        <f>12*(9/16)</f>
        <v>6.75</v>
      </c>
      <c r="F257" t="s">
        <v>157</v>
      </c>
      <c r="G257" t="s">
        <v>770</v>
      </c>
      <c r="H257" s="8" t="s">
        <v>1071</v>
      </c>
      <c r="I257">
        <f t="shared" si="16"/>
        <v>6.75</v>
      </c>
      <c r="J257" s="8">
        <f t="shared" si="13"/>
        <v>3.0617484975000004</v>
      </c>
      <c r="K257">
        <v>6.9000000000000006E-2</v>
      </c>
      <c r="L257">
        <f t="shared" si="14"/>
        <v>0.21126064632750005</v>
      </c>
    </row>
    <row r="258" spans="1:12" x14ac:dyDescent="0.2">
      <c r="A258" s="4">
        <v>43344</v>
      </c>
      <c r="B258" s="6" t="s">
        <v>1074</v>
      </c>
      <c r="C258">
        <v>1</v>
      </c>
      <c r="D258" s="8">
        <v>1</v>
      </c>
      <c r="E258">
        <f>12*2.12</f>
        <v>25.44</v>
      </c>
      <c r="F258" t="s">
        <v>122</v>
      </c>
      <c r="G258" t="s">
        <v>185</v>
      </c>
      <c r="H258" s="8" t="s">
        <v>1071</v>
      </c>
      <c r="I258">
        <f t="shared" si="16"/>
        <v>25.44</v>
      </c>
      <c r="J258" s="8">
        <f t="shared" si="13"/>
        <v>11.539389892800003</v>
      </c>
      <c r="K258">
        <v>0.33200000000000002</v>
      </c>
      <c r="L258">
        <f t="shared" si="14"/>
        <v>3.8310774444096012</v>
      </c>
    </row>
    <row r="259" spans="1:12" x14ac:dyDescent="0.2">
      <c r="A259" s="4">
        <v>43346</v>
      </c>
      <c r="B259" s="6" t="s">
        <v>1074</v>
      </c>
      <c r="C259">
        <v>1</v>
      </c>
      <c r="D259" s="8">
        <v>1</v>
      </c>
      <c r="E259">
        <v>10</v>
      </c>
      <c r="F259" t="s">
        <v>1031</v>
      </c>
      <c r="G259" t="s">
        <v>768</v>
      </c>
      <c r="H259" s="8" t="s">
        <v>1071</v>
      </c>
      <c r="I259">
        <f t="shared" si="16"/>
        <v>10</v>
      </c>
      <c r="J259" s="8">
        <f t="shared" ref="J259:J322" si="17">CONVERT(I259,"lbm","kg")</f>
        <v>4.5359237000000006</v>
      </c>
      <c r="K259">
        <v>0.22</v>
      </c>
      <c r="L259">
        <f t="shared" ref="L259:L322" si="18">J259*K259</f>
        <v>0.99790321400000015</v>
      </c>
    </row>
    <row r="260" spans="1:12" x14ac:dyDescent="0.2">
      <c r="A260" s="4">
        <v>43347</v>
      </c>
      <c r="B260" s="6" t="s">
        <v>1074</v>
      </c>
      <c r="C260">
        <v>2</v>
      </c>
      <c r="D260" s="8">
        <v>1</v>
      </c>
      <c r="E260">
        <v>10</v>
      </c>
      <c r="F260" t="s">
        <v>1031</v>
      </c>
      <c r="G260" t="s">
        <v>768</v>
      </c>
      <c r="H260" s="8" t="s">
        <v>1071</v>
      </c>
      <c r="I260">
        <f t="shared" si="16"/>
        <v>20</v>
      </c>
      <c r="J260" s="8">
        <f t="shared" si="17"/>
        <v>9.0718474000000011</v>
      </c>
      <c r="K260">
        <v>0.22</v>
      </c>
      <c r="L260">
        <f t="shared" si="18"/>
        <v>1.9958064280000003</v>
      </c>
    </row>
    <row r="261" spans="1:12" x14ac:dyDescent="0.2">
      <c r="A261" s="4">
        <v>43343</v>
      </c>
      <c r="B261" s="6" t="s">
        <v>1074</v>
      </c>
      <c r="C261">
        <v>1</v>
      </c>
      <c r="D261" s="8">
        <v>1</v>
      </c>
      <c r="E261">
        <f>48*5</f>
        <v>240</v>
      </c>
      <c r="F261" t="s">
        <v>71</v>
      </c>
      <c r="G261" t="s">
        <v>768</v>
      </c>
      <c r="H261" s="8" t="s">
        <v>1071</v>
      </c>
      <c r="I261">
        <f t="shared" si="16"/>
        <v>240</v>
      </c>
      <c r="J261" s="8">
        <f t="shared" si="17"/>
        <v>108.86216880000001</v>
      </c>
      <c r="K261">
        <v>0.158</v>
      </c>
      <c r="L261">
        <f t="shared" si="18"/>
        <v>17.200222670400002</v>
      </c>
    </row>
    <row r="262" spans="1:12" x14ac:dyDescent="0.2">
      <c r="A262" s="4">
        <v>43344</v>
      </c>
      <c r="B262" s="6" t="s">
        <v>1074</v>
      </c>
      <c r="C262">
        <v>2</v>
      </c>
      <c r="D262" s="8">
        <v>1</v>
      </c>
      <c r="E262" s="9">
        <v>48</v>
      </c>
      <c r="F262" t="s">
        <v>110</v>
      </c>
      <c r="G262" t="s">
        <v>768</v>
      </c>
      <c r="H262" s="8" t="s">
        <v>1071</v>
      </c>
      <c r="I262">
        <f t="shared" si="16"/>
        <v>96</v>
      </c>
      <c r="J262" s="8">
        <f t="shared" si="17"/>
        <v>43.544867520000004</v>
      </c>
      <c r="K262">
        <v>0.158</v>
      </c>
      <c r="L262">
        <f t="shared" si="18"/>
        <v>6.8800890681600011</v>
      </c>
    </row>
    <row r="263" spans="1:12" x14ac:dyDescent="0.2">
      <c r="A263" s="4">
        <v>43347</v>
      </c>
      <c r="B263" s="6" t="s">
        <v>1074</v>
      </c>
      <c r="C263">
        <v>2</v>
      </c>
      <c r="D263" s="8">
        <v>1</v>
      </c>
      <c r="E263">
        <v>48</v>
      </c>
      <c r="F263" t="s">
        <v>110</v>
      </c>
      <c r="G263" t="s">
        <v>768</v>
      </c>
      <c r="H263" s="8" t="s">
        <v>1071</v>
      </c>
      <c r="I263">
        <f t="shared" si="16"/>
        <v>96</v>
      </c>
      <c r="J263" s="8">
        <f t="shared" si="17"/>
        <v>43.544867520000004</v>
      </c>
      <c r="K263">
        <v>0.158</v>
      </c>
      <c r="L263">
        <f t="shared" si="18"/>
        <v>6.8800890681600011</v>
      </c>
    </row>
    <row r="264" spans="1:12" x14ac:dyDescent="0.2">
      <c r="A264" s="4">
        <v>43347</v>
      </c>
      <c r="B264" s="6" t="s">
        <v>1074</v>
      </c>
      <c r="C264">
        <v>4</v>
      </c>
      <c r="D264" s="8">
        <v>1</v>
      </c>
      <c r="E264">
        <v>48</v>
      </c>
      <c r="F264" t="s">
        <v>110</v>
      </c>
      <c r="G264" t="s">
        <v>768</v>
      </c>
      <c r="H264" s="8" t="s">
        <v>1071</v>
      </c>
      <c r="I264">
        <f t="shared" si="16"/>
        <v>192</v>
      </c>
      <c r="J264" s="8">
        <f t="shared" si="17"/>
        <v>87.089735040000008</v>
      </c>
      <c r="K264">
        <v>0.158</v>
      </c>
      <c r="L264">
        <f t="shared" si="18"/>
        <v>13.760178136320002</v>
      </c>
    </row>
    <row r="265" spans="1:12" x14ac:dyDescent="0.2">
      <c r="A265" s="4">
        <v>43348</v>
      </c>
      <c r="B265" s="6" t="s">
        <v>1074</v>
      </c>
      <c r="C265">
        <v>2</v>
      </c>
      <c r="D265" s="8">
        <v>1</v>
      </c>
      <c r="E265">
        <v>48</v>
      </c>
      <c r="F265" t="s">
        <v>71</v>
      </c>
      <c r="G265" t="s">
        <v>768</v>
      </c>
      <c r="H265" s="8" t="s">
        <v>1071</v>
      </c>
      <c r="I265">
        <f t="shared" si="16"/>
        <v>96</v>
      </c>
      <c r="J265" s="8">
        <f t="shared" si="17"/>
        <v>43.544867520000004</v>
      </c>
      <c r="K265">
        <v>0.158</v>
      </c>
      <c r="L265">
        <f t="shared" si="18"/>
        <v>6.8800890681600011</v>
      </c>
    </row>
    <row r="266" spans="1:12" x14ac:dyDescent="0.2">
      <c r="A266" s="4">
        <v>43349</v>
      </c>
      <c r="B266" s="6" t="s">
        <v>1074</v>
      </c>
      <c r="C266">
        <v>2</v>
      </c>
      <c r="D266" s="8">
        <v>1</v>
      </c>
      <c r="E266">
        <v>48</v>
      </c>
      <c r="F266" t="s">
        <v>71</v>
      </c>
      <c r="G266" t="s">
        <v>768</v>
      </c>
      <c r="H266" s="8" t="s">
        <v>1071</v>
      </c>
      <c r="I266">
        <f t="shared" si="16"/>
        <v>96</v>
      </c>
      <c r="J266" s="8">
        <f t="shared" si="17"/>
        <v>43.544867520000004</v>
      </c>
      <c r="K266">
        <v>0.158</v>
      </c>
      <c r="L266">
        <f t="shared" si="18"/>
        <v>6.8800890681600011</v>
      </c>
    </row>
    <row r="267" spans="1:12" x14ac:dyDescent="0.2">
      <c r="A267" s="4">
        <v>43343</v>
      </c>
      <c r="B267" s="6" t="s">
        <v>1074</v>
      </c>
      <c r="C267">
        <v>1</v>
      </c>
      <c r="D267" s="8">
        <v>1</v>
      </c>
      <c r="E267">
        <f>25.05</f>
        <v>25.05</v>
      </c>
      <c r="F267" t="s">
        <v>101</v>
      </c>
      <c r="G267" t="s">
        <v>101</v>
      </c>
      <c r="H267" s="8" t="s">
        <v>1071</v>
      </c>
      <c r="I267">
        <f t="shared" si="16"/>
        <v>25.05</v>
      </c>
      <c r="J267" s="8">
        <f t="shared" si="17"/>
        <v>11.362488868500002</v>
      </c>
      <c r="K267">
        <v>1.9430000000000001</v>
      </c>
      <c r="L267">
        <f t="shared" si="18"/>
        <v>22.077315871495504</v>
      </c>
    </row>
    <row r="268" spans="1:12" x14ac:dyDescent="0.2">
      <c r="A268" s="4">
        <v>43347</v>
      </c>
      <c r="B268" s="6" t="s">
        <v>1074</v>
      </c>
      <c r="C268">
        <v>1</v>
      </c>
      <c r="D268" s="8">
        <v>1</v>
      </c>
      <c r="E268">
        <v>38</v>
      </c>
      <c r="F268" t="s">
        <v>158</v>
      </c>
      <c r="G268" t="s">
        <v>771</v>
      </c>
      <c r="H268" s="8" t="s">
        <v>1071</v>
      </c>
      <c r="I268">
        <f t="shared" si="16"/>
        <v>38</v>
      </c>
      <c r="J268" s="8">
        <f t="shared" si="17"/>
        <v>17.236510060000001</v>
      </c>
      <c r="K268">
        <v>0.61199999999999999</v>
      </c>
      <c r="L268">
        <f t="shared" si="18"/>
        <v>10.54874415672</v>
      </c>
    </row>
    <row r="269" spans="1:12" x14ac:dyDescent="0.2">
      <c r="A269" s="4">
        <v>43343</v>
      </c>
      <c r="B269" s="9" t="s">
        <v>38</v>
      </c>
      <c r="C269">
        <v>12</v>
      </c>
      <c r="D269" s="8">
        <v>1</v>
      </c>
      <c r="E269">
        <f>8.6*5</f>
        <v>43</v>
      </c>
      <c r="F269" s="9" t="s">
        <v>39</v>
      </c>
      <c r="G269" s="9" t="s">
        <v>774</v>
      </c>
      <c r="H269" s="8" t="s">
        <v>1073</v>
      </c>
      <c r="I269">
        <f t="shared" si="16"/>
        <v>516</v>
      </c>
      <c r="J269" s="8">
        <f t="shared" si="17"/>
        <v>234.05366291999999</v>
      </c>
      <c r="K269">
        <v>1.23</v>
      </c>
      <c r="L269">
        <f t="shared" si="18"/>
        <v>287.88600539160001</v>
      </c>
    </row>
    <row r="270" spans="1:12" x14ac:dyDescent="0.2">
      <c r="A270" s="4">
        <v>43343</v>
      </c>
      <c r="B270" s="9" t="s">
        <v>38</v>
      </c>
      <c r="C270">
        <v>12</v>
      </c>
      <c r="D270" s="8">
        <v>1</v>
      </c>
      <c r="E270">
        <f>8.6*5</f>
        <v>43</v>
      </c>
      <c r="F270" s="9" t="s">
        <v>40</v>
      </c>
      <c r="G270" s="9" t="s">
        <v>774</v>
      </c>
      <c r="H270" s="8" t="s">
        <v>1073</v>
      </c>
      <c r="I270">
        <f t="shared" si="16"/>
        <v>516</v>
      </c>
      <c r="J270" s="8">
        <f t="shared" si="17"/>
        <v>234.05366291999999</v>
      </c>
      <c r="K270">
        <v>1.23</v>
      </c>
      <c r="L270">
        <f t="shared" si="18"/>
        <v>287.88600539160001</v>
      </c>
    </row>
    <row r="271" spans="1:12" x14ac:dyDescent="0.2">
      <c r="A271" s="4">
        <v>43343</v>
      </c>
      <c r="B271" s="9" t="s">
        <v>38</v>
      </c>
      <c r="C271">
        <v>3</v>
      </c>
      <c r="D271" s="8">
        <v>1</v>
      </c>
      <c r="E271">
        <f>8.6*5</f>
        <v>43</v>
      </c>
      <c r="F271" s="9" t="s">
        <v>41</v>
      </c>
      <c r="G271" s="9" t="s">
        <v>774</v>
      </c>
      <c r="H271" s="8" t="s">
        <v>1073</v>
      </c>
      <c r="I271">
        <f t="shared" si="16"/>
        <v>129</v>
      </c>
      <c r="J271" s="8">
        <f t="shared" si="17"/>
        <v>58.513415729999998</v>
      </c>
      <c r="K271">
        <v>1.23</v>
      </c>
      <c r="L271">
        <f t="shared" si="18"/>
        <v>71.971501347900002</v>
      </c>
    </row>
    <row r="272" spans="1:12" x14ac:dyDescent="0.2">
      <c r="A272" s="4">
        <v>43343</v>
      </c>
      <c r="B272" s="9" t="s">
        <v>38</v>
      </c>
      <c r="C272">
        <v>6</v>
      </c>
      <c r="D272" s="8">
        <v>1</v>
      </c>
      <c r="E272">
        <f>8.6*5</f>
        <v>43</v>
      </c>
      <c r="F272" s="9" t="s">
        <v>42</v>
      </c>
      <c r="G272" s="9" t="s">
        <v>774</v>
      </c>
      <c r="H272" s="8" t="s">
        <v>1073</v>
      </c>
      <c r="I272">
        <f t="shared" si="16"/>
        <v>258</v>
      </c>
      <c r="J272" s="8">
        <f t="shared" si="17"/>
        <v>117.02683146</v>
      </c>
      <c r="K272">
        <v>1.23</v>
      </c>
      <c r="L272">
        <f t="shared" si="18"/>
        <v>143.9430026958</v>
      </c>
    </row>
    <row r="273" spans="1:12" x14ac:dyDescent="0.2">
      <c r="A273" s="4">
        <v>43343</v>
      </c>
      <c r="B273" s="9" t="s">
        <v>38</v>
      </c>
      <c r="C273">
        <v>24</v>
      </c>
      <c r="D273" s="8">
        <v>1</v>
      </c>
      <c r="E273">
        <v>2.0499999999999998</v>
      </c>
      <c r="F273" s="9" t="s">
        <v>44</v>
      </c>
      <c r="G273" s="9" t="s">
        <v>774</v>
      </c>
      <c r="H273" s="8" t="s">
        <v>1073</v>
      </c>
      <c r="I273">
        <f t="shared" si="16"/>
        <v>49.199999999999996</v>
      </c>
      <c r="J273" s="8">
        <f t="shared" si="17"/>
        <v>22.316744604</v>
      </c>
      <c r="K273">
        <v>1.23</v>
      </c>
      <c r="L273">
        <f t="shared" si="18"/>
        <v>27.449595862919999</v>
      </c>
    </row>
    <row r="274" spans="1:12" x14ac:dyDescent="0.2">
      <c r="A274" s="4">
        <v>43346</v>
      </c>
      <c r="B274" s="9" t="s">
        <v>38</v>
      </c>
      <c r="C274">
        <v>6</v>
      </c>
      <c r="D274" s="8">
        <v>1</v>
      </c>
      <c r="E274">
        <f>8.6*5</f>
        <v>43</v>
      </c>
      <c r="F274" s="9" t="s">
        <v>39</v>
      </c>
      <c r="G274" s="9" t="s">
        <v>774</v>
      </c>
      <c r="H274" s="8" t="s">
        <v>1073</v>
      </c>
      <c r="I274">
        <f t="shared" si="16"/>
        <v>258</v>
      </c>
      <c r="J274" s="8">
        <f t="shared" si="17"/>
        <v>117.02683146</v>
      </c>
      <c r="K274">
        <v>1.23</v>
      </c>
      <c r="L274">
        <f t="shared" si="18"/>
        <v>143.9430026958</v>
      </c>
    </row>
    <row r="275" spans="1:12" x14ac:dyDescent="0.2">
      <c r="A275" s="4">
        <v>43346</v>
      </c>
      <c r="B275" s="9" t="s">
        <v>38</v>
      </c>
      <c r="C275">
        <v>6</v>
      </c>
      <c r="D275" s="8">
        <v>1</v>
      </c>
      <c r="E275">
        <f>8.6*5</f>
        <v>43</v>
      </c>
      <c r="F275" s="9" t="s">
        <v>40</v>
      </c>
      <c r="G275" s="9" t="s">
        <v>774</v>
      </c>
      <c r="H275" s="8" t="s">
        <v>1073</v>
      </c>
      <c r="I275">
        <f t="shared" si="16"/>
        <v>258</v>
      </c>
      <c r="J275" s="8">
        <f t="shared" si="17"/>
        <v>117.02683146</v>
      </c>
      <c r="K275">
        <v>1.23</v>
      </c>
      <c r="L275">
        <f t="shared" si="18"/>
        <v>143.9430026958</v>
      </c>
    </row>
    <row r="276" spans="1:12" x14ac:dyDescent="0.2">
      <c r="A276" s="4">
        <v>43346</v>
      </c>
      <c r="B276" s="9" t="s">
        <v>38</v>
      </c>
      <c r="C276">
        <v>4</v>
      </c>
      <c r="D276" s="8">
        <v>1</v>
      </c>
      <c r="E276">
        <f>8.6*5</f>
        <v>43</v>
      </c>
      <c r="F276" s="9" t="s">
        <v>46</v>
      </c>
      <c r="G276" s="9" t="s">
        <v>774</v>
      </c>
      <c r="H276" s="8" t="s">
        <v>1073</v>
      </c>
      <c r="I276">
        <f t="shared" si="16"/>
        <v>172</v>
      </c>
      <c r="J276" s="8">
        <f t="shared" si="17"/>
        <v>78.017887639999998</v>
      </c>
      <c r="K276">
        <v>1.23</v>
      </c>
      <c r="L276">
        <f t="shared" si="18"/>
        <v>95.962001797200003</v>
      </c>
    </row>
    <row r="277" spans="1:12" x14ac:dyDescent="0.2">
      <c r="A277" s="4">
        <v>43346</v>
      </c>
      <c r="B277" s="9" t="s">
        <v>38</v>
      </c>
      <c r="C277">
        <v>4</v>
      </c>
      <c r="D277" s="8">
        <v>1</v>
      </c>
      <c r="E277">
        <f>8.6*5</f>
        <v>43</v>
      </c>
      <c r="F277" s="9" t="s">
        <v>47</v>
      </c>
      <c r="G277" s="9" t="s">
        <v>774</v>
      </c>
      <c r="H277" s="8" t="s">
        <v>1073</v>
      </c>
      <c r="I277">
        <f t="shared" si="16"/>
        <v>172</v>
      </c>
      <c r="J277" s="8">
        <f t="shared" si="17"/>
        <v>78.017887639999998</v>
      </c>
      <c r="K277">
        <v>1.23</v>
      </c>
      <c r="L277">
        <f t="shared" si="18"/>
        <v>95.962001797200003</v>
      </c>
    </row>
    <row r="278" spans="1:12" x14ac:dyDescent="0.2">
      <c r="A278" s="4">
        <v>43346</v>
      </c>
      <c r="B278" s="9" t="s">
        <v>38</v>
      </c>
      <c r="C278">
        <v>36</v>
      </c>
      <c r="D278" s="8">
        <v>1</v>
      </c>
      <c r="E278">
        <v>2.0499999999999998</v>
      </c>
      <c r="F278" s="9" t="s">
        <v>44</v>
      </c>
      <c r="G278" s="9" t="s">
        <v>774</v>
      </c>
      <c r="H278" s="8" t="s">
        <v>1073</v>
      </c>
      <c r="I278">
        <f t="shared" si="16"/>
        <v>73.8</v>
      </c>
      <c r="J278" s="8">
        <f t="shared" si="17"/>
        <v>33.475116906000004</v>
      </c>
      <c r="K278">
        <v>1.23</v>
      </c>
      <c r="L278">
        <f t="shared" si="18"/>
        <v>41.174393794380002</v>
      </c>
    </row>
    <row r="279" spans="1:12" x14ac:dyDescent="0.2">
      <c r="A279" s="4">
        <v>43348</v>
      </c>
      <c r="B279" s="9" t="s">
        <v>38</v>
      </c>
      <c r="C279">
        <v>6</v>
      </c>
      <c r="D279" s="8">
        <v>1</v>
      </c>
      <c r="E279">
        <f>8.6*5</f>
        <v>43</v>
      </c>
      <c r="F279" s="9" t="s">
        <v>39</v>
      </c>
      <c r="G279" s="9" t="s">
        <v>774</v>
      </c>
      <c r="H279" s="8" t="s">
        <v>1073</v>
      </c>
      <c r="I279">
        <f t="shared" si="16"/>
        <v>258</v>
      </c>
      <c r="J279" s="8">
        <f t="shared" si="17"/>
        <v>117.02683146</v>
      </c>
      <c r="K279">
        <v>1.23</v>
      </c>
      <c r="L279">
        <f t="shared" si="18"/>
        <v>143.9430026958</v>
      </c>
    </row>
    <row r="280" spans="1:12" x14ac:dyDescent="0.2">
      <c r="A280" s="4">
        <v>43348</v>
      </c>
      <c r="B280" s="9" t="s">
        <v>38</v>
      </c>
      <c r="C280">
        <v>6</v>
      </c>
      <c r="D280" s="8">
        <v>1</v>
      </c>
      <c r="E280">
        <f>8.6*5</f>
        <v>43</v>
      </c>
      <c r="F280" s="9" t="s">
        <v>40</v>
      </c>
      <c r="G280" s="9" t="s">
        <v>774</v>
      </c>
      <c r="H280" s="8" t="s">
        <v>1073</v>
      </c>
      <c r="I280">
        <f t="shared" si="16"/>
        <v>258</v>
      </c>
      <c r="J280" s="8">
        <f t="shared" si="17"/>
        <v>117.02683146</v>
      </c>
      <c r="K280">
        <v>1.23</v>
      </c>
      <c r="L280">
        <f t="shared" si="18"/>
        <v>143.9430026958</v>
      </c>
    </row>
    <row r="281" spans="1:12" x14ac:dyDescent="0.2">
      <c r="A281" s="4">
        <v>43348</v>
      </c>
      <c r="B281" s="9" t="s">
        <v>38</v>
      </c>
      <c r="C281">
        <v>6</v>
      </c>
      <c r="D281" s="8">
        <v>1</v>
      </c>
      <c r="E281">
        <f>8.6*5</f>
        <v>43</v>
      </c>
      <c r="F281" s="9" t="s">
        <v>46</v>
      </c>
      <c r="G281" s="9" t="s">
        <v>774</v>
      </c>
      <c r="H281" s="8" t="s">
        <v>1073</v>
      </c>
      <c r="I281">
        <f t="shared" si="16"/>
        <v>258</v>
      </c>
      <c r="J281" s="8">
        <f t="shared" si="17"/>
        <v>117.02683146</v>
      </c>
      <c r="K281">
        <v>1.23</v>
      </c>
      <c r="L281">
        <f t="shared" si="18"/>
        <v>143.9430026958</v>
      </c>
    </row>
    <row r="282" spans="1:12" x14ac:dyDescent="0.2">
      <c r="A282" s="4">
        <v>43348</v>
      </c>
      <c r="B282" s="9" t="s">
        <v>38</v>
      </c>
      <c r="C282">
        <v>6</v>
      </c>
      <c r="D282" s="8">
        <v>1</v>
      </c>
      <c r="E282">
        <f>8.6*5</f>
        <v>43</v>
      </c>
      <c r="F282" s="9" t="s">
        <v>47</v>
      </c>
      <c r="G282" s="9" t="s">
        <v>774</v>
      </c>
      <c r="H282" s="8" t="s">
        <v>1073</v>
      </c>
      <c r="I282">
        <f t="shared" si="16"/>
        <v>258</v>
      </c>
      <c r="J282" s="8">
        <f t="shared" si="17"/>
        <v>117.02683146</v>
      </c>
      <c r="K282">
        <v>1.23</v>
      </c>
      <c r="L282">
        <f t="shared" si="18"/>
        <v>143.9430026958</v>
      </c>
    </row>
    <row r="283" spans="1:12" x14ac:dyDescent="0.2">
      <c r="A283" s="4">
        <v>43348</v>
      </c>
      <c r="B283" s="9" t="s">
        <v>38</v>
      </c>
      <c r="C283">
        <v>24</v>
      </c>
      <c r="D283" s="8">
        <v>1</v>
      </c>
      <c r="E283" s="9">
        <v>2.0499999999999998</v>
      </c>
      <c r="F283" s="9" t="s">
        <v>44</v>
      </c>
      <c r="G283" s="9" t="s">
        <v>774</v>
      </c>
      <c r="H283" s="8" t="s">
        <v>1073</v>
      </c>
      <c r="I283">
        <f t="shared" si="16"/>
        <v>49.199999999999996</v>
      </c>
      <c r="J283" s="8">
        <f t="shared" si="17"/>
        <v>22.316744604</v>
      </c>
      <c r="K283">
        <v>1.23</v>
      </c>
      <c r="L283">
        <f t="shared" si="18"/>
        <v>27.449595862919999</v>
      </c>
    </row>
    <row r="284" spans="1:12" x14ac:dyDescent="0.2">
      <c r="A284" s="4">
        <v>43437</v>
      </c>
      <c r="B284" t="s">
        <v>517</v>
      </c>
      <c r="C284">
        <v>1</v>
      </c>
      <c r="D284">
        <v>20</v>
      </c>
      <c r="E284">
        <f>1/2</f>
        <v>0.5</v>
      </c>
      <c r="F284" t="s">
        <v>465</v>
      </c>
      <c r="G284" t="s">
        <v>774</v>
      </c>
      <c r="H284" s="9" t="s">
        <v>1073</v>
      </c>
      <c r="I284">
        <f t="shared" si="16"/>
        <v>10</v>
      </c>
      <c r="J284">
        <f t="shared" si="17"/>
        <v>4.5359237000000006</v>
      </c>
      <c r="K284">
        <v>1.23</v>
      </c>
      <c r="L284">
        <f t="shared" si="18"/>
        <v>5.5791861510000009</v>
      </c>
    </row>
    <row r="285" spans="1:12" x14ac:dyDescent="0.2">
      <c r="A285" s="4">
        <v>43434</v>
      </c>
      <c r="B285" t="s">
        <v>538</v>
      </c>
      <c r="C285">
        <v>1</v>
      </c>
      <c r="D285">
        <v>4</v>
      </c>
      <c r="E285">
        <f>11.89</f>
        <v>11.89</v>
      </c>
      <c r="F285" t="s">
        <v>547</v>
      </c>
      <c r="G285" t="s">
        <v>865</v>
      </c>
      <c r="H285" s="9" t="s">
        <v>1071</v>
      </c>
      <c r="I285">
        <f t="shared" si="16"/>
        <v>47.56</v>
      </c>
      <c r="J285">
        <f t="shared" si="17"/>
        <v>21.572853117200001</v>
      </c>
      <c r="K285">
        <v>0.48799999999999999</v>
      </c>
      <c r="L285">
        <f t="shared" si="18"/>
        <v>10.5275523211936</v>
      </c>
    </row>
    <row r="286" spans="1:12" x14ac:dyDescent="0.2">
      <c r="A286" s="4">
        <v>43343</v>
      </c>
      <c r="B286" s="6" t="s">
        <v>1074</v>
      </c>
      <c r="C286">
        <v>1</v>
      </c>
      <c r="D286" s="8">
        <v>1</v>
      </c>
      <c r="E286">
        <f>10*4</f>
        <v>40</v>
      </c>
      <c r="F286" t="s">
        <v>104</v>
      </c>
      <c r="G286" t="s">
        <v>233</v>
      </c>
      <c r="H286" s="8" t="s">
        <v>1071</v>
      </c>
      <c r="I286">
        <f t="shared" si="16"/>
        <v>40</v>
      </c>
      <c r="J286" s="8">
        <f t="shared" si="17"/>
        <v>18.143694800000002</v>
      </c>
      <c r="K286">
        <v>3.093</v>
      </c>
      <c r="L286">
        <f t="shared" si="18"/>
        <v>56.118448016400009</v>
      </c>
    </row>
    <row r="287" spans="1:12" x14ac:dyDescent="0.2">
      <c r="A287" s="4">
        <v>43343</v>
      </c>
      <c r="B287" s="6" t="s">
        <v>1074</v>
      </c>
      <c r="C287">
        <v>1</v>
      </c>
      <c r="D287" s="8">
        <v>1</v>
      </c>
      <c r="E287">
        <f>5*5</f>
        <v>25</v>
      </c>
      <c r="F287" t="s">
        <v>105</v>
      </c>
      <c r="G287" t="s">
        <v>233</v>
      </c>
      <c r="H287" s="8" t="s">
        <v>1071</v>
      </c>
      <c r="I287">
        <f t="shared" si="16"/>
        <v>25</v>
      </c>
      <c r="J287" s="8">
        <f t="shared" si="17"/>
        <v>11.33980925</v>
      </c>
      <c r="K287">
        <v>3.093</v>
      </c>
      <c r="L287">
        <f t="shared" si="18"/>
        <v>35.074030010249999</v>
      </c>
    </row>
    <row r="288" spans="1:12" x14ac:dyDescent="0.2">
      <c r="A288" s="4">
        <v>43343</v>
      </c>
      <c r="B288" s="6" t="s">
        <v>1074</v>
      </c>
      <c r="C288">
        <v>1</v>
      </c>
      <c r="D288" s="8">
        <v>1</v>
      </c>
      <c r="E288">
        <f>5*5</f>
        <v>25</v>
      </c>
      <c r="F288" t="s">
        <v>106</v>
      </c>
      <c r="G288" t="s">
        <v>233</v>
      </c>
      <c r="H288" s="8" t="s">
        <v>1071</v>
      </c>
      <c r="I288">
        <f t="shared" si="16"/>
        <v>25</v>
      </c>
      <c r="J288" s="8">
        <f t="shared" si="17"/>
        <v>11.33980925</v>
      </c>
      <c r="K288">
        <v>3.093</v>
      </c>
      <c r="L288">
        <f t="shared" si="18"/>
        <v>35.074030010249999</v>
      </c>
    </row>
    <row r="289" spans="1:12" x14ac:dyDescent="0.2">
      <c r="A289" s="4">
        <v>43344</v>
      </c>
      <c r="B289" s="6" t="s">
        <v>1074</v>
      </c>
      <c r="C289">
        <v>2</v>
      </c>
      <c r="D289" s="8">
        <v>1</v>
      </c>
      <c r="E289">
        <v>10</v>
      </c>
      <c r="F289" t="s">
        <v>123</v>
      </c>
      <c r="G289" t="s">
        <v>233</v>
      </c>
      <c r="H289" s="8" t="s">
        <v>1071</v>
      </c>
      <c r="I289">
        <f t="shared" si="16"/>
        <v>20</v>
      </c>
      <c r="J289" s="8">
        <f t="shared" si="17"/>
        <v>9.0718474000000011</v>
      </c>
      <c r="K289">
        <v>3.093</v>
      </c>
      <c r="L289">
        <f t="shared" si="18"/>
        <v>28.059224008200005</v>
      </c>
    </row>
    <row r="290" spans="1:12" x14ac:dyDescent="0.2">
      <c r="A290" s="4">
        <v>43344</v>
      </c>
      <c r="B290" s="6" t="s">
        <v>1074</v>
      </c>
      <c r="C290">
        <v>6</v>
      </c>
      <c r="D290" s="8">
        <v>1</v>
      </c>
      <c r="E290">
        <v>5</v>
      </c>
      <c r="F290" t="s">
        <v>1021</v>
      </c>
      <c r="G290" t="s">
        <v>233</v>
      </c>
      <c r="H290" s="8" t="s">
        <v>1071</v>
      </c>
      <c r="I290">
        <f t="shared" si="16"/>
        <v>30</v>
      </c>
      <c r="J290" s="8">
        <f t="shared" si="17"/>
        <v>13.607771100000001</v>
      </c>
      <c r="K290">
        <v>3.093</v>
      </c>
      <c r="L290">
        <f t="shared" si="18"/>
        <v>42.0888360123</v>
      </c>
    </row>
    <row r="291" spans="1:12" x14ac:dyDescent="0.2">
      <c r="A291" s="4">
        <v>43344</v>
      </c>
      <c r="B291" s="6" t="s">
        <v>1074</v>
      </c>
      <c r="C291">
        <v>12</v>
      </c>
      <c r="D291" s="8">
        <v>1</v>
      </c>
      <c r="E291">
        <v>5</v>
      </c>
      <c r="F291" t="s">
        <v>1022</v>
      </c>
      <c r="G291" t="s">
        <v>233</v>
      </c>
      <c r="H291" s="8" t="s">
        <v>1071</v>
      </c>
      <c r="I291">
        <f t="shared" si="16"/>
        <v>60</v>
      </c>
      <c r="J291" s="8">
        <f t="shared" si="17"/>
        <v>27.215542200000002</v>
      </c>
      <c r="K291">
        <v>3.093</v>
      </c>
      <c r="L291">
        <f t="shared" si="18"/>
        <v>84.1776720246</v>
      </c>
    </row>
    <row r="292" spans="1:12" x14ac:dyDescent="0.2">
      <c r="A292" s="4">
        <v>43346</v>
      </c>
      <c r="B292" s="6" t="s">
        <v>1074</v>
      </c>
      <c r="C292">
        <v>10</v>
      </c>
      <c r="D292" s="8">
        <v>1</v>
      </c>
      <c r="E292">
        <v>5</v>
      </c>
      <c r="F292" t="s">
        <v>1021</v>
      </c>
      <c r="G292" t="s">
        <v>233</v>
      </c>
      <c r="H292" s="8" t="s">
        <v>1071</v>
      </c>
      <c r="I292">
        <f t="shared" si="16"/>
        <v>50</v>
      </c>
      <c r="J292" s="8">
        <f t="shared" si="17"/>
        <v>22.6796185</v>
      </c>
      <c r="K292">
        <v>3.093</v>
      </c>
      <c r="L292">
        <f t="shared" si="18"/>
        <v>70.148060020499997</v>
      </c>
    </row>
    <row r="293" spans="1:12" x14ac:dyDescent="0.2">
      <c r="A293" s="4">
        <v>43347</v>
      </c>
      <c r="B293" s="6" t="s">
        <v>1074</v>
      </c>
      <c r="C293">
        <v>2</v>
      </c>
      <c r="D293" s="8">
        <v>1</v>
      </c>
      <c r="E293">
        <v>5</v>
      </c>
      <c r="F293" t="s">
        <v>1022</v>
      </c>
      <c r="G293" t="s">
        <v>233</v>
      </c>
      <c r="H293" s="8" t="s">
        <v>1071</v>
      </c>
      <c r="I293">
        <f t="shared" si="16"/>
        <v>10</v>
      </c>
      <c r="J293" s="8">
        <f t="shared" si="17"/>
        <v>4.5359237000000006</v>
      </c>
      <c r="K293">
        <v>3.093</v>
      </c>
      <c r="L293">
        <f t="shared" si="18"/>
        <v>14.029612004100002</v>
      </c>
    </row>
    <row r="294" spans="1:12" x14ac:dyDescent="0.2">
      <c r="A294" s="4">
        <v>43347</v>
      </c>
      <c r="B294" s="6" t="s">
        <v>1074</v>
      </c>
      <c r="C294">
        <v>5</v>
      </c>
      <c r="D294" s="8">
        <v>1</v>
      </c>
      <c r="E294">
        <v>5</v>
      </c>
      <c r="F294" t="s">
        <v>1022</v>
      </c>
      <c r="G294" t="s">
        <v>233</v>
      </c>
      <c r="H294" s="8" t="s">
        <v>1071</v>
      </c>
      <c r="I294">
        <f t="shared" si="16"/>
        <v>25</v>
      </c>
      <c r="J294" s="8">
        <f t="shared" si="17"/>
        <v>11.33980925</v>
      </c>
      <c r="K294">
        <v>3.093</v>
      </c>
      <c r="L294">
        <f t="shared" si="18"/>
        <v>35.074030010249999</v>
      </c>
    </row>
    <row r="295" spans="1:12" x14ac:dyDescent="0.2">
      <c r="A295" s="4">
        <v>43348</v>
      </c>
      <c r="B295" s="6" t="s">
        <v>1074</v>
      </c>
      <c r="C295">
        <v>2</v>
      </c>
      <c r="D295" s="8">
        <v>1</v>
      </c>
      <c r="E295">
        <v>5</v>
      </c>
      <c r="F295" t="s">
        <v>165</v>
      </c>
      <c r="G295" t="s">
        <v>233</v>
      </c>
      <c r="H295" s="8" t="s">
        <v>1071</v>
      </c>
      <c r="I295">
        <f t="shared" si="16"/>
        <v>10</v>
      </c>
      <c r="J295" s="8">
        <f t="shared" si="17"/>
        <v>4.5359237000000006</v>
      </c>
      <c r="K295">
        <v>3.093</v>
      </c>
      <c r="L295">
        <f t="shared" si="18"/>
        <v>14.029612004100002</v>
      </c>
    </row>
    <row r="296" spans="1:12" x14ac:dyDescent="0.2">
      <c r="A296" s="4">
        <v>43349</v>
      </c>
      <c r="B296" s="6" t="s">
        <v>1074</v>
      </c>
      <c r="C296">
        <v>6</v>
      </c>
      <c r="D296" s="8">
        <v>1</v>
      </c>
      <c r="E296">
        <v>5</v>
      </c>
      <c r="F296" t="s">
        <v>167</v>
      </c>
      <c r="G296" t="s">
        <v>233</v>
      </c>
      <c r="H296" s="8" t="s">
        <v>1071</v>
      </c>
      <c r="I296">
        <f t="shared" si="16"/>
        <v>30</v>
      </c>
      <c r="J296" s="8">
        <f t="shared" si="17"/>
        <v>13.607771100000001</v>
      </c>
      <c r="K296">
        <v>3.093</v>
      </c>
      <c r="L296">
        <f t="shared" si="18"/>
        <v>42.0888360123</v>
      </c>
    </row>
    <row r="297" spans="1:12" x14ac:dyDescent="0.2">
      <c r="A297" s="4">
        <v>43349</v>
      </c>
      <c r="B297" s="6" t="s">
        <v>1074</v>
      </c>
      <c r="C297">
        <v>4</v>
      </c>
      <c r="D297" s="8">
        <v>1</v>
      </c>
      <c r="E297">
        <v>10</v>
      </c>
      <c r="F297" t="s">
        <v>170</v>
      </c>
      <c r="G297" t="s">
        <v>233</v>
      </c>
      <c r="H297" s="8" t="s">
        <v>1071</v>
      </c>
      <c r="I297">
        <f t="shared" si="16"/>
        <v>40</v>
      </c>
      <c r="J297" s="8">
        <f t="shared" si="17"/>
        <v>18.143694800000002</v>
      </c>
      <c r="K297">
        <v>3.093</v>
      </c>
      <c r="L297">
        <f t="shared" si="18"/>
        <v>56.118448016400009</v>
      </c>
    </row>
    <row r="298" spans="1:12" x14ac:dyDescent="0.2">
      <c r="A298" s="4">
        <v>43437</v>
      </c>
      <c r="B298" t="s">
        <v>538</v>
      </c>
      <c r="C298">
        <v>3</v>
      </c>
      <c r="D298">
        <v>4</v>
      </c>
      <c r="E298">
        <v>5</v>
      </c>
      <c r="F298" t="s">
        <v>586</v>
      </c>
      <c r="G298" s="6" t="s">
        <v>876</v>
      </c>
      <c r="H298" s="9" t="s">
        <v>1071</v>
      </c>
      <c r="I298">
        <f t="shared" si="16"/>
        <v>60</v>
      </c>
      <c r="J298">
        <f t="shared" si="17"/>
        <v>27.215542200000002</v>
      </c>
      <c r="K298">
        <v>5.99</v>
      </c>
      <c r="L298">
        <f t="shared" si="18"/>
        <v>163.02109777800001</v>
      </c>
    </row>
    <row r="299" spans="1:12" x14ac:dyDescent="0.2">
      <c r="A299" s="4">
        <v>43439</v>
      </c>
      <c r="B299" t="s">
        <v>538</v>
      </c>
      <c r="C299">
        <v>3</v>
      </c>
      <c r="D299">
        <v>4</v>
      </c>
      <c r="E299">
        <v>5</v>
      </c>
      <c r="F299" t="s">
        <v>586</v>
      </c>
      <c r="G299" s="6" t="s">
        <v>876</v>
      </c>
      <c r="H299" s="9" t="s">
        <v>1071</v>
      </c>
      <c r="I299">
        <f t="shared" si="16"/>
        <v>60</v>
      </c>
      <c r="J299">
        <f t="shared" si="17"/>
        <v>27.215542200000002</v>
      </c>
      <c r="K299">
        <v>5.99</v>
      </c>
      <c r="L299">
        <f t="shared" si="18"/>
        <v>163.02109777800001</v>
      </c>
    </row>
    <row r="300" spans="1:12" x14ac:dyDescent="0.2">
      <c r="A300" s="4">
        <v>43437</v>
      </c>
      <c r="B300" t="s">
        <v>531</v>
      </c>
      <c r="C300">
        <v>3</v>
      </c>
      <c r="D300">
        <v>4</v>
      </c>
      <c r="E300">
        <v>5</v>
      </c>
      <c r="F300" t="s">
        <v>418</v>
      </c>
      <c r="G300" s="6" t="s">
        <v>876</v>
      </c>
      <c r="H300" s="9" t="s">
        <v>1071</v>
      </c>
      <c r="I300">
        <f t="shared" si="16"/>
        <v>60</v>
      </c>
      <c r="J300">
        <f t="shared" si="17"/>
        <v>27.215542200000002</v>
      </c>
      <c r="K300" s="6">
        <v>5.99</v>
      </c>
      <c r="L300">
        <f t="shared" si="18"/>
        <v>163.02109777800001</v>
      </c>
    </row>
    <row r="301" spans="1:12" x14ac:dyDescent="0.2">
      <c r="A301" s="4">
        <v>43437</v>
      </c>
      <c r="B301" t="s">
        <v>538</v>
      </c>
      <c r="C301">
        <v>6</v>
      </c>
      <c r="D301">
        <v>4</v>
      </c>
      <c r="E301">
        <v>7.9</v>
      </c>
      <c r="F301" t="s">
        <v>455</v>
      </c>
      <c r="G301" t="s">
        <v>867</v>
      </c>
      <c r="H301" s="9" t="s">
        <v>1071</v>
      </c>
      <c r="I301">
        <f t="shared" si="16"/>
        <v>189.60000000000002</v>
      </c>
      <c r="J301">
        <f t="shared" si="17"/>
        <v>86.001113352000019</v>
      </c>
      <c r="K301">
        <v>2.6459999999999999</v>
      </c>
      <c r="L301">
        <f t="shared" si="18"/>
        <v>227.55894592939205</v>
      </c>
    </row>
    <row r="302" spans="1:12" x14ac:dyDescent="0.2">
      <c r="A302" s="4">
        <v>43439</v>
      </c>
      <c r="B302" t="s">
        <v>538</v>
      </c>
      <c r="C302">
        <v>3</v>
      </c>
      <c r="D302">
        <v>1</v>
      </c>
      <c r="E302">
        <v>35</v>
      </c>
      <c r="F302" t="s">
        <v>441</v>
      </c>
      <c r="G302" t="s">
        <v>867</v>
      </c>
      <c r="H302" s="9" t="s">
        <v>1071</v>
      </c>
      <c r="I302">
        <f t="shared" si="16"/>
        <v>105</v>
      </c>
      <c r="J302">
        <f t="shared" si="17"/>
        <v>47.627198849999999</v>
      </c>
      <c r="K302">
        <v>2.6459999999999999</v>
      </c>
      <c r="L302">
        <f t="shared" si="18"/>
        <v>126.02156815709999</v>
      </c>
    </row>
    <row r="303" spans="1:12" x14ac:dyDescent="0.2">
      <c r="A303" s="4">
        <v>43439</v>
      </c>
      <c r="B303" t="s">
        <v>538</v>
      </c>
      <c r="C303">
        <v>6</v>
      </c>
      <c r="D303">
        <v>4</v>
      </c>
      <c r="E303">
        <v>7.9</v>
      </c>
      <c r="F303" t="s">
        <v>455</v>
      </c>
      <c r="G303" t="s">
        <v>867</v>
      </c>
      <c r="H303" s="9" t="s">
        <v>1071</v>
      </c>
      <c r="I303">
        <f t="shared" si="16"/>
        <v>189.60000000000002</v>
      </c>
      <c r="J303">
        <f t="shared" si="17"/>
        <v>86.001113352000019</v>
      </c>
      <c r="K303">
        <v>2.6459999999999999</v>
      </c>
      <c r="L303">
        <f t="shared" si="18"/>
        <v>227.55894592939205</v>
      </c>
    </row>
    <row r="304" spans="1:12" x14ac:dyDescent="0.2">
      <c r="A304" s="4">
        <v>43434</v>
      </c>
      <c r="B304" t="s">
        <v>538</v>
      </c>
      <c r="C304">
        <v>6</v>
      </c>
      <c r="D304">
        <v>4</v>
      </c>
      <c r="E304">
        <v>7.9</v>
      </c>
      <c r="F304" t="s">
        <v>455</v>
      </c>
      <c r="G304" t="s">
        <v>867</v>
      </c>
      <c r="H304" s="9" t="s">
        <v>1071</v>
      </c>
      <c r="I304">
        <f t="shared" si="16"/>
        <v>189.60000000000002</v>
      </c>
      <c r="J304">
        <f t="shared" si="17"/>
        <v>86.001113352000019</v>
      </c>
      <c r="K304">
        <v>2.6459999999999999</v>
      </c>
      <c r="L304">
        <f t="shared" si="18"/>
        <v>227.55894592939205</v>
      </c>
    </row>
    <row r="305" spans="1:12" x14ac:dyDescent="0.2">
      <c r="A305" s="4">
        <v>43439</v>
      </c>
      <c r="B305" t="s">
        <v>538</v>
      </c>
      <c r="C305">
        <v>1</v>
      </c>
      <c r="D305">
        <v>6</v>
      </c>
      <c r="E305">
        <v>10</v>
      </c>
      <c r="F305" t="s">
        <v>445</v>
      </c>
      <c r="G305" t="s">
        <v>883</v>
      </c>
      <c r="H305" s="9" t="s">
        <v>1071</v>
      </c>
      <c r="I305">
        <f t="shared" si="16"/>
        <v>60</v>
      </c>
      <c r="J305">
        <f t="shared" si="17"/>
        <v>27.215542200000002</v>
      </c>
      <c r="K305">
        <v>3.206</v>
      </c>
      <c r="L305">
        <f t="shared" si="18"/>
        <v>87.253028293200003</v>
      </c>
    </row>
    <row r="306" spans="1:12" x14ac:dyDescent="0.2">
      <c r="A306" s="4">
        <v>43343</v>
      </c>
      <c r="B306" s="6" t="s">
        <v>1074</v>
      </c>
      <c r="C306">
        <v>1</v>
      </c>
      <c r="D306" s="8">
        <v>1</v>
      </c>
      <c r="E306">
        <f>5*4</f>
        <v>20</v>
      </c>
      <c r="F306" t="s">
        <v>68</v>
      </c>
      <c r="G306" t="s">
        <v>762</v>
      </c>
      <c r="H306" s="8" t="s">
        <v>1071</v>
      </c>
      <c r="I306">
        <f t="shared" si="16"/>
        <v>20</v>
      </c>
      <c r="J306" s="8">
        <f t="shared" si="17"/>
        <v>9.0718474000000011</v>
      </c>
      <c r="K306">
        <v>0.26900000000000002</v>
      </c>
      <c r="L306">
        <f t="shared" si="18"/>
        <v>2.4403269506000003</v>
      </c>
    </row>
    <row r="307" spans="1:12" x14ac:dyDescent="0.2">
      <c r="A307" s="4">
        <v>43343</v>
      </c>
      <c r="B307" s="6" t="s">
        <v>1074</v>
      </c>
      <c r="C307">
        <v>1</v>
      </c>
      <c r="D307" s="8">
        <v>1</v>
      </c>
      <c r="E307">
        <f>25*2</f>
        <v>50</v>
      </c>
      <c r="F307" t="s">
        <v>108</v>
      </c>
      <c r="G307" t="s">
        <v>762</v>
      </c>
      <c r="H307" s="8" t="s">
        <v>1071</v>
      </c>
      <c r="I307">
        <f t="shared" si="16"/>
        <v>50</v>
      </c>
      <c r="J307" s="8">
        <f t="shared" si="17"/>
        <v>22.6796185</v>
      </c>
      <c r="K307">
        <v>0.26900000000000002</v>
      </c>
      <c r="L307">
        <f t="shared" si="18"/>
        <v>6.1008173765000002</v>
      </c>
    </row>
    <row r="308" spans="1:12" x14ac:dyDescent="0.2">
      <c r="A308" s="4">
        <v>43343</v>
      </c>
      <c r="B308" s="6" t="s">
        <v>1074</v>
      </c>
      <c r="C308">
        <v>1</v>
      </c>
      <c r="D308" s="8">
        <v>1</v>
      </c>
      <c r="E308">
        <f>50*2</f>
        <v>100</v>
      </c>
      <c r="F308" t="s">
        <v>109</v>
      </c>
      <c r="G308" t="s">
        <v>762</v>
      </c>
      <c r="H308" s="8" t="s">
        <v>1071</v>
      </c>
      <c r="I308">
        <f t="shared" si="16"/>
        <v>100</v>
      </c>
      <c r="J308" s="8">
        <f t="shared" si="17"/>
        <v>45.359237</v>
      </c>
      <c r="K308">
        <v>0.26900000000000002</v>
      </c>
      <c r="L308">
        <f t="shared" si="18"/>
        <v>12.201634753</v>
      </c>
    </row>
    <row r="309" spans="1:12" x14ac:dyDescent="0.2">
      <c r="A309" s="4">
        <v>43344</v>
      </c>
      <c r="B309" s="6" t="s">
        <v>1074</v>
      </c>
      <c r="C309">
        <v>2</v>
      </c>
      <c r="D309" s="8">
        <v>1</v>
      </c>
      <c r="E309">
        <v>25</v>
      </c>
      <c r="F309" t="s">
        <v>1023</v>
      </c>
      <c r="G309" t="s">
        <v>762</v>
      </c>
      <c r="H309" s="8" t="s">
        <v>1071</v>
      </c>
      <c r="I309">
        <f t="shared" si="16"/>
        <v>50</v>
      </c>
      <c r="J309" s="8">
        <f t="shared" si="17"/>
        <v>22.6796185</v>
      </c>
      <c r="K309">
        <v>0.26900000000000002</v>
      </c>
      <c r="L309">
        <f t="shared" si="18"/>
        <v>6.1008173765000002</v>
      </c>
    </row>
    <row r="310" spans="1:12" x14ac:dyDescent="0.2">
      <c r="A310" s="4">
        <v>43344</v>
      </c>
      <c r="B310" s="6" t="s">
        <v>1074</v>
      </c>
      <c r="C310">
        <v>2</v>
      </c>
      <c r="D310" s="8">
        <v>1</v>
      </c>
      <c r="E310">
        <v>50</v>
      </c>
      <c r="F310" t="s">
        <v>124</v>
      </c>
      <c r="G310" t="s">
        <v>762</v>
      </c>
      <c r="H310" s="8" t="s">
        <v>1071</v>
      </c>
      <c r="I310">
        <f t="shared" ref="I310:I373" si="19">C310*D310*E310</f>
        <v>100</v>
      </c>
      <c r="J310" s="8">
        <f t="shared" si="17"/>
        <v>45.359237</v>
      </c>
      <c r="K310">
        <v>0.26900000000000002</v>
      </c>
      <c r="L310">
        <f t="shared" si="18"/>
        <v>12.201634753</v>
      </c>
    </row>
    <row r="311" spans="1:12" x14ac:dyDescent="0.2">
      <c r="A311" s="4">
        <v>43344</v>
      </c>
      <c r="B311" s="6" t="s">
        <v>1074</v>
      </c>
      <c r="C311">
        <v>4</v>
      </c>
      <c r="D311" s="8">
        <v>1</v>
      </c>
      <c r="E311">
        <v>20</v>
      </c>
      <c r="F311" t="s">
        <v>1026</v>
      </c>
      <c r="G311" t="s">
        <v>762</v>
      </c>
      <c r="H311" s="8" t="s">
        <v>1071</v>
      </c>
      <c r="I311">
        <f t="shared" si="19"/>
        <v>80</v>
      </c>
      <c r="J311" s="8">
        <f t="shared" si="17"/>
        <v>36.287389600000004</v>
      </c>
      <c r="K311">
        <v>0.26900000000000002</v>
      </c>
      <c r="L311">
        <f t="shared" si="18"/>
        <v>9.7613078024000011</v>
      </c>
    </row>
    <row r="312" spans="1:12" x14ac:dyDescent="0.2">
      <c r="A312" s="4">
        <v>43347</v>
      </c>
      <c r="B312" s="6" t="s">
        <v>1074</v>
      </c>
      <c r="C312">
        <v>1</v>
      </c>
      <c r="D312" s="8">
        <v>1</v>
      </c>
      <c r="E312">
        <f>24/16</f>
        <v>1.5</v>
      </c>
      <c r="F312" t="s">
        <v>159</v>
      </c>
      <c r="G312" t="s">
        <v>762</v>
      </c>
      <c r="H312" s="8" t="s">
        <v>1071</v>
      </c>
      <c r="I312">
        <f t="shared" si="19"/>
        <v>1.5</v>
      </c>
      <c r="J312" s="8">
        <f t="shared" si="17"/>
        <v>0.68038855500000006</v>
      </c>
      <c r="K312">
        <v>0.26900000000000002</v>
      </c>
      <c r="L312">
        <f t="shared" si="18"/>
        <v>0.18302452129500002</v>
      </c>
    </row>
    <row r="313" spans="1:12" x14ac:dyDescent="0.2">
      <c r="A313" s="4">
        <v>43347</v>
      </c>
      <c r="B313" s="6" t="s">
        <v>1074</v>
      </c>
      <c r="C313">
        <v>1</v>
      </c>
      <c r="D313" s="8">
        <v>1</v>
      </c>
      <c r="E313">
        <v>25</v>
      </c>
      <c r="F313" t="s">
        <v>1023</v>
      </c>
      <c r="G313" t="s">
        <v>762</v>
      </c>
      <c r="H313" s="8" t="s">
        <v>1071</v>
      </c>
      <c r="I313">
        <f t="shared" si="19"/>
        <v>25</v>
      </c>
      <c r="J313" s="8">
        <f t="shared" si="17"/>
        <v>11.33980925</v>
      </c>
      <c r="K313">
        <v>0.26900000000000002</v>
      </c>
      <c r="L313">
        <f t="shared" si="18"/>
        <v>3.0504086882500001</v>
      </c>
    </row>
    <row r="314" spans="1:12" x14ac:dyDescent="0.2">
      <c r="A314" s="4">
        <v>43347</v>
      </c>
      <c r="B314" s="6" t="s">
        <v>1074</v>
      </c>
      <c r="C314">
        <v>1</v>
      </c>
      <c r="D314" s="8">
        <v>1</v>
      </c>
      <c r="E314">
        <v>50</v>
      </c>
      <c r="F314" t="s">
        <v>124</v>
      </c>
      <c r="G314" t="s">
        <v>762</v>
      </c>
      <c r="H314" s="8" t="s">
        <v>1071</v>
      </c>
      <c r="I314">
        <f t="shared" si="19"/>
        <v>50</v>
      </c>
      <c r="J314" s="8">
        <f t="shared" si="17"/>
        <v>22.6796185</v>
      </c>
      <c r="K314">
        <v>0.26900000000000002</v>
      </c>
      <c r="L314">
        <f t="shared" si="18"/>
        <v>6.1008173765000002</v>
      </c>
    </row>
    <row r="315" spans="1:12" x14ac:dyDescent="0.2">
      <c r="A315" s="4">
        <v>43347</v>
      </c>
      <c r="B315" s="6" t="s">
        <v>1074</v>
      </c>
      <c r="C315">
        <v>1</v>
      </c>
      <c r="D315" s="8">
        <v>1</v>
      </c>
      <c r="E315">
        <v>50</v>
      </c>
      <c r="F315" t="s">
        <v>124</v>
      </c>
      <c r="G315" t="s">
        <v>762</v>
      </c>
      <c r="H315" s="8" t="s">
        <v>1071</v>
      </c>
      <c r="I315">
        <f t="shared" si="19"/>
        <v>50</v>
      </c>
      <c r="J315" s="8">
        <f t="shared" si="17"/>
        <v>22.6796185</v>
      </c>
      <c r="K315">
        <v>0.26900000000000002</v>
      </c>
      <c r="L315">
        <f t="shared" si="18"/>
        <v>6.1008173765000002</v>
      </c>
    </row>
    <row r="316" spans="1:12" x14ac:dyDescent="0.2">
      <c r="A316" s="4">
        <v>43347</v>
      </c>
      <c r="B316" s="6" t="s">
        <v>1074</v>
      </c>
      <c r="C316">
        <v>2</v>
      </c>
      <c r="D316" s="8">
        <v>1</v>
      </c>
      <c r="E316">
        <v>20</v>
      </c>
      <c r="F316" t="s">
        <v>1026</v>
      </c>
      <c r="G316" t="s">
        <v>762</v>
      </c>
      <c r="H316" s="8" t="s">
        <v>1071</v>
      </c>
      <c r="I316">
        <f t="shared" si="19"/>
        <v>40</v>
      </c>
      <c r="J316" s="8">
        <f t="shared" si="17"/>
        <v>18.143694800000002</v>
      </c>
      <c r="K316">
        <v>0.26900000000000002</v>
      </c>
      <c r="L316">
        <f t="shared" si="18"/>
        <v>4.8806539012000005</v>
      </c>
    </row>
    <row r="317" spans="1:12" x14ac:dyDescent="0.2">
      <c r="A317" s="4">
        <v>43343</v>
      </c>
      <c r="B317" s="6" t="s">
        <v>1074</v>
      </c>
      <c r="C317">
        <v>2</v>
      </c>
      <c r="D317" s="8">
        <v>1</v>
      </c>
      <c r="E317">
        <f>24/16</f>
        <v>1.5</v>
      </c>
      <c r="F317" t="s">
        <v>107</v>
      </c>
      <c r="G317" t="s">
        <v>804</v>
      </c>
      <c r="H317" s="8" t="s">
        <v>1071</v>
      </c>
      <c r="I317">
        <f t="shared" si="19"/>
        <v>3</v>
      </c>
      <c r="J317" s="8">
        <f t="shared" si="17"/>
        <v>1.3607771100000001</v>
      </c>
      <c r="K317">
        <v>8.5000000000000006E-2</v>
      </c>
      <c r="L317">
        <f t="shared" si="18"/>
        <v>0.11566605435000002</v>
      </c>
    </row>
    <row r="318" spans="1:12" x14ac:dyDescent="0.2">
      <c r="A318" s="4">
        <v>43346</v>
      </c>
      <c r="B318" s="6" t="s">
        <v>1074</v>
      </c>
      <c r="C318">
        <v>1</v>
      </c>
      <c r="D318" s="8">
        <v>1</v>
      </c>
      <c r="E318">
        <f>24/16</f>
        <v>1.5</v>
      </c>
      <c r="F318" s="6" t="s">
        <v>107</v>
      </c>
      <c r="G318" s="6" t="s">
        <v>804</v>
      </c>
      <c r="H318" s="8" t="s">
        <v>1071</v>
      </c>
      <c r="I318">
        <f t="shared" si="19"/>
        <v>1.5</v>
      </c>
      <c r="J318" s="8">
        <f t="shared" si="17"/>
        <v>0.68038855500000006</v>
      </c>
      <c r="K318">
        <v>8.5000000000000006E-2</v>
      </c>
      <c r="L318">
        <f t="shared" si="18"/>
        <v>5.783302717500001E-2</v>
      </c>
    </row>
    <row r="319" spans="1:12" x14ac:dyDescent="0.2">
      <c r="A319" s="4">
        <v>43348</v>
      </c>
      <c r="B319" s="6" t="s">
        <v>1074</v>
      </c>
      <c r="C319">
        <v>2</v>
      </c>
      <c r="D319" s="8">
        <v>1</v>
      </c>
      <c r="E319">
        <v>50</v>
      </c>
      <c r="F319" t="s">
        <v>109</v>
      </c>
      <c r="G319" t="s">
        <v>779</v>
      </c>
      <c r="H319" s="8" t="s">
        <v>1071</v>
      </c>
      <c r="I319">
        <f t="shared" si="19"/>
        <v>100</v>
      </c>
      <c r="J319" s="8">
        <f t="shared" si="17"/>
        <v>45.359237</v>
      </c>
      <c r="K319">
        <v>0.26900000000000002</v>
      </c>
      <c r="L319">
        <f t="shared" si="18"/>
        <v>12.201634753</v>
      </c>
    </row>
    <row r="320" spans="1:12" x14ac:dyDescent="0.2">
      <c r="A320" s="4">
        <v>43349</v>
      </c>
      <c r="B320" s="6" t="s">
        <v>1074</v>
      </c>
      <c r="C320">
        <v>2</v>
      </c>
      <c r="D320" s="8">
        <v>1</v>
      </c>
      <c r="E320">
        <v>50</v>
      </c>
      <c r="F320" t="s">
        <v>109</v>
      </c>
      <c r="G320" t="s">
        <v>779</v>
      </c>
      <c r="H320" s="8" t="s">
        <v>1071</v>
      </c>
      <c r="I320">
        <f t="shared" si="19"/>
        <v>100</v>
      </c>
      <c r="J320" s="8">
        <f t="shared" si="17"/>
        <v>45.359237</v>
      </c>
      <c r="K320">
        <v>0.26900000000000002</v>
      </c>
      <c r="L320">
        <f t="shared" si="18"/>
        <v>12.201634753</v>
      </c>
    </row>
    <row r="321" spans="1:12" x14ac:dyDescent="0.2">
      <c r="A321" s="4">
        <v>43346</v>
      </c>
      <c r="B321" s="6" t="s">
        <v>1074</v>
      </c>
      <c r="C321">
        <v>25</v>
      </c>
      <c r="D321" s="8">
        <v>1</v>
      </c>
      <c r="E321" s="6">
        <f t="shared" ref="E321:E326" si="20">113*0.288806</f>
        <v>32.635078</v>
      </c>
      <c r="F321" t="s">
        <v>132</v>
      </c>
      <c r="G321" t="s">
        <v>776</v>
      </c>
      <c r="H321" s="8" t="s">
        <v>1071</v>
      </c>
      <c r="I321">
        <f t="shared" si="19"/>
        <v>815.87694999999997</v>
      </c>
      <c r="J321" s="8">
        <f t="shared" si="17"/>
        <v>370.0755593788715</v>
      </c>
      <c r="K321">
        <v>0.29399999999999998</v>
      </c>
      <c r="L321">
        <f t="shared" si="18"/>
        <v>108.80221445738822</v>
      </c>
    </row>
    <row r="322" spans="1:12" x14ac:dyDescent="0.2">
      <c r="A322" s="13">
        <v>43346</v>
      </c>
      <c r="B322" s="9" t="s">
        <v>48</v>
      </c>
      <c r="C322" s="6">
        <v>25</v>
      </c>
      <c r="D322" s="8">
        <v>1</v>
      </c>
      <c r="E322" s="6">
        <f t="shared" si="20"/>
        <v>32.635078</v>
      </c>
      <c r="F322" s="6" t="s">
        <v>49</v>
      </c>
      <c r="G322" s="6" t="s">
        <v>49</v>
      </c>
      <c r="H322" s="8" t="s">
        <v>1071</v>
      </c>
      <c r="I322">
        <f t="shared" si="19"/>
        <v>815.87694999999997</v>
      </c>
      <c r="J322" s="8">
        <f t="shared" si="17"/>
        <v>370.0755593788715</v>
      </c>
      <c r="K322">
        <v>0.29399999999999998</v>
      </c>
      <c r="L322">
        <f t="shared" si="18"/>
        <v>108.80221445738822</v>
      </c>
    </row>
    <row r="323" spans="1:12" x14ac:dyDescent="0.2">
      <c r="A323" s="4">
        <v>43343</v>
      </c>
      <c r="B323" t="s">
        <v>48</v>
      </c>
      <c r="C323">
        <v>25</v>
      </c>
      <c r="D323" s="8">
        <v>1</v>
      </c>
      <c r="E323" s="6">
        <f t="shared" si="20"/>
        <v>32.635078</v>
      </c>
      <c r="F323" t="s">
        <v>55</v>
      </c>
      <c r="G323" t="s">
        <v>55</v>
      </c>
      <c r="H323" s="8" t="s">
        <v>1071</v>
      </c>
      <c r="I323">
        <f t="shared" si="19"/>
        <v>815.87694999999997</v>
      </c>
      <c r="J323" s="8">
        <f t="shared" ref="J323:J386" si="21">CONVERT(I323,"lbm","kg")</f>
        <v>370.0755593788715</v>
      </c>
      <c r="K323">
        <v>0.29399999999999998</v>
      </c>
      <c r="L323">
        <f t="shared" ref="L323:L386" si="22">J323*K323</f>
        <v>108.80221445738822</v>
      </c>
    </row>
    <row r="324" spans="1:12" x14ac:dyDescent="0.2">
      <c r="A324" s="4">
        <v>43344</v>
      </c>
      <c r="B324" s="6" t="s">
        <v>1074</v>
      </c>
      <c r="C324">
        <v>40</v>
      </c>
      <c r="D324" s="8">
        <v>1</v>
      </c>
      <c r="E324" s="6">
        <f t="shared" si="20"/>
        <v>32.635078</v>
      </c>
      <c r="F324" t="s">
        <v>132</v>
      </c>
      <c r="G324" t="s">
        <v>55</v>
      </c>
      <c r="H324" s="8" t="s">
        <v>1071</v>
      </c>
      <c r="I324">
        <f t="shared" si="19"/>
        <v>1305.4031199999999</v>
      </c>
      <c r="J324" s="8">
        <f t="shared" si="21"/>
        <v>592.12089500619436</v>
      </c>
      <c r="K324">
        <v>0.29399999999999998</v>
      </c>
      <c r="L324">
        <f t="shared" si="22"/>
        <v>174.08354313182113</v>
      </c>
    </row>
    <row r="325" spans="1:12" x14ac:dyDescent="0.2">
      <c r="A325" s="4">
        <v>43348</v>
      </c>
      <c r="B325" s="6" t="s">
        <v>1074</v>
      </c>
      <c r="C325">
        <v>25</v>
      </c>
      <c r="D325" s="8">
        <v>1</v>
      </c>
      <c r="E325">
        <f t="shared" si="20"/>
        <v>32.635078</v>
      </c>
      <c r="F325" t="s">
        <v>55</v>
      </c>
      <c r="G325" t="s">
        <v>55</v>
      </c>
      <c r="H325" s="8" t="s">
        <v>1071</v>
      </c>
      <c r="I325">
        <f t="shared" si="19"/>
        <v>815.87694999999997</v>
      </c>
      <c r="J325" s="8">
        <f t="shared" si="21"/>
        <v>370.0755593788715</v>
      </c>
      <c r="K325">
        <v>0.29399999999999998</v>
      </c>
      <c r="L325">
        <f t="shared" si="22"/>
        <v>108.80221445738822</v>
      </c>
    </row>
    <row r="326" spans="1:12" x14ac:dyDescent="0.2">
      <c r="A326" s="4">
        <v>43349</v>
      </c>
      <c r="B326" s="6" t="s">
        <v>1074</v>
      </c>
      <c r="C326">
        <v>25</v>
      </c>
      <c r="D326" s="8">
        <v>1</v>
      </c>
      <c r="E326">
        <f t="shared" si="20"/>
        <v>32.635078</v>
      </c>
      <c r="F326" t="s">
        <v>55</v>
      </c>
      <c r="G326" t="s">
        <v>55</v>
      </c>
      <c r="H326" s="8" t="s">
        <v>1071</v>
      </c>
      <c r="I326">
        <f t="shared" si="19"/>
        <v>815.87694999999997</v>
      </c>
      <c r="J326" s="8">
        <f t="shared" si="21"/>
        <v>370.0755593788715</v>
      </c>
      <c r="K326">
        <v>0.29399999999999998</v>
      </c>
      <c r="L326">
        <f t="shared" si="22"/>
        <v>108.80221445738822</v>
      </c>
    </row>
    <row r="327" spans="1:12" x14ac:dyDescent="0.2">
      <c r="A327" s="4">
        <v>43434</v>
      </c>
      <c r="B327" t="s">
        <v>538</v>
      </c>
      <c r="C327">
        <v>1</v>
      </c>
      <c r="D327">
        <v>6</v>
      </c>
      <c r="E327">
        <v>5</v>
      </c>
      <c r="F327" t="s">
        <v>439</v>
      </c>
      <c r="G327" s="14" t="s">
        <v>904</v>
      </c>
      <c r="H327" s="9" t="s">
        <v>1071</v>
      </c>
      <c r="I327">
        <f t="shared" si="19"/>
        <v>30</v>
      </c>
      <c r="J327">
        <f t="shared" si="21"/>
        <v>13.607771100000001</v>
      </c>
      <c r="L327">
        <f t="shared" si="22"/>
        <v>0</v>
      </c>
    </row>
    <row r="328" spans="1:12" x14ac:dyDescent="0.2">
      <c r="A328" s="4">
        <v>43437</v>
      </c>
      <c r="B328" t="s">
        <v>538</v>
      </c>
      <c r="C328">
        <v>1</v>
      </c>
      <c r="D328">
        <v>6</v>
      </c>
      <c r="E328">
        <v>5</v>
      </c>
      <c r="F328" t="s">
        <v>439</v>
      </c>
      <c r="G328" s="14" t="s">
        <v>904</v>
      </c>
      <c r="H328" s="9" t="s">
        <v>1071</v>
      </c>
      <c r="I328">
        <f t="shared" si="19"/>
        <v>30</v>
      </c>
      <c r="J328">
        <f t="shared" si="21"/>
        <v>13.607771100000001</v>
      </c>
      <c r="L328">
        <f t="shared" si="22"/>
        <v>0</v>
      </c>
    </row>
    <row r="329" spans="1:12" x14ac:dyDescent="0.2">
      <c r="A329" s="4">
        <v>43343</v>
      </c>
      <c r="B329" s="6" t="s">
        <v>1074</v>
      </c>
      <c r="C329">
        <v>1</v>
      </c>
      <c r="D329" s="8">
        <v>1</v>
      </c>
      <c r="E329">
        <f>30*(1/8)</f>
        <v>3.75</v>
      </c>
      <c r="F329" t="s">
        <v>56</v>
      </c>
      <c r="G329" t="s">
        <v>757</v>
      </c>
      <c r="H329" s="8" t="s">
        <v>1071</v>
      </c>
      <c r="I329">
        <f t="shared" si="19"/>
        <v>3.75</v>
      </c>
      <c r="J329" s="8">
        <f t="shared" si="21"/>
        <v>1.7009713875000001</v>
      </c>
      <c r="K329">
        <v>0.23200000000000001</v>
      </c>
      <c r="L329">
        <f t="shared" si="22"/>
        <v>0.39462536190000003</v>
      </c>
    </row>
    <row r="330" spans="1:12" x14ac:dyDescent="0.2">
      <c r="A330" s="4">
        <v>43344</v>
      </c>
      <c r="B330" s="6" t="s">
        <v>1074</v>
      </c>
      <c r="C330">
        <v>1</v>
      </c>
      <c r="D330" s="8">
        <v>1</v>
      </c>
      <c r="E330">
        <f>30*(1/8)</f>
        <v>3.75</v>
      </c>
      <c r="F330" s="15" t="s">
        <v>125</v>
      </c>
      <c r="G330" s="15" t="s">
        <v>757</v>
      </c>
      <c r="H330" s="8" t="s">
        <v>1071</v>
      </c>
      <c r="I330">
        <f t="shared" si="19"/>
        <v>3.75</v>
      </c>
      <c r="J330" s="8">
        <f t="shared" si="21"/>
        <v>1.7009713875000001</v>
      </c>
      <c r="K330">
        <v>0.23200000000000001</v>
      </c>
      <c r="L330">
        <f t="shared" si="22"/>
        <v>0.39462536190000003</v>
      </c>
    </row>
    <row r="331" spans="1:12" x14ac:dyDescent="0.2">
      <c r="A331" s="4">
        <v>43348</v>
      </c>
      <c r="B331" s="6" t="s">
        <v>1074</v>
      </c>
      <c r="C331">
        <v>1</v>
      </c>
      <c r="D331" s="8">
        <v>1</v>
      </c>
      <c r="E331">
        <f>30*1/8</f>
        <v>3.75</v>
      </c>
      <c r="F331" t="s">
        <v>56</v>
      </c>
      <c r="G331" t="s">
        <v>757</v>
      </c>
      <c r="H331" s="8" t="s">
        <v>1071</v>
      </c>
      <c r="I331">
        <f t="shared" si="19"/>
        <v>3.75</v>
      </c>
      <c r="J331" s="8">
        <f t="shared" si="21"/>
        <v>1.7009713875000001</v>
      </c>
      <c r="K331">
        <v>0.23200000000000001</v>
      </c>
      <c r="L331">
        <f t="shared" si="22"/>
        <v>0.39462536190000003</v>
      </c>
    </row>
    <row r="332" spans="1:12" x14ac:dyDescent="0.2">
      <c r="A332" s="4">
        <v>43434</v>
      </c>
      <c r="B332" t="s">
        <v>538</v>
      </c>
      <c r="C332">
        <v>4</v>
      </c>
      <c r="D332">
        <v>2</v>
      </c>
      <c r="E332">
        <v>10</v>
      </c>
      <c r="F332" t="s">
        <v>458</v>
      </c>
      <c r="G332" s="6" t="s">
        <v>875</v>
      </c>
      <c r="H332" s="9" t="s">
        <v>1071</v>
      </c>
      <c r="I332">
        <f t="shared" si="19"/>
        <v>80</v>
      </c>
      <c r="J332">
        <f t="shared" si="21"/>
        <v>36.287389600000004</v>
      </c>
      <c r="K332">
        <v>5.99</v>
      </c>
      <c r="L332">
        <f t="shared" si="22"/>
        <v>217.36146370400004</v>
      </c>
    </row>
    <row r="333" spans="1:12" x14ac:dyDescent="0.2">
      <c r="A333" s="4">
        <v>43434</v>
      </c>
      <c r="B333" t="s">
        <v>538</v>
      </c>
      <c r="C333">
        <v>4</v>
      </c>
      <c r="D333">
        <v>2</v>
      </c>
      <c r="E333">
        <v>10</v>
      </c>
      <c r="F333" t="s">
        <v>461</v>
      </c>
      <c r="G333" s="6" t="s">
        <v>875</v>
      </c>
      <c r="H333" s="9" t="s">
        <v>1071</v>
      </c>
      <c r="I333">
        <f t="shared" si="19"/>
        <v>80</v>
      </c>
      <c r="J333">
        <f t="shared" si="21"/>
        <v>36.287389600000004</v>
      </c>
      <c r="K333">
        <v>5.99</v>
      </c>
      <c r="L333">
        <f t="shared" si="22"/>
        <v>217.36146370400004</v>
      </c>
    </row>
    <row r="334" spans="1:12" x14ac:dyDescent="0.2">
      <c r="A334" s="4">
        <v>43434</v>
      </c>
      <c r="B334" t="s">
        <v>538</v>
      </c>
      <c r="C334">
        <v>4</v>
      </c>
      <c r="D334">
        <v>2</v>
      </c>
      <c r="E334">
        <v>10</v>
      </c>
      <c r="F334" t="s">
        <v>462</v>
      </c>
      <c r="G334" s="6" t="s">
        <v>875</v>
      </c>
      <c r="H334" s="9" t="s">
        <v>1071</v>
      </c>
      <c r="I334">
        <f t="shared" si="19"/>
        <v>80</v>
      </c>
      <c r="J334">
        <f t="shared" si="21"/>
        <v>36.287389600000004</v>
      </c>
      <c r="K334">
        <v>5.99</v>
      </c>
      <c r="L334">
        <f t="shared" si="22"/>
        <v>217.36146370400004</v>
      </c>
    </row>
    <row r="335" spans="1:12" x14ac:dyDescent="0.2">
      <c r="A335" s="4">
        <v>43434</v>
      </c>
      <c r="B335" t="s">
        <v>538</v>
      </c>
      <c r="C335">
        <v>4</v>
      </c>
      <c r="D335">
        <v>2</v>
      </c>
      <c r="E335">
        <v>10</v>
      </c>
      <c r="F335" t="s">
        <v>566</v>
      </c>
      <c r="G335" s="6" t="s">
        <v>875</v>
      </c>
      <c r="H335" s="9" t="s">
        <v>1071</v>
      </c>
      <c r="I335">
        <f t="shared" si="19"/>
        <v>80</v>
      </c>
      <c r="J335">
        <f t="shared" si="21"/>
        <v>36.287389600000004</v>
      </c>
      <c r="K335">
        <v>5.99</v>
      </c>
      <c r="L335">
        <f t="shared" si="22"/>
        <v>217.36146370400004</v>
      </c>
    </row>
    <row r="336" spans="1:12" x14ac:dyDescent="0.2">
      <c r="A336" s="4">
        <v>43439</v>
      </c>
      <c r="B336" t="s">
        <v>538</v>
      </c>
      <c r="C336">
        <v>3</v>
      </c>
      <c r="D336">
        <v>2</v>
      </c>
      <c r="E336">
        <v>10</v>
      </c>
      <c r="F336" t="s">
        <v>458</v>
      </c>
      <c r="G336" s="6" t="s">
        <v>875</v>
      </c>
      <c r="H336" s="9" t="s">
        <v>1071</v>
      </c>
      <c r="I336">
        <f t="shared" si="19"/>
        <v>60</v>
      </c>
      <c r="J336">
        <f t="shared" si="21"/>
        <v>27.215542200000002</v>
      </c>
      <c r="K336">
        <v>5.99</v>
      </c>
      <c r="L336">
        <f t="shared" si="22"/>
        <v>163.02109777800001</v>
      </c>
    </row>
    <row r="337" spans="1:12" x14ac:dyDescent="0.2">
      <c r="A337" s="4">
        <v>43434</v>
      </c>
      <c r="B337" t="s">
        <v>538</v>
      </c>
      <c r="C337">
        <v>1</v>
      </c>
      <c r="D337">
        <v>12</v>
      </c>
      <c r="E337">
        <v>1</v>
      </c>
      <c r="F337" t="s">
        <v>560</v>
      </c>
      <c r="G337" s="6" t="s">
        <v>911</v>
      </c>
      <c r="H337" s="9" t="s">
        <v>1071</v>
      </c>
      <c r="I337">
        <f t="shared" si="19"/>
        <v>12</v>
      </c>
      <c r="J337">
        <f t="shared" si="21"/>
        <v>5.4431084400000005</v>
      </c>
      <c r="K337">
        <v>0.11799999999999999</v>
      </c>
      <c r="L337">
        <f t="shared" si="22"/>
        <v>0.64228679592000004</v>
      </c>
    </row>
    <row r="338" spans="1:12" x14ac:dyDescent="0.2">
      <c r="A338" s="4">
        <v>43439</v>
      </c>
      <c r="B338" t="s">
        <v>538</v>
      </c>
      <c r="C338">
        <v>1</v>
      </c>
      <c r="D338">
        <v>1</v>
      </c>
      <c r="E338">
        <v>20</v>
      </c>
      <c r="F338" t="s">
        <v>592</v>
      </c>
      <c r="G338" t="s">
        <v>921</v>
      </c>
      <c r="H338" s="9" t="s">
        <v>1071</v>
      </c>
      <c r="I338">
        <f t="shared" si="19"/>
        <v>20</v>
      </c>
      <c r="J338">
        <f t="shared" si="21"/>
        <v>9.0718474000000011</v>
      </c>
      <c r="K338">
        <v>0.61699999999999999</v>
      </c>
      <c r="L338">
        <f t="shared" si="22"/>
        <v>5.5973298458000009</v>
      </c>
    </row>
    <row r="339" spans="1:12" x14ac:dyDescent="0.2">
      <c r="A339" s="4">
        <v>43343</v>
      </c>
      <c r="B339" s="6" t="s">
        <v>1074</v>
      </c>
      <c r="C339">
        <v>1</v>
      </c>
      <c r="D339" s="8">
        <v>1</v>
      </c>
      <c r="E339">
        <f>10*2</f>
        <v>20</v>
      </c>
      <c r="F339" t="s">
        <v>57</v>
      </c>
      <c r="G339" t="s">
        <v>806</v>
      </c>
      <c r="H339" s="8" t="s">
        <v>1071</v>
      </c>
      <c r="I339">
        <f t="shared" si="19"/>
        <v>20</v>
      </c>
      <c r="J339" s="8">
        <f t="shared" si="21"/>
        <v>9.0718474000000011</v>
      </c>
      <c r="K339">
        <v>0.70099999999999996</v>
      </c>
      <c r="L339">
        <f t="shared" si="22"/>
        <v>6.3593650274</v>
      </c>
    </row>
    <row r="340" spans="1:12" x14ac:dyDescent="0.2">
      <c r="A340" s="4">
        <v>43346</v>
      </c>
      <c r="B340" s="6" t="s">
        <v>1074</v>
      </c>
      <c r="C340">
        <v>1</v>
      </c>
      <c r="D340" s="8">
        <v>1</v>
      </c>
      <c r="E340">
        <v>10</v>
      </c>
      <c r="F340" t="s">
        <v>147</v>
      </c>
      <c r="G340" t="s">
        <v>806</v>
      </c>
      <c r="H340" s="8" t="s">
        <v>1071</v>
      </c>
      <c r="I340">
        <f t="shared" si="19"/>
        <v>10</v>
      </c>
      <c r="J340" s="8">
        <f t="shared" si="21"/>
        <v>4.5359237000000006</v>
      </c>
      <c r="K340">
        <v>0.70099999999999996</v>
      </c>
      <c r="L340">
        <f t="shared" si="22"/>
        <v>3.1796825137</v>
      </c>
    </row>
    <row r="341" spans="1:12" x14ac:dyDescent="0.2">
      <c r="A341" s="4">
        <v>43434</v>
      </c>
      <c r="B341" t="s">
        <v>531</v>
      </c>
      <c r="C341">
        <v>2</v>
      </c>
      <c r="D341">
        <v>12</v>
      </c>
      <c r="E341">
        <v>2.5</v>
      </c>
      <c r="F341" t="s">
        <v>405</v>
      </c>
      <c r="G341" t="s">
        <v>891</v>
      </c>
      <c r="H341" s="9" t="s">
        <v>1071</v>
      </c>
      <c r="I341">
        <f t="shared" si="19"/>
        <v>60</v>
      </c>
      <c r="J341">
        <f t="shared" si="21"/>
        <v>27.215542200000002</v>
      </c>
      <c r="K341">
        <v>0.61699999999999999</v>
      </c>
      <c r="L341">
        <f t="shared" si="22"/>
        <v>16.791989537399999</v>
      </c>
    </row>
    <row r="342" spans="1:12" x14ac:dyDescent="0.2">
      <c r="A342" s="4">
        <v>43437</v>
      </c>
      <c r="B342" t="s">
        <v>531</v>
      </c>
      <c r="C342">
        <v>1</v>
      </c>
      <c r="D342">
        <v>12</v>
      </c>
      <c r="E342">
        <v>2.5</v>
      </c>
      <c r="F342" t="s">
        <v>405</v>
      </c>
      <c r="G342" t="s">
        <v>891</v>
      </c>
      <c r="H342" s="9" t="s">
        <v>1071</v>
      </c>
      <c r="I342">
        <f t="shared" si="19"/>
        <v>30</v>
      </c>
      <c r="J342">
        <f t="shared" si="21"/>
        <v>13.607771100000001</v>
      </c>
      <c r="K342">
        <v>0.61699999999999999</v>
      </c>
      <c r="L342">
        <f t="shared" si="22"/>
        <v>8.3959947686999996</v>
      </c>
    </row>
    <row r="343" spans="1:12" x14ac:dyDescent="0.2">
      <c r="A343" s="4">
        <v>43344</v>
      </c>
      <c r="B343" s="6" t="s">
        <v>1074</v>
      </c>
      <c r="C343">
        <v>3</v>
      </c>
      <c r="D343" s="8">
        <v>1</v>
      </c>
      <c r="E343">
        <v>20</v>
      </c>
      <c r="F343" t="s">
        <v>1027</v>
      </c>
      <c r="G343" t="s">
        <v>218</v>
      </c>
      <c r="H343" s="8" t="s">
        <v>1071</v>
      </c>
      <c r="I343">
        <f t="shared" si="19"/>
        <v>60</v>
      </c>
      <c r="J343" s="8">
        <f t="shared" si="21"/>
        <v>27.215542200000002</v>
      </c>
      <c r="K343">
        <v>0.52500000000000002</v>
      </c>
      <c r="L343">
        <f t="shared" si="22"/>
        <v>14.288159655000001</v>
      </c>
    </row>
    <row r="344" spans="1:12" x14ac:dyDescent="0.2">
      <c r="A344" s="4">
        <v>43347</v>
      </c>
      <c r="B344" s="6" t="s">
        <v>1074</v>
      </c>
      <c r="C344">
        <v>6</v>
      </c>
      <c r="D344" s="8">
        <v>1</v>
      </c>
      <c r="E344">
        <v>10</v>
      </c>
      <c r="F344" t="s">
        <v>1020</v>
      </c>
      <c r="G344" t="s">
        <v>218</v>
      </c>
      <c r="H344" s="8" t="s">
        <v>1071</v>
      </c>
      <c r="I344">
        <f t="shared" si="19"/>
        <v>60</v>
      </c>
      <c r="J344" s="8">
        <f t="shared" si="21"/>
        <v>27.215542200000002</v>
      </c>
      <c r="K344">
        <v>0.52500000000000002</v>
      </c>
      <c r="L344">
        <f t="shared" si="22"/>
        <v>14.288159655000001</v>
      </c>
    </row>
    <row r="345" spans="1:12" x14ac:dyDescent="0.2">
      <c r="A345" s="4">
        <v>43347</v>
      </c>
      <c r="B345" s="6" t="s">
        <v>1074</v>
      </c>
      <c r="C345">
        <v>1</v>
      </c>
      <c r="D345" s="8">
        <v>1</v>
      </c>
      <c r="E345">
        <v>20</v>
      </c>
      <c r="F345" t="s">
        <v>1027</v>
      </c>
      <c r="G345" t="s">
        <v>218</v>
      </c>
      <c r="H345" s="8" t="s">
        <v>1071</v>
      </c>
      <c r="I345">
        <f t="shared" si="19"/>
        <v>20</v>
      </c>
      <c r="J345" s="8">
        <f t="shared" si="21"/>
        <v>9.0718474000000011</v>
      </c>
      <c r="K345">
        <v>0.52500000000000002</v>
      </c>
      <c r="L345">
        <f t="shared" si="22"/>
        <v>4.762719885000001</v>
      </c>
    </row>
    <row r="346" spans="1:12" x14ac:dyDescent="0.2">
      <c r="A346" s="4">
        <v>43343</v>
      </c>
      <c r="B346" s="6" t="s">
        <v>1074</v>
      </c>
      <c r="C346">
        <v>1</v>
      </c>
      <c r="D346" s="8">
        <v>1</v>
      </c>
      <c r="E346">
        <f>(10/9)*30*2</f>
        <v>66.666666666666671</v>
      </c>
      <c r="F346" t="s">
        <v>58</v>
      </c>
      <c r="G346" t="s">
        <v>218</v>
      </c>
      <c r="H346" s="8" t="s">
        <v>1071</v>
      </c>
      <c r="I346">
        <f t="shared" si="19"/>
        <v>66.666666666666671</v>
      </c>
      <c r="J346" s="8">
        <f t="shared" si="21"/>
        <v>30.239491333333337</v>
      </c>
      <c r="K346">
        <v>0.52500000000000002</v>
      </c>
      <c r="L346">
        <f t="shared" si="22"/>
        <v>15.875732950000003</v>
      </c>
    </row>
    <row r="347" spans="1:12" x14ac:dyDescent="0.2">
      <c r="A347" s="4">
        <v>43343</v>
      </c>
      <c r="B347" s="6" t="s">
        <v>1074</v>
      </c>
      <c r="C347">
        <v>1</v>
      </c>
      <c r="D347" s="8">
        <v>1</v>
      </c>
      <c r="E347">
        <f>(10/9)*30*2</f>
        <v>66.666666666666671</v>
      </c>
      <c r="F347" t="s">
        <v>59</v>
      </c>
      <c r="G347" t="s">
        <v>218</v>
      </c>
      <c r="H347" s="8" t="s">
        <v>1071</v>
      </c>
      <c r="I347">
        <f t="shared" si="19"/>
        <v>66.666666666666671</v>
      </c>
      <c r="J347" s="8">
        <f t="shared" si="21"/>
        <v>30.239491333333337</v>
      </c>
      <c r="K347">
        <v>0.52500000000000002</v>
      </c>
      <c r="L347">
        <f t="shared" si="22"/>
        <v>15.875732950000003</v>
      </c>
    </row>
    <row r="348" spans="1:12" x14ac:dyDescent="0.2">
      <c r="A348" s="4">
        <v>43343</v>
      </c>
      <c r="B348" s="6" t="s">
        <v>1074</v>
      </c>
      <c r="C348">
        <v>1</v>
      </c>
      <c r="D348" s="8">
        <v>1</v>
      </c>
      <c r="E348">
        <f>5*4</f>
        <v>20</v>
      </c>
      <c r="F348" t="s">
        <v>69</v>
      </c>
      <c r="G348" t="s">
        <v>218</v>
      </c>
      <c r="H348" s="8" t="s">
        <v>1071</v>
      </c>
      <c r="I348">
        <f t="shared" si="19"/>
        <v>20</v>
      </c>
      <c r="J348" s="8">
        <f t="shared" si="21"/>
        <v>9.0718474000000011</v>
      </c>
      <c r="K348">
        <v>0.52500000000000002</v>
      </c>
      <c r="L348">
        <f t="shared" si="22"/>
        <v>4.762719885000001</v>
      </c>
    </row>
    <row r="349" spans="1:12" x14ac:dyDescent="0.2">
      <c r="A349" s="4">
        <v>43344</v>
      </c>
      <c r="B349" s="6" t="s">
        <v>1074</v>
      </c>
      <c r="C349">
        <v>1</v>
      </c>
      <c r="D349" s="8">
        <v>1</v>
      </c>
      <c r="E349">
        <f>10/9*(30)</f>
        <v>33.333333333333336</v>
      </c>
      <c r="F349" t="s">
        <v>126</v>
      </c>
      <c r="G349" s="15" t="s">
        <v>218</v>
      </c>
      <c r="H349" s="8" t="s">
        <v>1071</v>
      </c>
      <c r="I349">
        <f t="shared" si="19"/>
        <v>33.333333333333336</v>
      </c>
      <c r="J349" s="8">
        <f t="shared" si="21"/>
        <v>15.119745666666669</v>
      </c>
      <c r="K349">
        <v>0.52500000000000002</v>
      </c>
      <c r="L349">
        <f t="shared" si="22"/>
        <v>7.9378664750000016</v>
      </c>
    </row>
    <row r="350" spans="1:12" x14ac:dyDescent="0.2">
      <c r="A350" s="4">
        <v>43344</v>
      </c>
      <c r="B350" s="6" t="s">
        <v>1074</v>
      </c>
      <c r="C350">
        <v>1</v>
      </c>
      <c r="D350" s="8">
        <v>1</v>
      </c>
      <c r="E350">
        <f>10/9*(30)</f>
        <v>33.333333333333336</v>
      </c>
      <c r="F350" t="s">
        <v>127</v>
      </c>
      <c r="G350" s="15" t="s">
        <v>218</v>
      </c>
      <c r="H350" s="8" t="s">
        <v>1071</v>
      </c>
      <c r="I350">
        <f t="shared" si="19"/>
        <v>33.333333333333336</v>
      </c>
      <c r="J350" s="8">
        <f t="shared" si="21"/>
        <v>15.119745666666669</v>
      </c>
      <c r="K350">
        <v>0.52500000000000002</v>
      </c>
      <c r="L350">
        <f t="shared" si="22"/>
        <v>7.9378664750000016</v>
      </c>
    </row>
    <row r="351" spans="1:12" x14ac:dyDescent="0.2">
      <c r="A351" s="4">
        <v>43346</v>
      </c>
      <c r="B351" s="6" t="s">
        <v>1074</v>
      </c>
      <c r="C351">
        <v>1</v>
      </c>
      <c r="D351" s="8">
        <v>1</v>
      </c>
      <c r="E351">
        <f t="shared" ref="E351:E357" si="23">10/9*30</f>
        <v>33.333333333333336</v>
      </c>
      <c r="F351" t="s">
        <v>148</v>
      </c>
      <c r="G351" s="15" t="s">
        <v>218</v>
      </c>
      <c r="H351" s="8" t="s">
        <v>1071</v>
      </c>
      <c r="I351">
        <f t="shared" si="19"/>
        <v>33.333333333333336</v>
      </c>
      <c r="J351" s="8">
        <f t="shared" si="21"/>
        <v>15.119745666666669</v>
      </c>
      <c r="K351">
        <v>0.52500000000000002</v>
      </c>
      <c r="L351">
        <f t="shared" si="22"/>
        <v>7.9378664750000016</v>
      </c>
    </row>
    <row r="352" spans="1:12" x14ac:dyDescent="0.2">
      <c r="A352" s="4">
        <v>43346</v>
      </c>
      <c r="B352" s="6" t="s">
        <v>1074</v>
      </c>
      <c r="C352">
        <v>1</v>
      </c>
      <c r="D352" s="8">
        <v>1</v>
      </c>
      <c r="E352">
        <f t="shared" si="23"/>
        <v>33.333333333333336</v>
      </c>
      <c r="F352" t="s">
        <v>149</v>
      </c>
      <c r="G352" s="15" t="s">
        <v>218</v>
      </c>
      <c r="H352" s="8" t="s">
        <v>1071</v>
      </c>
      <c r="I352">
        <f t="shared" si="19"/>
        <v>33.333333333333336</v>
      </c>
      <c r="J352" s="8">
        <f t="shared" si="21"/>
        <v>15.119745666666669</v>
      </c>
      <c r="K352">
        <v>0.52500000000000002</v>
      </c>
      <c r="L352">
        <f t="shared" si="22"/>
        <v>7.9378664750000016</v>
      </c>
    </row>
    <row r="353" spans="1:12" x14ac:dyDescent="0.2">
      <c r="A353" s="4">
        <v>43347</v>
      </c>
      <c r="B353" s="6" t="s">
        <v>1074</v>
      </c>
      <c r="C353">
        <v>1</v>
      </c>
      <c r="D353" s="8">
        <v>1</v>
      </c>
      <c r="E353">
        <f t="shared" si="23"/>
        <v>33.333333333333336</v>
      </c>
      <c r="F353" t="s">
        <v>148</v>
      </c>
      <c r="G353" s="15" t="s">
        <v>218</v>
      </c>
      <c r="H353" s="8" t="s">
        <v>1071</v>
      </c>
      <c r="I353">
        <f t="shared" si="19"/>
        <v>33.333333333333336</v>
      </c>
      <c r="J353" s="8">
        <f t="shared" si="21"/>
        <v>15.119745666666669</v>
      </c>
      <c r="K353">
        <v>0.52500000000000002</v>
      </c>
      <c r="L353">
        <f t="shared" si="22"/>
        <v>7.9378664750000016</v>
      </c>
    </row>
    <row r="354" spans="1:12" x14ac:dyDescent="0.2">
      <c r="A354" s="4">
        <v>43347</v>
      </c>
      <c r="B354" s="6" t="s">
        <v>1074</v>
      </c>
      <c r="C354">
        <v>1</v>
      </c>
      <c r="D354" s="8">
        <v>1</v>
      </c>
      <c r="E354">
        <f t="shared" si="23"/>
        <v>33.333333333333336</v>
      </c>
      <c r="F354" t="s">
        <v>149</v>
      </c>
      <c r="G354" s="15" t="s">
        <v>218</v>
      </c>
      <c r="H354" s="8" t="s">
        <v>1071</v>
      </c>
      <c r="I354">
        <f t="shared" si="19"/>
        <v>33.333333333333336</v>
      </c>
      <c r="J354" s="8">
        <f t="shared" si="21"/>
        <v>15.119745666666669</v>
      </c>
      <c r="K354">
        <v>0.52500000000000002</v>
      </c>
      <c r="L354">
        <f t="shared" si="22"/>
        <v>7.9378664750000016</v>
      </c>
    </row>
    <row r="355" spans="1:12" x14ac:dyDescent="0.2">
      <c r="A355" s="4">
        <v>43347</v>
      </c>
      <c r="B355" s="6" t="s">
        <v>1074</v>
      </c>
      <c r="C355">
        <v>2</v>
      </c>
      <c r="D355" s="8">
        <v>1</v>
      </c>
      <c r="E355">
        <f t="shared" si="23"/>
        <v>33.333333333333336</v>
      </c>
      <c r="F355" t="s">
        <v>149</v>
      </c>
      <c r="G355" s="15" t="s">
        <v>218</v>
      </c>
      <c r="H355" s="8" t="s">
        <v>1071</v>
      </c>
      <c r="I355">
        <f t="shared" si="19"/>
        <v>66.666666666666671</v>
      </c>
      <c r="J355" s="8">
        <f t="shared" si="21"/>
        <v>30.239491333333337</v>
      </c>
      <c r="K355">
        <v>0.52500000000000002</v>
      </c>
      <c r="L355">
        <f t="shared" si="22"/>
        <v>15.875732950000003</v>
      </c>
    </row>
    <row r="356" spans="1:12" x14ac:dyDescent="0.2">
      <c r="A356" s="4">
        <v>43349</v>
      </c>
      <c r="B356" s="6" t="s">
        <v>1074</v>
      </c>
      <c r="C356">
        <v>2</v>
      </c>
      <c r="D356" s="8">
        <v>1</v>
      </c>
      <c r="E356">
        <f t="shared" si="23"/>
        <v>33.333333333333336</v>
      </c>
      <c r="F356" t="s">
        <v>168</v>
      </c>
      <c r="G356" t="s">
        <v>218</v>
      </c>
      <c r="H356" s="8" t="s">
        <v>1071</v>
      </c>
      <c r="I356">
        <f t="shared" si="19"/>
        <v>66.666666666666671</v>
      </c>
      <c r="J356" s="8">
        <f t="shared" si="21"/>
        <v>30.239491333333337</v>
      </c>
      <c r="K356">
        <v>0.52500000000000002</v>
      </c>
      <c r="L356">
        <f t="shared" si="22"/>
        <v>15.875732950000003</v>
      </c>
    </row>
    <row r="357" spans="1:12" x14ac:dyDescent="0.2">
      <c r="A357" s="4">
        <v>43349</v>
      </c>
      <c r="B357" s="6" t="s">
        <v>1074</v>
      </c>
      <c r="C357">
        <v>2</v>
      </c>
      <c r="D357" s="8">
        <v>1</v>
      </c>
      <c r="E357">
        <f t="shared" si="23"/>
        <v>33.333333333333336</v>
      </c>
      <c r="F357" t="s">
        <v>59</v>
      </c>
      <c r="G357" t="s">
        <v>218</v>
      </c>
      <c r="H357" s="8" t="s">
        <v>1071</v>
      </c>
      <c r="I357">
        <f t="shared" si="19"/>
        <v>66.666666666666671</v>
      </c>
      <c r="J357" s="8">
        <f t="shared" si="21"/>
        <v>30.239491333333337</v>
      </c>
      <c r="K357">
        <v>0.52500000000000002</v>
      </c>
      <c r="L357">
        <f t="shared" si="22"/>
        <v>15.875732950000003</v>
      </c>
    </row>
    <row r="358" spans="1:12" x14ac:dyDescent="0.2">
      <c r="A358" s="4">
        <v>43434</v>
      </c>
      <c r="B358" t="s">
        <v>538</v>
      </c>
      <c r="C358">
        <v>1</v>
      </c>
      <c r="D358">
        <v>12</v>
      </c>
      <c r="E358">
        <f>28/16</f>
        <v>1.75</v>
      </c>
      <c r="F358" t="s">
        <v>559</v>
      </c>
      <c r="G358" t="s">
        <v>848</v>
      </c>
      <c r="H358" s="9" t="s">
        <v>1071</v>
      </c>
      <c r="I358">
        <f t="shared" si="19"/>
        <v>21</v>
      </c>
      <c r="J358">
        <f t="shared" si="21"/>
        <v>9.5254397700000002</v>
      </c>
      <c r="K358">
        <v>0.52500000000000002</v>
      </c>
      <c r="L358">
        <f t="shared" si="22"/>
        <v>5.0008558792500004</v>
      </c>
    </row>
    <row r="359" spans="1:12" x14ac:dyDescent="0.2">
      <c r="A359" s="4">
        <v>43434</v>
      </c>
      <c r="B359" t="s">
        <v>538</v>
      </c>
      <c r="C359">
        <v>1</v>
      </c>
      <c r="D359">
        <v>3</v>
      </c>
      <c r="E359">
        <v>5</v>
      </c>
      <c r="F359" t="s">
        <v>556</v>
      </c>
      <c r="G359" t="s">
        <v>909</v>
      </c>
      <c r="H359" s="9" t="s">
        <v>1071</v>
      </c>
      <c r="I359">
        <f t="shared" si="19"/>
        <v>15</v>
      </c>
      <c r="J359">
        <f t="shared" si="21"/>
        <v>6.8038855500000004</v>
      </c>
      <c r="K359">
        <v>0.87</v>
      </c>
      <c r="L359">
        <f t="shared" si="22"/>
        <v>5.9193804285000002</v>
      </c>
    </row>
    <row r="360" spans="1:12" x14ac:dyDescent="0.2">
      <c r="A360" s="4">
        <v>43439</v>
      </c>
      <c r="B360" t="s">
        <v>538</v>
      </c>
      <c r="C360">
        <v>1</v>
      </c>
      <c r="D360">
        <v>3</v>
      </c>
      <c r="E360">
        <v>5</v>
      </c>
      <c r="F360" t="s">
        <v>556</v>
      </c>
      <c r="G360" t="s">
        <v>909</v>
      </c>
      <c r="H360" s="9" t="s">
        <v>1071</v>
      </c>
      <c r="I360">
        <f t="shared" si="19"/>
        <v>15</v>
      </c>
      <c r="J360">
        <f t="shared" si="21"/>
        <v>6.8038855500000004</v>
      </c>
      <c r="K360">
        <v>0.87</v>
      </c>
      <c r="L360">
        <f t="shared" si="22"/>
        <v>5.9193804285000002</v>
      </c>
    </row>
    <row r="361" spans="1:12" x14ac:dyDescent="0.2">
      <c r="A361" s="4">
        <v>43434</v>
      </c>
      <c r="B361" t="s">
        <v>538</v>
      </c>
      <c r="C361">
        <v>2</v>
      </c>
      <c r="D361">
        <v>12</v>
      </c>
      <c r="E361">
        <f>27/16</f>
        <v>1.6875</v>
      </c>
      <c r="F361" t="s">
        <v>555</v>
      </c>
      <c r="G361" t="s">
        <v>908</v>
      </c>
      <c r="H361" s="9" t="s">
        <v>1071</v>
      </c>
      <c r="I361">
        <f t="shared" si="19"/>
        <v>40.5</v>
      </c>
      <c r="J361">
        <f t="shared" si="21"/>
        <v>18.370490985</v>
      </c>
      <c r="K361">
        <v>0.79900000000000004</v>
      </c>
      <c r="L361">
        <f t="shared" si="22"/>
        <v>14.678022297015001</v>
      </c>
    </row>
    <row r="362" spans="1:12" x14ac:dyDescent="0.2">
      <c r="A362" s="4">
        <v>43434</v>
      </c>
      <c r="B362" t="s">
        <v>538</v>
      </c>
      <c r="C362">
        <v>2</v>
      </c>
      <c r="D362">
        <v>12</v>
      </c>
      <c r="E362">
        <f>7/16</f>
        <v>0.4375</v>
      </c>
      <c r="F362" t="s">
        <v>448</v>
      </c>
      <c r="G362" t="s">
        <v>908</v>
      </c>
      <c r="H362" s="9" t="s">
        <v>1071</v>
      </c>
      <c r="I362">
        <f t="shared" si="19"/>
        <v>10.5</v>
      </c>
      <c r="J362">
        <f t="shared" si="21"/>
        <v>4.7627198850000001</v>
      </c>
      <c r="K362">
        <v>0.79900000000000004</v>
      </c>
      <c r="L362">
        <f t="shared" si="22"/>
        <v>3.8054131881150002</v>
      </c>
    </row>
    <row r="363" spans="1:12" x14ac:dyDescent="0.2">
      <c r="A363" s="4">
        <v>43439</v>
      </c>
      <c r="B363" t="s">
        <v>538</v>
      </c>
      <c r="C363">
        <v>1</v>
      </c>
      <c r="D363">
        <v>4</v>
      </c>
      <c r="E363">
        <v>8.35</v>
      </c>
      <c r="F363" t="s">
        <v>541</v>
      </c>
      <c r="G363" t="s">
        <v>908</v>
      </c>
      <c r="H363" s="9" t="s">
        <v>1071</v>
      </c>
      <c r="I363">
        <f t="shared" si="19"/>
        <v>33.4</v>
      </c>
      <c r="J363">
        <f t="shared" si="21"/>
        <v>15.149985158</v>
      </c>
      <c r="K363">
        <v>0.79900000000000004</v>
      </c>
      <c r="L363">
        <f t="shared" si="22"/>
        <v>12.104838141242</v>
      </c>
    </row>
    <row r="364" spans="1:12" x14ac:dyDescent="0.2">
      <c r="A364" s="4">
        <v>43434</v>
      </c>
      <c r="B364" t="s">
        <v>538</v>
      </c>
      <c r="C364">
        <v>1</v>
      </c>
      <c r="D364">
        <v>4</v>
      </c>
      <c r="E364">
        <v>8.35</v>
      </c>
      <c r="F364" t="s">
        <v>541</v>
      </c>
      <c r="G364" t="s">
        <v>937</v>
      </c>
      <c r="H364" s="9" t="s">
        <v>1071</v>
      </c>
      <c r="I364">
        <f t="shared" si="19"/>
        <v>33.4</v>
      </c>
      <c r="J364">
        <f t="shared" si="21"/>
        <v>15.149985158</v>
      </c>
      <c r="K364">
        <v>0.79900000000000004</v>
      </c>
      <c r="L364">
        <f t="shared" si="22"/>
        <v>12.104838141242</v>
      </c>
    </row>
    <row r="365" spans="1:12" x14ac:dyDescent="0.2">
      <c r="A365" s="4">
        <v>43343</v>
      </c>
      <c r="B365" s="6" t="s">
        <v>1074</v>
      </c>
      <c r="C365">
        <v>1</v>
      </c>
      <c r="D365" s="8">
        <v>1</v>
      </c>
      <c r="E365">
        <f>10*2*6</f>
        <v>120</v>
      </c>
      <c r="F365" t="s">
        <v>60</v>
      </c>
      <c r="G365" t="s">
        <v>758</v>
      </c>
      <c r="H365" s="8" t="s">
        <v>1071</v>
      </c>
      <c r="I365">
        <f t="shared" si="19"/>
        <v>120</v>
      </c>
      <c r="J365" s="8">
        <f t="shared" si="21"/>
        <v>54.431084400000003</v>
      </c>
      <c r="K365">
        <v>0.91400000000000003</v>
      </c>
      <c r="L365">
        <f t="shared" si="22"/>
        <v>49.750011141600005</v>
      </c>
    </row>
    <row r="366" spans="1:12" x14ac:dyDescent="0.2">
      <c r="A366" s="4">
        <v>43344</v>
      </c>
      <c r="B366" s="6" t="s">
        <v>1074</v>
      </c>
      <c r="C366">
        <v>5</v>
      </c>
      <c r="D366" s="8">
        <v>1</v>
      </c>
      <c r="E366">
        <f>10*2</f>
        <v>20</v>
      </c>
      <c r="F366" t="s">
        <v>128</v>
      </c>
      <c r="G366" t="s">
        <v>758</v>
      </c>
      <c r="H366" s="8" t="s">
        <v>1071</v>
      </c>
      <c r="I366">
        <f t="shared" si="19"/>
        <v>100</v>
      </c>
      <c r="J366" s="8">
        <f t="shared" si="21"/>
        <v>45.359237</v>
      </c>
      <c r="K366">
        <v>0.91400000000000003</v>
      </c>
      <c r="L366">
        <f t="shared" si="22"/>
        <v>41.458342618000003</v>
      </c>
    </row>
    <row r="367" spans="1:12" x14ac:dyDescent="0.2">
      <c r="A367" s="4">
        <v>43347</v>
      </c>
      <c r="B367" s="6" t="s">
        <v>1074</v>
      </c>
      <c r="C367">
        <v>6</v>
      </c>
      <c r="D367" s="8">
        <v>1</v>
      </c>
      <c r="E367">
        <f>10*2</f>
        <v>20</v>
      </c>
      <c r="F367" t="s">
        <v>128</v>
      </c>
      <c r="G367" t="s">
        <v>758</v>
      </c>
      <c r="H367" s="8" t="s">
        <v>1071</v>
      </c>
      <c r="I367">
        <f t="shared" si="19"/>
        <v>120</v>
      </c>
      <c r="J367" s="8">
        <f t="shared" si="21"/>
        <v>54.431084400000003</v>
      </c>
      <c r="K367">
        <v>0.91400000000000003</v>
      </c>
      <c r="L367">
        <f t="shared" si="22"/>
        <v>49.750011141600005</v>
      </c>
    </row>
    <row r="368" spans="1:12" x14ac:dyDescent="0.2">
      <c r="A368" s="4">
        <v>43348</v>
      </c>
      <c r="B368" s="6" t="s">
        <v>1074</v>
      </c>
      <c r="C368">
        <v>5</v>
      </c>
      <c r="D368" s="8">
        <v>1</v>
      </c>
      <c r="E368">
        <f>10*2</f>
        <v>20</v>
      </c>
      <c r="F368" t="s">
        <v>166</v>
      </c>
      <c r="G368" t="s">
        <v>758</v>
      </c>
      <c r="H368" s="8" t="s">
        <v>1071</v>
      </c>
      <c r="I368">
        <f t="shared" si="19"/>
        <v>100</v>
      </c>
      <c r="J368" s="8">
        <f t="shared" si="21"/>
        <v>45.359237</v>
      </c>
      <c r="K368">
        <v>0.91400000000000003</v>
      </c>
      <c r="L368">
        <f t="shared" si="22"/>
        <v>41.458342618000003</v>
      </c>
    </row>
    <row r="369" spans="1:12" x14ac:dyDescent="0.2">
      <c r="A369" s="4">
        <v>43349</v>
      </c>
      <c r="B369" s="6" t="s">
        <v>1074</v>
      </c>
      <c r="C369">
        <v>3</v>
      </c>
      <c r="D369" s="8">
        <v>1</v>
      </c>
      <c r="E369">
        <f>6*2</f>
        <v>12</v>
      </c>
      <c r="F369" t="s">
        <v>169</v>
      </c>
      <c r="G369" t="s">
        <v>758</v>
      </c>
      <c r="H369" s="8" t="s">
        <v>1071</v>
      </c>
      <c r="I369">
        <f t="shared" si="19"/>
        <v>36</v>
      </c>
      <c r="J369" s="8">
        <f t="shared" si="21"/>
        <v>16.329325319999999</v>
      </c>
      <c r="K369">
        <v>0.91400000000000003</v>
      </c>
      <c r="L369">
        <f t="shared" si="22"/>
        <v>14.92500334248</v>
      </c>
    </row>
    <row r="370" spans="1:12" x14ac:dyDescent="0.2">
      <c r="A370" s="4">
        <v>43343</v>
      </c>
      <c r="B370" t="s">
        <v>13</v>
      </c>
      <c r="C370">
        <v>1</v>
      </c>
      <c r="D370">
        <v>1</v>
      </c>
      <c r="E370">
        <v>30</v>
      </c>
      <c r="F370" t="s">
        <v>1080</v>
      </c>
      <c r="G370" t="s">
        <v>15</v>
      </c>
      <c r="H370" s="8" t="s">
        <v>1072</v>
      </c>
      <c r="I370">
        <f t="shared" si="19"/>
        <v>30</v>
      </c>
      <c r="J370" s="8">
        <f t="shared" si="21"/>
        <v>13.607771100000001</v>
      </c>
      <c r="K370">
        <v>5.56</v>
      </c>
      <c r="L370">
        <f t="shared" si="22"/>
        <v>75.659207315999993</v>
      </c>
    </row>
    <row r="371" spans="1:12" x14ac:dyDescent="0.2">
      <c r="A371" s="4">
        <v>43343</v>
      </c>
      <c r="B371" t="s">
        <v>13</v>
      </c>
      <c r="C371">
        <v>1</v>
      </c>
      <c r="D371">
        <v>1</v>
      </c>
      <c r="E371">
        <v>230.17</v>
      </c>
      <c r="F371" t="s">
        <v>15</v>
      </c>
      <c r="G371" t="s">
        <v>15</v>
      </c>
      <c r="H371" s="8" t="s">
        <v>1072</v>
      </c>
      <c r="I371">
        <f t="shared" si="19"/>
        <v>230.17</v>
      </c>
      <c r="J371" s="8">
        <f t="shared" si="21"/>
        <v>104.40335580289999</v>
      </c>
      <c r="K371">
        <v>5.56</v>
      </c>
      <c r="L371">
        <f t="shared" si="22"/>
        <v>580.48265826412398</v>
      </c>
    </row>
    <row r="372" spans="1:12" x14ac:dyDescent="0.2">
      <c r="A372" s="4">
        <v>43343</v>
      </c>
      <c r="B372" t="s">
        <v>13</v>
      </c>
      <c r="C372">
        <v>1</v>
      </c>
      <c r="D372">
        <v>1</v>
      </c>
      <c r="E372">
        <v>62.34</v>
      </c>
      <c r="F372" t="s">
        <v>16</v>
      </c>
      <c r="G372" t="s">
        <v>15</v>
      </c>
      <c r="H372" s="8" t="s">
        <v>1072</v>
      </c>
      <c r="I372">
        <f t="shared" si="19"/>
        <v>62.34</v>
      </c>
      <c r="J372" s="8">
        <f t="shared" si="21"/>
        <v>28.276948345800005</v>
      </c>
      <c r="K372">
        <v>5.56</v>
      </c>
      <c r="L372">
        <f t="shared" si="22"/>
        <v>157.21983280264803</v>
      </c>
    </row>
    <row r="373" spans="1:12" x14ac:dyDescent="0.2">
      <c r="A373" s="4">
        <v>43343</v>
      </c>
      <c r="B373" t="s">
        <v>13</v>
      </c>
      <c r="C373">
        <v>1</v>
      </c>
      <c r="D373">
        <v>1</v>
      </c>
      <c r="E373">
        <v>10</v>
      </c>
      <c r="F373" t="s">
        <v>17</v>
      </c>
      <c r="G373" t="s">
        <v>15</v>
      </c>
      <c r="H373" s="8" t="s">
        <v>1072</v>
      </c>
      <c r="I373">
        <f t="shared" si="19"/>
        <v>10</v>
      </c>
      <c r="J373" s="8">
        <f t="shared" si="21"/>
        <v>4.5359237000000006</v>
      </c>
      <c r="K373">
        <v>5.56</v>
      </c>
      <c r="L373">
        <f t="shared" si="22"/>
        <v>25.219735772</v>
      </c>
    </row>
    <row r="374" spans="1:12" x14ac:dyDescent="0.2">
      <c r="A374" s="4">
        <v>43343</v>
      </c>
      <c r="B374" t="s">
        <v>13</v>
      </c>
      <c r="C374">
        <v>1</v>
      </c>
      <c r="D374">
        <v>1</v>
      </c>
      <c r="E374">
        <v>20</v>
      </c>
      <c r="F374" t="s">
        <v>18</v>
      </c>
      <c r="G374" t="s">
        <v>15</v>
      </c>
      <c r="H374" s="8" t="s">
        <v>1072</v>
      </c>
      <c r="I374">
        <f t="shared" ref="I374:I437" si="24">C374*D374*E374</f>
        <v>20</v>
      </c>
      <c r="J374" s="8">
        <f t="shared" si="21"/>
        <v>9.0718474000000011</v>
      </c>
      <c r="K374">
        <v>5.56</v>
      </c>
      <c r="L374">
        <f t="shared" si="22"/>
        <v>50.439471544</v>
      </c>
    </row>
    <row r="375" spans="1:12" x14ac:dyDescent="0.2">
      <c r="A375" s="4">
        <v>43343</v>
      </c>
      <c r="B375" t="s">
        <v>13</v>
      </c>
      <c r="C375">
        <v>1</v>
      </c>
      <c r="D375">
        <v>1</v>
      </c>
      <c r="E375">
        <v>100</v>
      </c>
      <c r="F375" t="s">
        <v>15</v>
      </c>
      <c r="G375" t="s">
        <v>15</v>
      </c>
      <c r="H375" s="8" t="s">
        <v>1072</v>
      </c>
      <c r="I375">
        <f t="shared" si="24"/>
        <v>100</v>
      </c>
      <c r="J375" s="8">
        <f t="shared" si="21"/>
        <v>45.359237</v>
      </c>
      <c r="K375">
        <v>5.56</v>
      </c>
      <c r="L375">
        <f t="shared" si="22"/>
        <v>252.19735771999999</v>
      </c>
    </row>
    <row r="376" spans="1:12" x14ac:dyDescent="0.2">
      <c r="A376" s="4">
        <v>43343</v>
      </c>
      <c r="B376" t="s">
        <v>13</v>
      </c>
      <c r="C376">
        <v>1</v>
      </c>
      <c r="D376">
        <v>1</v>
      </c>
      <c r="E376">
        <v>80</v>
      </c>
      <c r="F376" t="s">
        <v>20</v>
      </c>
      <c r="G376" t="s">
        <v>15</v>
      </c>
      <c r="H376" s="8" t="s">
        <v>1072</v>
      </c>
      <c r="I376">
        <f t="shared" si="24"/>
        <v>80</v>
      </c>
      <c r="J376" s="8">
        <f t="shared" si="21"/>
        <v>36.287389600000004</v>
      </c>
      <c r="K376">
        <v>5.56</v>
      </c>
      <c r="L376">
        <f t="shared" si="22"/>
        <v>201.757886176</v>
      </c>
    </row>
    <row r="377" spans="1:12" x14ac:dyDescent="0.2">
      <c r="A377" s="4">
        <v>43343</v>
      </c>
      <c r="B377" t="s">
        <v>13</v>
      </c>
      <c r="C377">
        <v>1</v>
      </c>
      <c r="D377">
        <v>1</v>
      </c>
      <c r="E377" s="8">
        <v>140.58000000000001</v>
      </c>
      <c r="F377" s="8" t="s">
        <v>21</v>
      </c>
      <c r="G377" s="8" t="s">
        <v>15</v>
      </c>
      <c r="H377" s="8" t="s">
        <v>1072</v>
      </c>
      <c r="I377">
        <f t="shared" si="24"/>
        <v>140.58000000000001</v>
      </c>
      <c r="J377" s="8">
        <f t="shared" si="21"/>
        <v>63.766015374600009</v>
      </c>
      <c r="K377">
        <v>5.56</v>
      </c>
      <c r="L377">
        <f t="shared" si="22"/>
        <v>354.53904548277603</v>
      </c>
    </row>
    <row r="378" spans="1:12" x14ac:dyDescent="0.2">
      <c r="A378" s="4">
        <v>43434</v>
      </c>
      <c r="B378" t="s">
        <v>525</v>
      </c>
      <c r="C378">
        <v>1</v>
      </c>
      <c r="D378">
        <v>1</v>
      </c>
      <c r="E378">
        <v>89.1</v>
      </c>
      <c r="F378" t="s">
        <v>396</v>
      </c>
      <c r="G378" t="s">
        <v>15</v>
      </c>
      <c r="H378" s="9" t="s">
        <v>1072</v>
      </c>
      <c r="I378">
        <f t="shared" si="24"/>
        <v>89.1</v>
      </c>
      <c r="J378">
        <f t="shared" si="21"/>
        <v>40.415080166999999</v>
      </c>
      <c r="K378">
        <v>5.56</v>
      </c>
      <c r="L378">
        <f t="shared" si="22"/>
        <v>224.70784572851997</v>
      </c>
    </row>
    <row r="379" spans="1:12" x14ac:dyDescent="0.2">
      <c r="A379" s="4">
        <v>43439</v>
      </c>
      <c r="B379" t="s">
        <v>525</v>
      </c>
      <c r="C379">
        <v>1</v>
      </c>
      <c r="D379">
        <v>1</v>
      </c>
      <c r="E379">
        <v>29.8</v>
      </c>
      <c r="F379" t="s">
        <v>396</v>
      </c>
      <c r="G379" t="s">
        <v>15</v>
      </c>
      <c r="H379" s="9" t="s">
        <v>1072</v>
      </c>
      <c r="I379">
        <f t="shared" si="24"/>
        <v>29.8</v>
      </c>
      <c r="J379">
        <f t="shared" si="21"/>
        <v>13.517052626000002</v>
      </c>
      <c r="K379">
        <v>5.56</v>
      </c>
      <c r="L379">
        <f t="shared" si="22"/>
        <v>75.154812600560007</v>
      </c>
    </row>
    <row r="380" spans="1:12" x14ac:dyDescent="0.2">
      <c r="A380" s="4">
        <v>43343</v>
      </c>
      <c r="B380" s="6" t="s">
        <v>1074</v>
      </c>
      <c r="C380">
        <v>1</v>
      </c>
      <c r="D380" s="8">
        <v>1</v>
      </c>
      <c r="E380">
        <f>50*2</f>
        <v>100</v>
      </c>
      <c r="F380" t="s">
        <v>61</v>
      </c>
      <c r="G380" t="s">
        <v>759</v>
      </c>
      <c r="H380" s="8" t="s">
        <v>1071</v>
      </c>
      <c r="I380">
        <f t="shared" si="24"/>
        <v>100</v>
      </c>
      <c r="J380" s="8">
        <f t="shared" si="21"/>
        <v>45.359237</v>
      </c>
      <c r="K380">
        <v>0.217</v>
      </c>
      <c r="L380">
        <f t="shared" si="22"/>
        <v>9.8429544290000006</v>
      </c>
    </row>
    <row r="381" spans="1:12" x14ac:dyDescent="0.2">
      <c r="A381" s="4">
        <v>43343</v>
      </c>
      <c r="B381" s="6" t="s">
        <v>1074</v>
      </c>
      <c r="C381">
        <v>1</v>
      </c>
      <c r="D381" s="8">
        <v>1</v>
      </c>
      <c r="E381">
        <f>50*4</f>
        <v>200</v>
      </c>
      <c r="F381" t="s">
        <v>62</v>
      </c>
      <c r="G381" t="s">
        <v>759</v>
      </c>
      <c r="H381" s="8" t="s">
        <v>1071</v>
      </c>
      <c r="I381">
        <f t="shared" si="24"/>
        <v>200</v>
      </c>
      <c r="J381" s="8">
        <f t="shared" si="21"/>
        <v>90.718474000000001</v>
      </c>
      <c r="K381">
        <v>0.217</v>
      </c>
      <c r="L381">
        <f t="shared" si="22"/>
        <v>19.685908858000001</v>
      </c>
    </row>
    <row r="382" spans="1:12" x14ac:dyDescent="0.2">
      <c r="A382" s="4">
        <v>43343</v>
      </c>
      <c r="B382" s="6" t="s">
        <v>1074</v>
      </c>
      <c r="C382">
        <v>1</v>
      </c>
      <c r="D382" s="8">
        <v>1</v>
      </c>
      <c r="E382">
        <f>50*4</f>
        <v>200</v>
      </c>
      <c r="F382" t="s">
        <v>63</v>
      </c>
      <c r="G382" t="s">
        <v>759</v>
      </c>
      <c r="H382" s="8" t="s">
        <v>1071</v>
      </c>
      <c r="I382">
        <f t="shared" si="24"/>
        <v>200</v>
      </c>
      <c r="J382" s="8">
        <f t="shared" si="21"/>
        <v>90.718474000000001</v>
      </c>
      <c r="K382">
        <v>0.217</v>
      </c>
      <c r="L382">
        <f t="shared" si="22"/>
        <v>19.685908858000001</v>
      </c>
    </row>
    <row r="383" spans="1:12" x14ac:dyDescent="0.2">
      <c r="A383" s="4">
        <v>43344</v>
      </c>
      <c r="B383" s="6" t="s">
        <v>1074</v>
      </c>
      <c r="C383">
        <v>3</v>
      </c>
      <c r="D383" s="8">
        <v>1</v>
      </c>
      <c r="E383">
        <v>50</v>
      </c>
      <c r="F383" t="s">
        <v>129</v>
      </c>
      <c r="G383" t="s">
        <v>759</v>
      </c>
      <c r="H383" s="8" t="s">
        <v>1071</v>
      </c>
      <c r="I383">
        <f t="shared" si="24"/>
        <v>150</v>
      </c>
      <c r="J383" s="8">
        <f t="shared" si="21"/>
        <v>68.038855500000011</v>
      </c>
      <c r="K383">
        <v>0.217</v>
      </c>
      <c r="L383">
        <f t="shared" si="22"/>
        <v>14.764431643500002</v>
      </c>
    </row>
    <row r="384" spans="1:12" x14ac:dyDescent="0.2">
      <c r="A384" s="4">
        <v>43344</v>
      </c>
      <c r="B384" s="6" t="s">
        <v>1074</v>
      </c>
      <c r="C384">
        <v>3</v>
      </c>
      <c r="D384" s="8">
        <v>1</v>
      </c>
      <c r="E384">
        <v>50</v>
      </c>
      <c r="F384" t="s">
        <v>130</v>
      </c>
      <c r="G384" t="s">
        <v>759</v>
      </c>
      <c r="H384" s="8" t="s">
        <v>1071</v>
      </c>
      <c r="I384">
        <f t="shared" si="24"/>
        <v>150</v>
      </c>
      <c r="J384" s="8">
        <f t="shared" si="21"/>
        <v>68.038855500000011</v>
      </c>
      <c r="K384">
        <v>0.217</v>
      </c>
      <c r="L384">
        <f t="shared" si="22"/>
        <v>14.764431643500002</v>
      </c>
    </row>
    <row r="385" spans="1:12" x14ac:dyDescent="0.2">
      <c r="A385" s="4">
        <v>43346</v>
      </c>
      <c r="B385" s="6" t="s">
        <v>1074</v>
      </c>
      <c r="C385">
        <v>3</v>
      </c>
      <c r="D385" s="8">
        <v>1</v>
      </c>
      <c r="E385">
        <v>50</v>
      </c>
      <c r="F385" t="s">
        <v>150</v>
      </c>
      <c r="G385" t="s">
        <v>759</v>
      </c>
      <c r="H385" s="8" t="s">
        <v>1071</v>
      </c>
      <c r="I385">
        <f t="shared" si="24"/>
        <v>150</v>
      </c>
      <c r="J385" s="8">
        <f t="shared" si="21"/>
        <v>68.038855500000011</v>
      </c>
      <c r="K385">
        <v>0.217</v>
      </c>
      <c r="L385">
        <f t="shared" si="22"/>
        <v>14.764431643500002</v>
      </c>
    </row>
    <row r="386" spans="1:12" x14ac:dyDescent="0.2">
      <c r="A386" s="4">
        <v>43346</v>
      </c>
      <c r="B386" s="6" t="s">
        <v>1074</v>
      </c>
      <c r="C386">
        <v>1</v>
      </c>
      <c r="D386" s="8">
        <v>1</v>
      </c>
      <c r="E386">
        <v>50</v>
      </c>
      <c r="F386" t="s">
        <v>130</v>
      </c>
      <c r="G386" t="s">
        <v>759</v>
      </c>
      <c r="H386" s="8" t="s">
        <v>1071</v>
      </c>
      <c r="I386">
        <f t="shared" si="24"/>
        <v>50</v>
      </c>
      <c r="J386" s="8">
        <f t="shared" si="21"/>
        <v>22.6796185</v>
      </c>
      <c r="K386">
        <v>0.217</v>
      </c>
      <c r="L386">
        <f t="shared" si="22"/>
        <v>4.9214772145000003</v>
      </c>
    </row>
    <row r="387" spans="1:12" x14ac:dyDescent="0.2">
      <c r="A387" s="4">
        <v>43347</v>
      </c>
      <c r="B387" s="6" t="s">
        <v>1074</v>
      </c>
      <c r="C387">
        <v>2</v>
      </c>
      <c r="D387" s="8">
        <v>1</v>
      </c>
      <c r="E387">
        <v>50</v>
      </c>
      <c r="F387" t="s">
        <v>130</v>
      </c>
      <c r="G387" t="s">
        <v>759</v>
      </c>
      <c r="H387" s="8" t="s">
        <v>1071</v>
      </c>
      <c r="I387">
        <f t="shared" si="24"/>
        <v>100</v>
      </c>
      <c r="J387" s="8">
        <f t="shared" ref="J387:J450" si="25">CONVERT(I387,"lbm","kg")</f>
        <v>45.359237</v>
      </c>
      <c r="K387">
        <v>0.217</v>
      </c>
      <c r="L387">
        <f t="shared" ref="L387:L450" si="26">J387*K387</f>
        <v>9.8429544290000006</v>
      </c>
    </row>
    <row r="388" spans="1:12" x14ac:dyDescent="0.2">
      <c r="A388" s="4">
        <v>43347</v>
      </c>
      <c r="B388" s="6" t="s">
        <v>1074</v>
      </c>
      <c r="C388">
        <v>2</v>
      </c>
      <c r="D388" s="8">
        <v>1</v>
      </c>
      <c r="E388">
        <v>50</v>
      </c>
      <c r="F388" t="s">
        <v>150</v>
      </c>
      <c r="G388" t="s">
        <v>759</v>
      </c>
      <c r="H388" s="8" t="s">
        <v>1071</v>
      </c>
      <c r="I388">
        <f t="shared" si="24"/>
        <v>100</v>
      </c>
      <c r="J388" s="8">
        <f t="shared" si="25"/>
        <v>45.359237</v>
      </c>
      <c r="K388">
        <v>0.217</v>
      </c>
      <c r="L388">
        <f t="shared" si="26"/>
        <v>9.8429544290000006</v>
      </c>
    </row>
    <row r="389" spans="1:12" x14ac:dyDescent="0.2">
      <c r="A389" s="4">
        <v>43348</v>
      </c>
      <c r="B389" s="6" t="s">
        <v>1074</v>
      </c>
      <c r="C389">
        <v>2</v>
      </c>
      <c r="D389" s="8">
        <v>1</v>
      </c>
      <c r="E389">
        <v>50</v>
      </c>
      <c r="F389" t="s">
        <v>62</v>
      </c>
      <c r="G389" t="s">
        <v>759</v>
      </c>
      <c r="H389" s="8" t="s">
        <v>1071</v>
      </c>
      <c r="I389">
        <f t="shared" si="24"/>
        <v>100</v>
      </c>
      <c r="J389" s="8">
        <f t="shared" si="25"/>
        <v>45.359237</v>
      </c>
      <c r="K389">
        <v>0.217</v>
      </c>
      <c r="L389">
        <f t="shared" si="26"/>
        <v>9.8429544290000006</v>
      </c>
    </row>
    <row r="390" spans="1:12" x14ac:dyDescent="0.2">
      <c r="A390" s="4">
        <v>43434</v>
      </c>
      <c r="B390" t="s">
        <v>531</v>
      </c>
      <c r="C390">
        <v>4</v>
      </c>
      <c r="D390">
        <v>6</v>
      </c>
      <c r="E390">
        <v>6</v>
      </c>
      <c r="F390" t="s">
        <v>533</v>
      </c>
      <c r="G390" t="s">
        <v>854</v>
      </c>
      <c r="H390" s="9" t="s">
        <v>1071</v>
      </c>
      <c r="I390">
        <f t="shared" si="24"/>
        <v>144</v>
      </c>
      <c r="J390">
        <f t="shared" si="25"/>
        <v>65.317301279999995</v>
      </c>
      <c r="K390">
        <v>0.217</v>
      </c>
      <c r="L390">
        <f t="shared" si="26"/>
        <v>14.17385437776</v>
      </c>
    </row>
    <row r="391" spans="1:12" x14ac:dyDescent="0.2">
      <c r="A391" s="4">
        <v>43434</v>
      </c>
      <c r="B391" t="s">
        <v>531</v>
      </c>
      <c r="C391">
        <v>4</v>
      </c>
      <c r="D391">
        <v>6</v>
      </c>
      <c r="E391">
        <v>3</v>
      </c>
      <c r="F391" t="s">
        <v>404</v>
      </c>
      <c r="G391" t="s">
        <v>854</v>
      </c>
      <c r="H391" s="9" t="s">
        <v>1071</v>
      </c>
      <c r="I391">
        <f t="shared" si="24"/>
        <v>72</v>
      </c>
      <c r="J391">
        <f t="shared" si="25"/>
        <v>32.658650639999998</v>
      </c>
      <c r="K391">
        <v>0.217</v>
      </c>
      <c r="L391">
        <f t="shared" si="26"/>
        <v>7.0869271888799998</v>
      </c>
    </row>
    <row r="392" spans="1:12" x14ac:dyDescent="0.2">
      <c r="A392" s="4">
        <v>43434</v>
      </c>
      <c r="B392" t="s">
        <v>531</v>
      </c>
      <c r="C392">
        <v>6</v>
      </c>
      <c r="D392">
        <v>6</v>
      </c>
      <c r="E392">
        <v>5</v>
      </c>
      <c r="F392" t="s">
        <v>419</v>
      </c>
      <c r="G392" t="s">
        <v>854</v>
      </c>
      <c r="H392" s="9" t="s">
        <v>1071</v>
      </c>
      <c r="I392">
        <f t="shared" si="24"/>
        <v>180</v>
      </c>
      <c r="J392">
        <f t="shared" si="25"/>
        <v>81.646626600000005</v>
      </c>
      <c r="K392">
        <v>0.217</v>
      </c>
      <c r="L392">
        <f t="shared" si="26"/>
        <v>17.7173179722</v>
      </c>
    </row>
    <row r="393" spans="1:12" x14ac:dyDescent="0.2">
      <c r="A393" s="4">
        <v>43437</v>
      </c>
      <c r="B393" t="s">
        <v>531</v>
      </c>
      <c r="C393">
        <v>4</v>
      </c>
      <c r="D393">
        <v>6</v>
      </c>
      <c r="E393">
        <v>6</v>
      </c>
      <c r="F393" t="s">
        <v>533</v>
      </c>
      <c r="G393" t="s">
        <v>854</v>
      </c>
      <c r="H393" s="9" t="s">
        <v>1071</v>
      </c>
      <c r="I393">
        <f t="shared" si="24"/>
        <v>144</v>
      </c>
      <c r="J393">
        <f t="shared" si="25"/>
        <v>65.317301279999995</v>
      </c>
      <c r="K393">
        <v>0.217</v>
      </c>
      <c r="L393">
        <f t="shared" si="26"/>
        <v>14.17385437776</v>
      </c>
    </row>
    <row r="394" spans="1:12" x14ac:dyDescent="0.2">
      <c r="A394" s="4">
        <v>43437</v>
      </c>
      <c r="B394" t="s">
        <v>531</v>
      </c>
      <c r="C394">
        <v>4</v>
      </c>
      <c r="D394">
        <v>6</v>
      </c>
      <c r="E394">
        <v>3</v>
      </c>
      <c r="F394" t="s">
        <v>404</v>
      </c>
      <c r="G394" t="s">
        <v>854</v>
      </c>
      <c r="H394" s="9" t="s">
        <v>1071</v>
      </c>
      <c r="I394">
        <f t="shared" si="24"/>
        <v>72</v>
      </c>
      <c r="J394">
        <f t="shared" si="25"/>
        <v>32.658650639999998</v>
      </c>
      <c r="K394">
        <v>0.217</v>
      </c>
      <c r="L394">
        <f t="shared" si="26"/>
        <v>7.0869271888799998</v>
      </c>
    </row>
    <row r="395" spans="1:12" x14ac:dyDescent="0.2">
      <c r="A395" s="4">
        <v>43437</v>
      </c>
      <c r="B395" t="s">
        <v>531</v>
      </c>
      <c r="C395">
        <v>4</v>
      </c>
      <c r="D395">
        <v>6</v>
      </c>
      <c r="E395">
        <v>5</v>
      </c>
      <c r="F395" t="s">
        <v>406</v>
      </c>
      <c r="G395" t="s">
        <v>854</v>
      </c>
      <c r="H395" s="9" t="s">
        <v>1071</v>
      </c>
      <c r="I395">
        <f t="shared" si="24"/>
        <v>120</v>
      </c>
      <c r="J395">
        <f t="shared" si="25"/>
        <v>54.431084400000003</v>
      </c>
      <c r="K395">
        <v>0.217</v>
      </c>
      <c r="L395">
        <f t="shared" si="26"/>
        <v>11.8115453148</v>
      </c>
    </row>
    <row r="396" spans="1:12" x14ac:dyDescent="0.2">
      <c r="A396" s="4">
        <v>43439</v>
      </c>
      <c r="B396" t="s">
        <v>531</v>
      </c>
      <c r="C396">
        <v>4</v>
      </c>
      <c r="D396">
        <v>6</v>
      </c>
      <c r="E396">
        <v>5</v>
      </c>
      <c r="F396" t="s">
        <v>403</v>
      </c>
      <c r="G396" t="s">
        <v>854</v>
      </c>
      <c r="H396" s="9" t="s">
        <v>1071</v>
      </c>
      <c r="I396">
        <f t="shared" si="24"/>
        <v>120</v>
      </c>
      <c r="J396">
        <f t="shared" si="25"/>
        <v>54.431084400000003</v>
      </c>
      <c r="K396">
        <v>0.217</v>
      </c>
      <c r="L396">
        <f t="shared" si="26"/>
        <v>11.8115453148</v>
      </c>
    </row>
    <row r="397" spans="1:12" x14ac:dyDescent="0.2">
      <c r="A397" s="4">
        <v>43439</v>
      </c>
      <c r="B397" t="s">
        <v>531</v>
      </c>
      <c r="C397">
        <v>4</v>
      </c>
      <c r="D397">
        <v>6</v>
      </c>
      <c r="E397">
        <v>5</v>
      </c>
      <c r="F397" t="s">
        <v>406</v>
      </c>
      <c r="G397" t="s">
        <v>854</v>
      </c>
      <c r="H397" s="9" t="s">
        <v>1071</v>
      </c>
      <c r="I397">
        <f t="shared" si="24"/>
        <v>120</v>
      </c>
      <c r="J397">
        <f t="shared" si="25"/>
        <v>54.431084400000003</v>
      </c>
      <c r="K397">
        <v>0.217</v>
      </c>
      <c r="L397">
        <f t="shared" si="26"/>
        <v>11.8115453148</v>
      </c>
    </row>
    <row r="398" spans="1:12" x14ac:dyDescent="0.2">
      <c r="A398" s="4">
        <v>43439</v>
      </c>
      <c r="B398" t="s">
        <v>531</v>
      </c>
      <c r="C398">
        <v>8</v>
      </c>
      <c r="D398">
        <v>6</v>
      </c>
      <c r="E398">
        <v>5</v>
      </c>
      <c r="F398" t="s">
        <v>419</v>
      </c>
      <c r="G398" t="s">
        <v>854</v>
      </c>
      <c r="H398" s="9" t="s">
        <v>1071</v>
      </c>
      <c r="I398">
        <f t="shared" si="24"/>
        <v>240</v>
      </c>
      <c r="J398">
        <f t="shared" si="25"/>
        <v>108.86216880000001</v>
      </c>
      <c r="K398">
        <v>0.217</v>
      </c>
      <c r="L398">
        <f t="shared" si="26"/>
        <v>23.6230906296</v>
      </c>
    </row>
    <row r="399" spans="1:12" x14ac:dyDescent="0.2">
      <c r="A399" s="4">
        <v>43437</v>
      </c>
      <c r="B399" t="s">
        <v>531</v>
      </c>
      <c r="C399">
        <v>4</v>
      </c>
      <c r="D399">
        <v>6</v>
      </c>
      <c r="E399">
        <v>5</v>
      </c>
      <c r="F399" t="s">
        <v>412</v>
      </c>
      <c r="G399" t="s">
        <v>914</v>
      </c>
      <c r="H399" s="9" t="s">
        <v>1071</v>
      </c>
      <c r="I399">
        <f t="shared" si="24"/>
        <v>120</v>
      </c>
      <c r="J399">
        <f t="shared" si="25"/>
        <v>54.431084400000003</v>
      </c>
      <c r="K399">
        <v>1.5449999999999999</v>
      </c>
      <c r="L399">
        <f t="shared" si="26"/>
        <v>84.096025397999995</v>
      </c>
    </row>
    <row r="400" spans="1:12" x14ac:dyDescent="0.2">
      <c r="A400" s="4">
        <v>43439</v>
      </c>
      <c r="B400" t="s">
        <v>538</v>
      </c>
      <c r="C400">
        <v>1</v>
      </c>
      <c r="D400">
        <v>24</v>
      </c>
      <c r="E400">
        <f>15/16</f>
        <v>0.9375</v>
      </c>
      <c r="F400" t="s">
        <v>590</v>
      </c>
      <c r="G400" t="s">
        <v>882</v>
      </c>
      <c r="H400" s="9" t="s">
        <v>1071</v>
      </c>
      <c r="I400">
        <f t="shared" si="24"/>
        <v>22.5</v>
      </c>
      <c r="J400">
        <f t="shared" si="25"/>
        <v>10.205828325000001</v>
      </c>
      <c r="K400">
        <v>0.68400000000000005</v>
      </c>
      <c r="L400">
        <f t="shared" si="26"/>
        <v>6.9807865743000006</v>
      </c>
    </row>
    <row r="401" spans="1:12" x14ac:dyDescent="0.2">
      <c r="A401" s="4">
        <v>43439</v>
      </c>
      <c r="B401" t="s">
        <v>538</v>
      </c>
      <c r="C401">
        <v>1</v>
      </c>
      <c r="D401">
        <v>1</v>
      </c>
      <c r="E401">
        <v>30</v>
      </c>
      <c r="F401" t="s">
        <v>593</v>
      </c>
      <c r="G401" t="s">
        <v>882</v>
      </c>
      <c r="H401" s="9" t="s">
        <v>1071</v>
      </c>
      <c r="I401">
        <f t="shared" si="24"/>
        <v>30</v>
      </c>
      <c r="J401">
        <f t="shared" si="25"/>
        <v>13.607771100000001</v>
      </c>
      <c r="K401">
        <v>0.68400000000000005</v>
      </c>
      <c r="L401">
        <f t="shared" si="26"/>
        <v>9.307715432400002</v>
      </c>
    </row>
    <row r="402" spans="1:12" x14ac:dyDescent="0.2">
      <c r="A402" s="4">
        <v>43434</v>
      </c>
      <c r="B402" t="s">
        <v>538</v>
      </c>
      <c r="C402">
        <v>8</v>
      </c>
      <c r="D402">
        <v>1</v>
      </c>
      <c r="E402">
        <v>25</v>
      </c>
      <c r="F402" t="s">
        <v>424</v>
      </c>
      <c r="G402" t="s">
        <v>859</v>
      </c>
      <c r="H402" s="9" t="s">
        <v>1071</v>
      </c>
      <c r="I402">
        <f t="shared" si="24"/>
        <v>200</v>
      </c>
      <c r="J402">
        <f t="shared" si="25"/>
        <v>90.718474000000001</v>
      </c>
      <c r="K402">
        <v>1.5409999999999999</v>
      </c>
      <c r="L402">
        <f t="shared" si="26"/>
        <v>139.79716843399999</v>
      </c>
    </row>
    <row r="403" spans="1:12" x14ac:dyDescent="0.2">
      <c r="A403" s="4">
        <v>43434</v>
      </c>
      <c r="B403" t="s">
        <v>538</v>
      </c>
      <c r="C403">
        <v>4</v>
      </c>
      <c r="D403">
        <v>2</v>
      </c>
      <c r="E403">
        <v>5</v>
      </c>
      <c r="F403" t="s">
        <v>429</v>
      </c>
      <c r="G403" t="s">
        <v>859</v>
      </c>
      <c r="H403" s="9" t="s">
        <v>1071</v>
      </c>
      <c r="I403">
        <f t="shared" si="24"/>
        <v>40</v>
      </c>
      <c r="J403">
        <f t="shared" si="25"/>
        <v>18.143694800000002</v>
      </c>
      <c r="K403">
        <v>1.5409999999999999</v>
      </c>
      <c r="L403">
        <f t="shared" si="26"/>
        <v>27.959433686800001</v>
      </c>
    </row>
    <row r="404" spans="1:12" x14ac:dyDescent="0.2">
      <c r="A404" s="4">
        <v>43434</v>
      </c>
      <c r="B404" t="s">
        <v>538</v>
      </c>
      <c r="C404">
        <v>4</v>
      </c>
      <c r="D404">
        <v>1</v>
      </c>
      <c r="E404">
        <v>25</v>
      </c>
      <c r="F404" t="s">
        <v>452</v>
      </c>
      <c r="G404" t="s">
        <v>859</v>
      </c>
      <c r="H404" s="9" t="s">
        <v>1071</v>
      </c>
      <c r="I404">
        <f t="shared" si="24"/>
        <v>100</v>
      </c>
      <c r="J404">
        <f t="shared" si="25"/>
        <v>45.359237</v>
      </c>
      <c r="K404">
        <v>1.5409999999999999</v>
      </c>
      <c r="L404">
        <f t="shared" si="26"/>
        <v>69.898584216999993</v>
      </c>
    </row>
    <row r="405" spans="1:12" x14ac:dyDescent="0.2">
      <c r="A405" s="4">
        <v>43434</v>
      </c>
      <c r="B405" t="s">
        <v>538</v>
      </c>
      <c r="C405">
        <v>4</v>
      </c>
      <c r="D405">
        <v>2</v>
      </c>
      <c r="E405">
        <v>5</v>
      </c>
      <c r="F405" t="s">
        <v>564</v>
      </c>
      <c r="G405" t="s">
        <v>859</v>
      </c>
      <c r="H405" s="9" t="s">
        <v>1071</v>
      </c>
      <c r="I405">
        <f t="shared" si="24"/>
        <v>40</v>
      </c>
      <c r="J405">
        <f t="shared" si="25"/>
        <v>18.143694800000002</v>
      </c>
      <c r="K405">
        <v>1.5409999999999999</v>
      </c>
      <c r="L405">
        <f t="shared" si="26"/>
        <v>27.959433686800001</v>
      </c>
    </row>
    <row r="406" spans="1:12" x14ac:dyDescent="0.2">
      <c r="A406" s="4">
        <v>43437</v>
      </c>
      <c r="B406" t="s">
        <v>538</v>
      </c>
      <c r="C406">
        <v>3</v>
      </c>
      <c r="D406">
        <v>1</v>
      </c>
      <c r="E406">
        <v>25</v>
      </c>
      <c r="F406" t="s">
        <v>424</v>
      </c>
      <c r="G406" t="s">
        <v>859</v>
      </c>
      <c r="H406" s="9" t="s">
        <v>1071</v>
      </c>
      <c r="I406">
        <f t="shared" si="24"/>
        <v>75</v>
      </c>
      <c r="J406">
        <f t="shared" si="25"/>
        <v>34.019427750000006</v>
      </c>
      <c r="K406">
        <v>1.5409999999999999</v>
      </c>
      <c r="L406">
        <f t="shared" si="26"/>
        <v>52.423938162750005</v>
      </c>
    </row>
    <row r="407" spans="1:12" x14ac:dyDescent="0.2">
      <c r="A407" s="4">
        <v>43437</v>
      </c>
      <c r="B407" t="s">
        <v>538</v>
      </c>
      <c r="C407">
        <v>3</v>
      </c>
      <c r="D407">
        <v>2</v>
      </c>
      <c r="E407">
        <v>5</v>
      </c>
      <c r="F407" t="s">
        <v>429</v>
      </c>
      <c r="G407" t="s">
        <v>859</v>
      </c>
      <c r="H407" s="9" t="s">
        <v>1071</v>
      </c>
      <c r="I407">
        <f t="shared" si="24"/>
        <v>30</v>
      </c>
      <c r="J407">
        <f t="shared" si="25"/>
        <v>13.607771100000001</v>
      </c>
      <c r="K407">
        <v>1.5409999999999999</v>
      </c>
      <c r="L407">
        <f t="shared" si="26"/>
        <v>20.969575265100001</v>
      </c>
    </row>
    <row r="408" spans="1:12" x14ac:dyDescent="0.2">
      <c r="A408" s="4">
        <v>43437</v>
      </c>
      <c r="B408" t="s">
        <v>538</v>
      </c>
      <c r="C408">
        <v>2</v>
      </c>
      <c r="D408">
        <v>1</v>
      </c>
      <c r="E408">
        <v>25</v>
      </c>
      <c r="F408" t="s">
        <v>452</v>
      </c>
      <c r="G408" t="s">
        <v>859</v>
      </c>
      <c r="H408" s="9" t="s">
        <v>1071</v>
      </c>
      <c r="I408">
        <f t="shared" si="24"/>
        <v>50</v>
      </c>
      <c r="J408">
        <f t="shared" si="25"/>
        <v>22.6796185</v>
      </c>
      <c r="K408">
        <v>1.5409999999999999</v>
      </c>
      <c r="L408">
        <f t="shared" si="26"/>
        <v>34.949292108499996</v>
      </c>
    </row>
    <row r="409" spans="1:12" x14ac:dyDescent="0.2">
      <c r="A409" s="4">
        <v>43437</v>
      </c>
      <c r="B409" t="s">
        <v>538</v>
      </c>
      <c r="C409">
        <v>1</v>
      </c>
      <c r="D409">
        <v>1</v>
      </c>
      <c r="E409">
        <v>50</v>
      </c>
      <c r="F409" t="s">
        <v>459</v>
      </c>
      <c r="G409" t="s">
        <v>859</v>
      </c>
      <c r="H409" s="9" t="s">
        <v>1071</v>
      </c>
      <c r="I409">
        <f t="shared" si="24"/>
        <v>50</v>
      </c>
      <c r="J409">
        <f t="shared" si="25"/>
        <v>22.6796185</v>
      </c>
      <c r="K409">
        <v>1.5409999999999999</v>
      </c>
      <c r="L409">
        <f t="shared" si="26"/>
        <v>34.949292108499996</v>
      </c>
    </row>
    <row r="410" spans="1:12" x14ac:dyDescent="0.2">
      <c r="A410" s="4">
        <v>43439</v>
      </c>
      <c r="B410" t="s">
        <v>538</v>
      </c>
      <c r="C410">
        <v>4</v>
      </c>
      <c r="D410">
        <v>1</v>
      </c>
      <c r="E410">
        <v>25</v>
      </c>
      <c r="F410" t="s">
        <v>424</v>
      </c>
      <c r="G410" t="s">
        <v>859</v>
      </c>
      <c r="H410" s="9" t="s">
        <v>1071</v>
      </c>
      <c r="I410">
        <f t="shared" si="24"/>
        <v>100</v>
      </c>
      <c r="J410">
        <f t="shared" si="25"/>
        <v>45.359237</v>
      </c>
      <c r="K410">
        <v>1.5409999999999999</v>
      </c>
      <c r="L410">
        <f t="shared" si="26"/>
        <v>69.898584216999993</v>
      </c>
    </row>
    <row r="411" spans="1:12" x14ac:dyDescent="0.2">
      <c r="A411" s="4">
        <v>43439</v>
      </c>
      <c r="B411" t="s">
        <v>538</v>
      </c>
      <c r="C411">
        <v>3</v>
      </c>
      <c r="D411">
        <v>1</v>
      </c>
      <c r="E411">
        <v>25</v>
      </c>
      <c r="F411" t="s">
        <v>452</v>
      </c>
      <c r="G411" t="s">
        <v>859</v>
      </c>
      <c r="H411" s="9" t="s">
        <v>1071</v>
      </c>
      <c r="I411">
        <f t="shared" si="24"/>
        <v>75</v>
      </c>
      <c r="J411">
        <f t="shared" si="25"/>
        <v>34.019427750000006</v>
      </c>
      <c r="K411">
        <v>1.5409999999999999</v>
      </c>
      <c r="L411">
        <f t="shared" si="26"/>
        <v>52.423938162750005</v>
      </c>
    </row>
    <row r="412" spans="1:12" x14ac:dyDescent="0.2">
      <c r="A412" s="4">
        <v>43439</v>
      </c>
      <c r="B412" t="s">
        <v>538</v>
      </c>
      <c r="C412">
        <v>1</v>
      </c>
      <c r="D412">
        <v>1</v>
      </c>
      <c r="E412">
        <v>50</v>
      </c>
      <c r="F412" t="s">
        <v>459</v>
      </c>
      <c r="G412" t="s">
        <v>859</v>
      </c>
      <c r="H412" s="9" t="s">
        <v>1071</v>
      </c>
      <c r="I412">
        <f t="shared" si="24"/>
        <v>50</v>
      </c>
      <c r="J412">
        <f t="shared" si="25"/>
        <v>22.6796185</v>
      </c>
      <c r="K412">
        <v>1.5409999999999999</v>
      </c>
      <c r="L412">
        <f t="shared" si="26"/>
        <v>34.949292108499996</v>
      </c>
    </row>
    <row r="413" spans="1:12" x14ac:dyDescent="0.2">
      <c r="A413" s="4">
        <v>43344</v>
      </c>
      <c r="B413" s="6" t="s">
        <v>1074</v>
      </c>
      <c r="C413">
        <v>1</v>
      </c>
      <c r="D413" s="8">
        <v>1</v>
      </c>
      <c r="E413">
        <v>1</v>
      </c>
      <c r="F413" t="s">
        <v>1003</v>
      </c>
      <c r="G413" t="s">
        <v>97</v>
      </c>
      <c r="H413" s="8" t="s">
        <v>1071</v>
      </c>
      <c r="I413">
        <f t="shared" si="24"/>
        <v>1</v>
      </c>
      <c r="J413" s="8">
        <f t="shared" si="25"/>
        <v>0.45359237000000002</v>
      </c>
      <c r="K413">
        <v>0.221</v>
      </c>
      <c r="L413">
        <f t="shared" si="26"/>
        <v>0.10024391377000001</v>
      </c>
    </row>
    <row r="414" spans="1:12" x14ac:dyDescent="0.2">
      <c r="A414" s="4">
        <v>43434</v>
      </c>
      <c r="B414" t="s">
        <v>538</v>
      </c>
      <c r="C414">
        <v>1</v>
      </c>
      <c r="D414">
        <v>4</v>
      </c>
      <c r="E414">
        <v>7.9</v>
      </c>
      <c r="F414" t="s">
        <v>550</v>
      </c>
      <c r="G414" t="s">
        <v>906</v>
      </c>
      <c r="H414" s="9" t="s">
        <v>1071</v>
      </c>
      <c r="I414">
        <f t="shared" si="24"/>
        <v>31.6</v>
      </c>
      <c r="J414">
        <f t="shared" si="25"/>
        <v>14.333518892000003</v>
      </c>
      <c r="K414">
        <v>2.3340000000000001</v>
      </c>
      <c r="L414">
        <f t="shared" si="26"/>
        <v>33.45443309392801</v>
      </c>
    </row>
    <row r="415" spans="1:12" x14ac:dyDescent="0.2">
      <c r="A415" s="4">
        <v>43343</v>
      </c>
      <c r="B415" s="6" t="s">
        <v>1074</v>
      </c>
      <c r="C415">
        <v>1</v>
      </c>
      <c r="D415" s="8">
        <v>1</v>
      </c>
      <c r="E415">
        <f>4*8.35*1</f>
        <v>33.4</v>
      </c>
      <c r="F415" t="s">
        <v>72</v>
      </c>
      <c r="G415" t="s">
        <v>216</v>
      </c>
      <c r="H415" s="8" t="s">
        <v>1071</v>
      </c>
      <c r="I415">
        <f t="shared" si="24"/>
        <v>33.4</v>
      </c>
      <c r="J415" s="8">
        <f t="shared" si="25"/>
        <v>15.149985158</v>
      </c>
      <c r="K415">
        <v>0.27500000000000002</v>
      </c>
      <c r="L415">
        <f t="shared" si="26"/>
        <v>4.1662459184500005</v>
      </c>
    </row>
    <row r="416" spans="1:12" x14ac:dyDescent="0.2">
      <c r="A416" s="10">
        <v>43351</v>
      </c>
      <c r="B416" s="9" t="s">
        <v>946</v>
      </c>
      <c r="C416">
        <v>1</v>
      </c>
      <c r="D416" s="8">
        <v>1</v>
      </c>
      <c r="E416" s="9">
        <v>100</v>
      </c>
      <c r="F416" s="9" t="s">
        <v>1006</v>
      </c>
      <c r="G416" s="9" t="s">
        <v>951</v>
      </c>
      <c r="H416" s="8" t="s">
        <v>1071</v>
      </c>
      <c r="I416">
        <f t="shared" si="24"/>
        <v>100</v>
      </c>
      <c r="J416" s="8">
        <f t="shared" si="25"/>
        <v>45.359237</v>
      </c>
      <c r="K416">
        <v>0.63900000000000001</v>
      </c>
      <c r="L416">
        <f t="shared" si="26"/>
        <v>28.984552443000002</v>
      </c>
    </row>
    <row r="417" spans="1:12" x14ac:dyDescent="0.2">
      <c r="A417" s="4">
        <v>43434</v>
      </c>
      <c r="B417" t="s">
        <v>517</v>
      </c>
      <c r="C417">
        <v>3</v>
      </c>
      <c r="D417">
        <v>1</v>
      </c>
      <c r="E417">
        <f>2.5*8.6</f>
        <v>21.5</v>
      </c>
      <c r="F417" t="s">
        <v>463</v>
      </c>
      <c r="G417" t="s">
        <v>933</v>
      </c>
      <c r="H417" s="9" t="s">
        <v>1071</v>
      </c>
      <c r="I417">
        <f t="shared" si="24"/>
        <v>64.5</v>
      </c>
      <c r="J417">
        <f t="shared" si="25"/>
        <v>29.256707864999999</v>
      </c>
      <c r="K417">
        <v>0.25800000000000001</v>
      </c>
      <c r="L417">
        <f t="shared" si="26"/>
        <v>7.5482306291699999</v>
      </c>
    </row>
    <row r="418" spans="1:12" x14ac:dyDescent="0.2">
      <c r="A418" s="4">
        <v>43434</v>
      </c>
      <c r="B418" t="s">
        <v>517</v>
      </c>
      <c r="C418">
        <v>3</v>
      </c>
      <c r="D418">
        <v>1</v>
      </c>
      <c r="E418">
        <f>2.5*8.6</f>
        <v>21.5</v>
      </c>
      <c r="F418" t="s">
        <v>464</v>
      </c>
      <c r="G418" t="s">
        <v>933</v>
      </c>
      <c r="H418" s="9" t="s">
        <v>1071</v>
      </c>
      <c r="I418">
        <f t="shared" si="24"/>
        <v>64.5</v>
      </c>
      <c r="J418">
        <f t="shared" si="25"/>
        <v>29.256707864999999</v>
      </c>
      <c r="K418">
        <v>0.25800000000000001</v>
      </c>
      <c r="L418">
        <f t="shared" si="26"/>
        <v>7.5482306291699999</v>
      </c>
    </row>
    <row r="419" spans="1:12" x14ac:dyDescent="0.2">
      <c r="A419" s="4">
        <v>43434</v>
      </c>
      <c r="B419" t="s">
        <v>517</v>
      </c>
      <c r="C419">
        <v>1</v>
      </c>
      <c r="D419">
        <v>12</v>
      </c>
      <c r="E419">
        <f>2</f>
        <v>2</v>
      </c>
      <c r="F419" t="s">
        <v>520</v>
      </c>
      <c r="G419" t="s">
        <v>933</v>
      </c>
      <c r="H419" s="9" t="s">
        <v>1071</v>
      </c>
      <c r="I419">
        <f t="shared" si="24"/>
        <v>24</v>
      </c>
      <c r="J419">
        <f t="shared" si="25"/>
        <v>10.886216880000001</v>
      </c>
      <c r="K419">
        <v>0.25800000000000001</v>
      </c>
      <c r="L419">
        <f t="shared" si="26"/>
        <v>2.8086439550400004</v>
      </c>
    </row>
    <row r="420" spans="1:12" x14ac:dyDescent="0.2">
      <c r="A420" s="4">
        <v>43437</v>
      </c>
      <c r="B420" t="s">
        <v>517</v>
      </c>
      <c r="C420">
        <v>2</v>
      </c>
      <c r="D420">
        <v>1</v>
      </c>
      <c r="E420">
        <f>2.5*8.6</f>
        <v>21.5</v>
      </c>
      <c r="F420" t="s">
        <v>463</v>
      </c>
      <c r="G420" t="s">
        <v>933</v>
      </c>
      <c r="H420" s="9" t="s">
        <v>1071</v>
      </c>
      <c r="I420">
        <f t="shared" si="24"/>
        <v>43</v>
      </c>
      <c r="J420">
        <f t="shared" si="25"/>
        <v>19.504471909999999</v>
      </c>
      <c r="K420">
        <v>0.25800000000000001</v>
      </c>
      <c r="L420">
        <f t="shared" si="26"/>
        <v>5.0321537527800002</v>
      </c>
    </row>
    <row r="421" spans="1:12" x14ac:dyDescent="0.2">
      <c r="A421" s="4">
        <v>43437</v>
      </c>
      <c r="B421" t="s">
        <v>517</v>
      </c>
      <c r="C421">
        <v>1</v>
      </c>
      <c r="D421">
        <v>1</v>
      </c>
      <c r="E421">
        <f>2.5*8.6</f>
        <v>21.5</v>
      </c>
      <c r="F421" t="s">
        <v>464</v>
      </c>
      <c r="G421" t="s">
        <v>933</v>
      </c>
      <c r="H421" s="9" t="s">
        <v>1071</v>
      </c>
      <c r="I421">
        <f t="shared" si="24"/>
        <v>21.5</v>
      </c>
      <c r="J421">
        <f t="shared" si="25"/>
        <v>9.7522359549999997</v>
      </c>
      <c r="K421">
        <v>0.25800000000000001</v>
      </c>
      <c r="L421">
        <f t="shared" si="26"/>
        <v>2.5160768763900001</v>
      </c>
    </row>
    <row r="422" spans="1:12" x14ac:dyDescent="0.2">
      <c r="A422" s="4">
        <v>43439</v>
      </c>
      <c r="B422" t="s">
        <v>517</v>
      </c>
      <c r="C422">
        <v>2</v>
      </c>
      <c r="D422">
        <v>1</v>
      </c>
      <c r="E422">
        <f>2.5*8.6</f>
        <v>21.5</v>
      </c>
      <c r="F422" t="s">
        <v>463</v>
      </c>
      <c r="G422" t="s">
        <v>933</v>
      </c>
      <c r="H422" s="9" t="s">
        <v>1071</v>
      </c>
      <c r="I422">
        <f t="shared" si="24"/>
        <v>43</v>
      </c>
      <c r="J422">
        <f t="shared" si="25"/>
        <v>19.504471909999999</v>
      </c>
      <c r="K422">
        <v>0.25800000000000001</v>
      </c>
      <c r="L422">
        <f t="shared" si="26"/>
        <v>5.0321537527800002</v>
      </c>
    </row>
    <row r="423" spans="1:12" x14ac:dyDescent="0.2">
      <c r="A423" s="4">
        <v>43439</v>
      </c>
      <c r="B423" t="s">
        <v>517</v>
      </c>
      <c r="C423">
        <v>2</v>
      </c>
      <c r="D423">
        <v>1</v>
      </c>
      <c r="E423">
        <f>2.5*8.6</f>
        <v>21.5</v>
      </c>
      <c r="F423" t="s">
        <v>464</v>
      </c>
      <c r="G423" t="s">
        <v>933</v>
      </c>
      <c r="H423" s="9" t="s">
        <v>1071</v>
      </c>
      <c r="I423">
        <f t="shared" si="24"/>
        <v>43</v>
      </c>
      <c r="J423">
        <f t="shared" si="25"/>
        <v>19.504471909999999</v>
      </c>
      <c r="K423">
        <v>0.25800000000000001</v>
      </c>
      <c r="L423">
        <f t="shared" si="26"/>
        <v>5.0321537527800002</v>
      </c>
    </row>
    <row r="424" spans="1:12" x14ac:dyDescent="0.2">
      <c r="A424" s="4">
        <v>43343</v>
      </c>
      <c r="B424" s="6" t="s">
        <v>1074</v>
      </c>
      <c r="C424">
        <v>1</v>
      </c>
      <c r="D424" s="8">
        <v>1</v>
      </c>
      <c r="E424">
        <f>20*2</f>
        <v>40</v>
      </c>
      <c r="F424" t="s">
        <v>82</v>
      </c>
      <c r="G424" t="s">
        <v>962</v>
      </c>
      <c r="H424" s="8" t="s">
        <v>1071</v>
      </c>
      <c r="I424">
        <f t="shared" si="24"/>
        <v>40</v>
      </c>
      <c r="J424" s="8">
        <f t="shared" si="25"/>
        <v>18.143694800000002</v>
      </c>
      <c r="K424">
        <v>1.1539999999999999</v>
      </c>
      <c r="L424">
        <f t="shared" si="26"/>
        <v>20.9378237992</v>
      </c>
    </row>
    <row r="425" spans="1:12" x14ac:dyDescent="0.2">
      <c r="A425" s="4">
        <v>43347</v>
      </c>
      <c r="B425" s="6" t="s">
        <v>1074</v>
      </c>
      <c r="C425">
        <v>1</v>
      </c>
      <c r="D425" s="8">
        <v>1</v>
      </c>
      <c r="E425">
        <v>20</v>
      </c>
      <c r="F425" t="s">
        <v>155</v>
      </c>
      <c r="G425" t="s">
        <v>962</v>
      </c>
      <c r="H425" s="8" t="s">
        <v>1071</v>
      </c>
      <c r="I425">
        <f t="shared" si="24"/>
        <v>20</v>
      </c>
      <c r="J425" s="8">
        <f t="shared" si="25"/>
        <v>9.0718474000000011</v>
      </c>
      <c r="K425">
        <v>1.1539999999999999</v>
      </c>
      <c r="L425">
        <f t="shared" si="26"/>
        <v>10.4689118996</v>
      </c>
    </row>
    <row r="426" spans="1:12" x14ac:dyDescent="0.2">
      <c r="A426" s="4">
        <v>43437</v>
      </c>
      <c r="B426" t="s">
        <v>538</v>
      </c>
      <c r="C426">
        <v>3</v>
      </c>
      <c r="D426">
        <v>6</v>
      </c>
      <c r="E426">
        <f>14/16</f>
        <v>0.875</v>
      </c>
      <c r="F426" t="s">
        <v>581</v>
      </c>
      <c r="G426" t="s">
        <v>869</v>
      </c>
      <c r="H426" s="9" t="s">
        <v>1071</v>
      </c>
      <c r="I426">
        <f t="shared" si="24"/>
        <v>15.75</v>
      </c>
      <c r="J426">
        <f t="shared" si="25"/>
        <v>7.1440798275000006</v>
      </c>
      <c r="K426">
        <v>0.87</v>
      </c>
      <c r="L426">
        <f t="shared" si="26"/>
        <v>6.2153494499250002</v>
      </c>
    </row>
    <row r="427" spans="1:12" x14ac:dyDescent="0.2">
      <c r="A427" s="4">
        <v>43437</v>
      </c>
      <c r="B427" t="s">
        <v>538</v>
      </c>
      <c r="C427">
        <v>3</v>
      </c>
      <c r="D427">
        <v>6</v>
      </c>
      <c r="E427">
        <v>1</v>
      </c>
      <c r="F427" t="s">
        <v>582</v>
      </c>
      <c r="G427" t="s">
        <v>869</v>
      </c>
      <c r="H427" s="9" t="s">
        <v>1071</v>
      </c>
      <c r="I427">
        <f t="shared" si="24"/>
        <v>18</v>
      </c>
      <c r="J427">
        <f t="shared" si="25"/>
        <v>8.1646626599999994</v>
      </c>
      <c r="K427">
        <v>0.87</v>
      </c>
      <c r="L427">
        <f t="shared" si="26"/>
        <v>7.103256514199999</v>
      </c>
    </row>
    <row r="428" spans="1:12" x14ac:dyDescent="0.2">
      <c r="A428" s="4">
        <v>43439</v>
      </c>
      <c r="B428" t="s">
        <v>538</v>
      </c>
      <c r="C428">
        <v>3</v>
      </c>
      <c r="D428">
        <v>6</v>
      </c>
      <c r="E428">
        <f>18/16</f>
        <v>1.125</v>
      </c>
      <c r="F428" t="s">
        <v>597</v>
      </c>
      <c r="G428" t="s">
        <v>869</v>
      </c>
      <c r="H428" s="9" t="s">
        <v>1071</v>
      </c>
      <c r="I428">
        <f t="shared" si="24"/>
        <v>20.25</v>
      </c>
      <c r="J428">
        <f t="shared" si="25"/>
        <v>9.1852454925</v>
      </c>
      <c r="K428">
        <v>0.87</v>
      </c>
      <c r="L428">
        <f t="shared" si="26"/>
        <v>7.9911635784749997</v>
      </c>
    </row>
    <row r="429" spans="1:12" x14ac:dyDescent="0.2">
      <c r="A429" s="4">
        <v>43439</v>
      </c>
      <c r="B429" t="s">
        <v>538</v>
      </c>
      <c r="C429">
        <v>3</v>
      </c>
      <c r="D429">
        <v>6</v>
      </c>
      <c r="E429">
        <f>14/16</f>
        <v>0.875</v>
      </c>
      <c r="F429" t="s">
        <v>581</v>
      </c>
      <c r="G429" t="s">
        <v>869</v>
      </c>
      <c r="H429" s="9" t="s">
        <v>1071</v>
      </c>
      <c r="I429">
        <f t="shared" si="24"/>
        <v>15.75</v>
      </c>
      <c r="J429">
        <f t="shared" si="25"/>
        <v>7.1440798275000006</v>
      </c>
      <c r="K429">
        <v>0.87</v>
      </c>
      <c r="L429">
        <f t="shared" si="26"/>
        <v>6.2153494499250002</v>
      </c>
    </row>
    <row r="430" spans="1:12" x14ac:dyDescent="0.2">
      <c r="A430" s="4">
        <v>43439</v>
      </c>
      <c r="B430" t="s">
        <v>538</v>
      </c>
      <c r="C430">
        <v>1</v>
      </c>
      <c r="D430">
        <v>3</v>
      </c>
      <c r="E430">
        <v>7.25</v>
      </c>
      <c r="F430" t="s">
        <v>554</v>
      </c>
      <c r="G430" t="s">
        <v>869</v>
      </c>
      <c r="H430" s="9" t="s">
        <v>1071</v>
      </c>
      <c r="I430">
        <f t="shared" si="24"/>
        <v>21.75</v>
      </c>
      <c r="J430">
        <f t="shared" si="25"/>
        <v>9.8656340475000004</v>
      </c>
      <c r="K430">
        <v>0.87</v>
      </c>
      <c r="L430">
        <f t="shared" si="26"/>
        <v>8.5831016213249995</v>
      </c>
    </row>
    <row r="431" spans="1:12" x14ac:dyDescent="0.2">
      <c r="A431" s="4">
        <v>43439</v>
      </c>
      <c r="B431" t="s">
        <v>538</v>
      </c>
      <c r="C431">
        <v>3</v>
      </c>
      <c r="D431">
        <v>6</v>
      </c>
      <c r="E431">
        <f>20/16</f>
        <v>1.25</v>
      </c>
      <c r="F431" t="s">
        <v>598</v>
      </c>
      <c r="G431" t="s">
        <v>869</v>
      </c>
      <c r="H431" s="9" t="s">
        <v>1071</v>
      </c>
      <c r="I431">
        <f t="shared" si="24"/>
        <v>22.5</v>
      </c>
      <c r="J431">
        <f t="shared" si="25"/>
        <v>10.205828325000001</v>
      </c>
      <c r="K431">
        <v>0.87</v>
      </c>
      <c r="L431">
        <f t="shared" si="26"/>
        <v>8.8790706427500012</v>
      </c>
    </row>
    <row r="432" spans="1:12" x14ac:dyDescent="0.2">
      <c r="A432" s="4">
        <v>43434</v>
      </c>
      <c r="B432" t="s">
        <v>538</v>
      </c>
      <c r="C432">
        <v>2</v>
      </c>
      <c r="D432">
        <v>6</v>
      </c>
      <c r="E432">
        <f>18/16</f>
        <v>1.125</v>
      </c>
      <c r="F432" t="s">
        <v>552</v>
      </c>
      <c r="G432" t="s">
        <v>907</v>
      </c>
      <c r="H432" s="9" t="s">
        <v>1071</v>
      </c>
      <c r="I432">
        <f t="shared" si="24"/>
        <v>13.5</v>
      </c>
      <c r="J432">
        <f t="shared" si="25"/>
        <v>6.1234969950000009</v>
      </c>
      <c r="K432">
        <v>0.87</v>
      </c>
      <c r="L432">
        <f t="shared" si="26"/>
        <v>5.3274423856500004</v>
      </c>
    </row>
    <row r="433" spans="1:12" x14ac:dyDescent="0.2">
      <c r="A433" s="4">
        <v>43434</v>
      </c>
      <c r="B433" t="s">
        <v>538</v>
      </c>
      <c r="C433">
        <v>1</v>
      </c>
      <c r="D433">
        <v>6</v>
      </c>
      <c r="E433">
        <v>1</v>
      </c>
      <c r="F433" t="s">
        <v>553</v>
      </c>
      <c r="G433" t="s">
        <v>907</v>
      </c>
      <c r="H433" s="9" t="s">
        <v>1071</v>
      </c>
      <c r="I433">
        <f t="shared" si="24"/>
        <v>6</v>
      </c>
      <c r="J433">
        <f t="shared" si="25"/>
        <v>2.7215542200000002</v>
      </c>
      <c r="K433">
        <v>0.87</v>
      </c>
      <c r="L433">
        <f t="shared" si="26"/>
        <v>2.3677521714000003</v>
      </c>
    </row>
    <row r="434" spans="1:12" x14ac:dyDescent="0.2">
      <c r="A434" s="4">
        <v>43434</v>
      </c>
      <c r="B434" t="s">
        <v>538</v>
      </c>
      <c r="C434">
        <v>1</v>
      </c>
      <c r="D434">
        <v>3</v>
      </c>
      <c r="E434">
        <v>7.25</v>
      </c>
      <c r="F434" t="s">
        <v>554</v>
      </c>
      <c r="G434" t="s">
        <v>907</v>
      </c>
      <c r="H434" s="9" t="s">
        <v>1071</v>
      </c>
      <c r="I434">
        <f t="shared" si="24"/>
        <v>21.75</v>
      </c>
      <c r="J434">
        <f t="shared" si="25"/>
        <v>9.8656340475000004</v>
      </c>
      <c r="K434">
        <v>0.87</v>
      </c>
      <c r="L434">
        <f t="shared" si="26"/>
        <v>8.5831016213249995</v>
      </c>
    </row>
    <row r="435" spans="1:12" x14ac:dyDescent="0.2">
      <c r="A435" s="4">
        <v>43434</v>
      </c>
      <c r="B435" t="s">
        <v>538</v>
      </c>
      <c r="C435">
        <v>1</v>
      </c>
      <c r="D435">
        <v>12</v>
      </c>
      <c r="E435">
        <v>3</v>
      </c>
      <c r="F435" t="s">
        <v>451</v>
      </c>
      <c r="G435" t="s">
        <v>907</v>
      </c>
      <c r="H435" s="9" t="s">
        <v>1071</v>
      </c>
      <c r="I435">
        <f t="shared" si="24"/>
        <v>36</v>
      </c>
      <c r="J435">
        <f t="shared" si="25"/>
        <v>16.329325319999999</v>
      </c>
      <c r="K435">
        <v>0.87</v>
      </c>
      <c r="L435">
        <f t="shared" si="26"/>
        <v>14.206513028399998</v>
      </c>
    </row>
    <row r="436" spans="1:12" x14ac:dyDescent="0.2">
      <c r="A436" s="4">
        <v>43434</v>
      </c>
      <c r="B436" t="s">
        <v>538</v>
      </c>
      <c r="C436">
        <v>2</v>
      </c>
      <c r="D436">
        <v>6</v>
      </c>
      <c r="E436">
        <f>24/16</f>
        <v>1.5</v>
      </c>
      <c r="F436" t="s">
        <v>562</v>
      </c>
      <c r="G436" t="s">
        <v>907</v>
      </c>
      <c r="H436" s="9" t="s">
        <v>1071</v>
      </c>
      <c r="I436">
        <f t="shared" si="24"/>
        <v>18</v>
      </c>
      <c r="J436">
        <f t="shared" si="25"/>
        <v>8.1646626599999994</v>
      </c>
      <c r="K436">
        <v>0.87</v>
      </c>
      <c r="L436">
        <f t="shared" si="26"/>
        <v>7.103256514199999</v>
      </c>
    </row>
    <row r="437" spans="1:12" x14ac:dyDescent="0.2">
      <c r="A437" s="4">
        <v>43434</v>
      </c>
      <c r="B437" t="s">
        <v>538</v>
      </c>
      <c r="C437">
        <v>1</v>
      </c>
      <c r="D437">
        <v>6</v>
      </c>
      <c r="E437">
        <f>6.25/16</f>
        <v>0.390625</v>
      </c>
      <c r="F437" t="s">
        <v>567</v>
      </c>
      <c r="G437" t="s">
        <v>907</v>
      </c>
      <c r="H437" s="9" t="s">
        <v>1071</v>
      </c>
      <c r="I437">
        <f t="shared" si="24"/>
        <v>2.34375</v>
      </c>
      <c r="J437">
        <f t="shared" si="25"/>
        <v>1.0631071171875002</v>
      </c>
      <c r="K437">
        <v>0.87</v>
      </c>
      <c r="L437">
        <f t="shared" si="26"/>
        <v>0.92490319195312509</v>
      </c>
    </row>
    <row r="438" spans="1:12" x14ac:dyDescent="0.2">
      <c r="A438" s="4">
        <v>43437</v>
      </c>
      <c r="B438" t="s">
        <v>538</v>
      </c>
      <c r="C438">
        <v>2</v>
      </c>
      <c r="D438">
        <v>6</v>
      </c>
      <c r="E438">
        <f>18/16</f>
        <v>1.125</v>
      </c>
      <c r="F438" t="s">
        <v>583</v>
      </c>
      <c r="G438" t="s">
        <v>907</v>
      </c>
      <c r="H438" s="9" t="s">
        <v>1071</v>
      </c>
      <c r="I438">
        <f t="shared" ref="I438:I501" si="27">C438*D438*E438</f>
        <v>13.5</v>
      </c>
      <c r="J438">
        <f t="shared" si="25"/>
        <v>6.1234969950000009</v>
      </c>
      <c r="K438">
        <v>0.87</v>
      </c>
      <c r="L438">
        <f t="shared" si="26"/>
        <v>5.3274423856500004</v>
      </c>
    </row>
    <row r="439" spans="1:12" x14ac:dyDescent="0.2">
      <c r="A439" s="4">
        <v>43437</v>
      </c>
      <c r="B439" t="s">
        <v>538</v>
      </c>
      <c r="C439">
        <v>1</v>
      </c>
      <c r="D439">
        <v>12</v>
      </c>
      <c r="E439">
        <v>3</v>
      </c>
      <c r="F439" t="s">
        <v>451</v>
      </c>
      <c r="G439" t="s">
        <v>907</v>
      </c>
      <c r="H439" s="9" t="s">
        <v>1071</v>
      </c>
      <c r="I439">
        <f t="shared" si="27"/>
        <v>36</v>
      </c>
      <c r="J439">
        <f t="shared" si="25"/>
        <v>16.329325319999999</v>
      </c>
      <c r="K439">
        <v>0.87</v>
      </c>
      <c r="L439">
        <f t="shared" si="26"/>
        <v>14.206513028399998</v>
      </c>
    </row>
    <row r="440" spans="1:12" x14ac:dyDescent="0.2">
      <c r="A440" s="4">
        <v>43439</v>
      </c>
      <c r="B440" t="s">
        <v>538</v>
      </c>
      <c r="C440">
        <v>2</v>
      </c>
      <c r="D440">
        <v>12</v>
      </c>
      <c r="E440">
        <v>3</v>
      </c>
      <c r="F440" t="s">
        <v>451</v>
      </c>
      <c r="G440" t="s">
        <v>907</v>
      </c>
      <c r="H440" s="9" t="s">
        <v>1071</v>
      </c>
      <c r="I440">
        <f t="shared" si="27"/>
        <v>72</v>
      </c>
      <c r="J440">
        <f t="shared" si="25"/>
        <v>32.658650639999998</v>
      </c>
      <c r="K440">
        <v>0.87</v>
      </c>
      <c r="L440">
        <f t="shared" si="26"/>
        <v>28.413026056799996</v>
      </c>
    </row>
    <row r="441" spans="1:12" x14ac:dyDescent="0.2">
      <c r="A441" s="4">
        <v>43343</v>
      </c>
      <c r="B441" s="6" t="s">
        <v>1074</v>
      </c>
      <c r="C441">
        <v>1</v>
      </c>
      <c r="D441" s="8">
        <v>1</v>
      </c>
      <c r="E441">
        <f>4*6</f>
        <v>24</v>
      </c>
      <c r="F441" t="s">
        <v>73</v>
      </c>
      <c r="G441" t="s">
        <v>763</v>
      </c>
      <c r="H441" s="8" t="s">
        <v>1071</v>
      </c>
      <c r="I441">
        <f t="shared" si="27"/>
        <v>24</v>
      </c>
      <c r="J441" s="8">
        <f t="shared" si="25"/>
        <v>10.886216880000001</v>
      </c>
      <c r="K441">
        <v>0.307</v>
      </c>
      <c r="L441">
        <f t="shared" si="26"/>
        <v>3.3420685821600005</v>
      </c>
    </row>
    <row r="442" spans="1:12" x14ac:dyDescent="0.2">
      <c r="A442" s="4">
        <v>43344</v>
      </c>
      <c r="B442" s="6" t="s">
        <v>1074</v>
      </c>
      <c r="C442">
        <v>5</v>
      </c>
      <c r="D442" s="8">
        <v>1</v>
      </c>
      <c r="E442">
        <f t="shared" ref="E442:E447" si="28">4*2.5</f>
        <v>10</v>
      </c>
      <c r="F442" t="s">
        <v>111</v>
      </c>
      <c r="G442" t="s">
        <v>763</v>
      </c>
      <c r="H442" s="8" t="s">
        <v>1071</v>
      </c>
      <c r="I442">
        <f t="shared" si="27"/>
        <v>50</v>
      </c>
      <c r="J442" s="8">
        <f t="shared" si="25"/>
        <v>22.6796185</v>
      </c>
      <c r="K442">
        <v>0.307</v>
      </c>
      <c r="L442">
        <f t="shared" si="26"/>
        <v>6.9626428794999997</v>
      </c>
    </row>
    <row r="443" spans="1:12" x14ac:dyDescent="0.2">
      <c r="A443" s="4">
        <v>43346</v>
      </c>
      <c r="B443" s="6" t="s">
        <v>1074</v>
      </c>
      <c r="C443">
        <v>1</v>
      </c>
      <c r="D443" s="8">
        <v>1</v>
      </c>
      <c r="E443">
        <f t="shared" si="28"/>
        <v>10</v>
      </c>
      <c r="F443" t="s">
        <v>111</v>
      </c>
      <c r="G443" t="s">
        <v>763</v>
      </c>
      <c r="H443" s="8" t="s">
        <v>1071</v>
      </c>
      <c r="I443">
        <f t="shared" si="27"/>
        <v>10</v>
      </c>
      <c r="J443" s="8">
        <f t="shared" si="25"/>
        <v>4.5359237000000006</v>
      </c>
      <c r="K443">
        <v>0.307</v>
      </c>
      <c r="L443">
        <f t="shared" si="26"/>
        <v>1.3925285759000001</v>
      </c>
    </row>
    <row r="444" spans="1:12" x14ac:dyDescent="0.2">
      <c r="A444" s="4">
        <v>43347</v>
      </c>
      <c r="B444" s="6" t="s">
        <v>1074</v>
      </c>
      <c r="C444">
        <v>3</v>
      </c>
      <c r="D444" s="8">
        <v>1</v>
      </c>
      <c r="E444">
        <f t="shared" si="28"/>
        <v>10</v>
      </c>
      <c r="F444" t="s">
        <v>111</v>
      </c>
      <c r="G444" t="s">
        <v>763</v>
      </c>
      <c r="H444" s="8" t="s">
        <v>1071</v>
      </c>
      <c r="I444">
        <f t="shared" si="27"/>
        <v>30</v>
      </c>
      <c r="J444" s="8">
        <f t="shared" si="25"/>
        <v>13.607771100000001</v>
      </c>
      <c r="K444">
        <v>0.307</v>
      </c>
      <c r="L444">
        <f t="shared" si="26"/>
        <v>4.1775857277000004</v>
      </c>
    </row>
    <row r="445" spans="1:12" x14ac:dyDescent="0.2">
      <c r="A445" s="4">
        <v>43347</v>
      </c>
      <c r="B445" s="6" t="s">
        <v>1074</v>
      </c>
      <c r="C445">
        <v>3</v>
      </c>
      <c r="D445" s="8">
        <v>1</v>
      </c>
      <c r="E445">
        <f t="shared" si="28"/>
        <v>10</v>
      </c>
      <c r="F445" t="s">
        <v>111</v>
      </c>
      <c r="G445" t="s">
        <v>763</v>
      </c>
      <c r="H445" s="8" t="s">
        <v>1071</v>
      </c>
      <c r="I445">
        <f t="shared" si="27"/>
        <v>30</v>
      </c>
      <c r="J445" s="8">
        <f t="shared" si="25"/>
        <v>13.607771100000001</v>
      </c>
      <c r="K445">
        <v>0.307</v>
      </c>
      <c r="L445">
        <f t="shared" si="26"/>
        <v>4.1775857277000004</v>
      </c>
    </row>
    <row r="446" spans="1:12" x14ac:dyDescent="0.2">
      <c r="A446" s="4">
        <v>43348</v>
      </c>
      <c r="B446" s="6" t="s">
        <v>1074</v>
      </c>
      <c r="C446">
        <v>1</v>
      </c>
      <c r="D446" s="8">
        <v>1</v>
      </c>
      <c r="E446">
        <f t="shared" si="28"/>
        <v>10</v>
      </c>
      <c r="F446" t="s">
        <v>73</v>
      </c>
      <c r="G446" t="s">
        <v>763</v>
      </c>
      <c r="H446" s="8" t="s">
        <v>1071</v>
      </c>
      <c r="I446">
        <f t="shared" si="27"/>
        <v>10</v>
      </c>
      <c r="J446" s="8">
        <f t="shared" si="25"/>
        <v>4.5359237000000006</v>
      </c>
      <c r="K446">
        <v>0.307</v>
      </c>
      <c r="L446">
        <f t="shared" si="26"/>
        <v>1.3925285759000001</v>
      </c>
    </row>
    <row r="447" spans="1:12" x14ac:dyDescent="0.2">
      <c r="A447" s="4">
        <v>43349</v>
      </c>
      <c r="B447" s="6" t="s">
        <v>1074</v>
      </c>
      <c r="C447">
        <v>4</v>
      </c>
      <c r="D447" s="8">
        <v>1</v>
      </c>
      <c r="E447">
        <f t="shared" si="28"/>
        <v>10</v>
      </c>
      <c r="F447" t="s">
        <v>73</v>
      </c>
      <c r="G447" t="s">
        <v>763</v>
      </c>
      <c r="H447" s="8" t="s">
        <v>1071</v>
      </c>
      <c r="I447">
        <f t="shared" si="27"/>
        <v>40</v>
      </c>
      <c r="J447" s="8">
        <f t="shared" si="25"/>
        <v>18.143694800000002</v>
      </c>
      <c r="K447">
        <v>0.307</v>
      </c>
      <c r="L447">
        <f t="shared" si="26"/>
        <v>5.5701143036000005</v>
      </c>
    </row>
    <row r="448" spans="1:12" x14ac:dyDescent="0.2">
      <c r="A448" s="4">
        <v>43343</v>
      </c>
      <c r="B448" s="6" t="s">
        <v>1074</v>
      </c>
      <c r="C448">
        <v>1</v>
      </c>
      <c r="D448" s="8">
        <v>1</v>
      </c>
      <c r="E448" s="6">
        <v>80</v>
      </c>
      <c r="F448" t="s">
        <v>99</v>
      </c>
      <c r="G448" t="s">
        <v>765</v>
      </c>
      <c r="H448" s="8" t="s">
        <v>1071</v>
      </c>
      <c r="I448">
        <f t="shared" si="27"/>
        <v>80</v>
      </c>
      <c r="J448" s="8">
        <f t="shared" si="25"/>
        <v>36.287389600000004</v>
      </c>
      <c r="K448">
        <v>1.2290000000000001</v>
      </c>
      <c r="L448">
        <f t="shared" si="26"/>
        <v>44.597201818400009</v>
      </c>
    </row>
    <row r="449" spans="1:12" x14ac:dyDescent="0.2">
      <c r="A449" s="4">
        <v>43343</v>
      </c>
      <c r="B449" s="6" t="s">
        <v>1074</v>
      </c>
      <c r="C449">
        <v>1</v>
      </c>
      <c r="D449" s="8">
        <v>1</v>
      </c>
      <c r="E449" s="6">
        <v>80</v>
      </c>
      <c r="F449" t="s">
        <v>100</v>
      </c>
      <c r="G449" t="s">
        <v>765</v>
      </c>
      <c r="H449" s="8" t="s">
        <v>1071</v>
      </c>
      <c r="I449">
        <f t="shared" si="27"/>
        <v>80</v>
      </c>
      <c r="J449" s="8">
        <f t="shared" si="25"/>
        <v>36.287389600000004</v>
      </c>
      <c r="K449">
        <v>1.2290000000000001</v>
      </c>
      <c r="L449">
        <f t="shared" si="26"/>
        <v>44.597201818400009</v>
      </c>
    </row>
    <row r="450" spans="1:12" x14ac:dyDescent="0.2">
      <c r="A450" s="4">
        <v>43346</v>
      </c>
      <c r="B450" s="6" t="s">
        <v>1074</v>
      </c>
      <c r="C450">
        <v>2</v>
      </c>
      <c r="D450" s="8">
        <v>1</v>
      </c>
      <c r="E450">
        <v>20</v>
      </c>
      <c r="F450" s="6" t="s">
        <v>136</v>
      </c>
      <c r="G450" s="6" t="s">
        <v>765</v>
      </c>
      <c r="H450" s="8" t="s">
        <v>1071</v>
      </c>
      <c r="I450">
        <f t="shared" si="27"/>
        <v>40</v>
      </c>
      <c r="J450" s="8">
        <f t="shared" si="25"/>
        <v>18.143694800000002</v>
      </c>
      <c r="K450">
        <v>1.2290000000000001</v>
      </c>
      <c r="L450">
        <f t="shared" si="26"/>
        <v>22.298600909200005</v>
      </c>
    </row>
    <row r="451" spans="1:12" x14ac:dyDescent="0.2">
      <c r="A451" s="4">
        <v>43346</v>
      </c>
      <c r="B451" s="6" t="s">
        <v>1074</v>
      </c>
      <c r="C451">
        <v>2</v>
      </c>
      <c r="D451" s="8">
        <v>1</v>
      </c>
      <c r="E451">
        <v>20</v>
      </c>
      <c r="F451" s="6" t="s">
        <v>143</v>
      </c>
      <c r="G451" s="6" t="s">
        <v>765</v>
      </c>
      <c r="H451" s="8" t="s">
        <v>1071</v>
      </c>
      <c r="I451">
        <f t="shared" si="27"/>
        <v>40</v>
      </c>
      <c r="J451" s="8">
        <f t="shared" ref="J451:J514" si="29">CONVERT(I451,"lbm","kg")</f>
        <v>18.143694800000002</v>
      </c>
      <c r="K451">
        <v>1.2290000000000001</v>
      </c>
      <c r="L451">
        <f t="shared" ref="L451:L514" si="30">J451*K451</f>
        <v>22.298600909200005</v>
      </c>
    </row>
    <row r="452" spans="1:12" x14ac:dyDescent="0.2">
      <c r="A452" s="4">
        <v>43347</v>
      </c>
      <c r="B452" s="6" t="s">
        <v>1074</v>
      </c>
      <c r="C452">
        <v>2</v>
      </c>
      <c r="D452" s="8">
        <v>1</v>
      </c>
      <c r="E452">
        <f>3/4*44</f>
        <v>33</v>
      </c>
      <c r="F452" t="s">
        <v>161</v>
      </c>
      <c r="G452" s="15" t="s">
        <v>765</v>
      </c>
      <c r="H452" s="8" t="s">
        <v>1071</v>
      </c>
      <c r="I452">
        <f t="shared" si="27"/>
        <v>66</v>
      </c>
      <c r="J452" s="8">
        <f t="shared" si="29"/>
        <v>29.937096420000003</v>
      </c>
      <c r="K452">
        <v>1.2290000000000001</v>
      </c>
      <c r="L452">
        <f t="shared" si="30"/>
        <v>36.792691500180005</v>
      </c>
    </row>
    <row r="453" spans="1:12" x14ac:dyDescent="0.2">
      <c r="A453" s="4">
        <v>43347</v>
      </c>
      <c r="B453" s="6" t="s">
        <v>1074</v>
      </c>
      <c r="C453">
        <v>2</v>
      </c>
      <c r="D453" s="8">
        <v>1</v>
      </c>
      <c r="E453">
        <f>1/2*44</f>
        <v>22</v>
      </c>
      <c r="F453" t="s">
        <v>162</v>
      </c>
      <c r="G453" s="15" t="s">
        <v>765</v>
      </c>
      <c r="H453" s="8" t="s">
        <v>1071</v>
      </c>
      <c r="I453">
        <f t="shared" si="27"/>
        <v>44</v>
      </c>
      <c r="J453" s="8">
        <f t="shared" si="29"/>
        <v>19.958064280000002</v>
      </c>
      <c r="K453">
        <v>1.2290000000000001</v>
      </c>
      <c r="L453">
        <f t="shared" si="30"/>
        <v>24.528461000120004</v>
      </c>
    </row>
    <row r="454" spans="1:12" x14ac:dyDescent="0.2">
      <c r="A454" s="4">
        <v>43347</v>
      </c>
      <c r="B454" s="6" t="s">
        <v>1074</v>
      </c>
      <c r="C454">
        <v>3</v>
      </c>
      <c r="D454" s="8">
        <v>1</v>
      </c>
      <c r="E454">
        <f>3/4*44</f>
        <v>33</v>
      </c>
      <c r="F454" t="s">
        <v>161</v>
      </c>
      <c r="G454" s="15" t="s">
        <v>765</v>
      </c>
      <c r="H454" s="8" t="s">
        <v>1071</v>
      </c>
      <c r="I454">
        <f t="shared" si="27"/>
        <v>99</v>
      </c>
      <c r="J454" s="8">
        <f t="shared" si="29"/>
        <v>44.905644630000005</v>
      </c>
      <c r="K454">
        <v>1.2290000000000001</v>
      </c>
      <c r="L454">
        <f t="shared" si="30"/>
        <v>55.189037250270012</v>
      </c>
    </row>
    <row r="455" spans="1:12" x14ac:dyDescent="0.2">
      <c r="A455" s="4">
        <v>43347</v>
      </c>
      <c r="B455" s="6" t="s">
        <v>1074</v>
      </c>
      <c r="C455">
        <v>3</v>
      </c>
      <c r="D455" s="8">
        <v>1</v>
      </c>
      <c r="E455">
        <f>1/2*44</f>
        <v>22</v>
      </c>
      <c r="F455" t="s">
        <v>162</v>
      </c>
      <c r="G455" s="15" t="s">
        <v>765</v>
      </c>
      <c r="H455" s="8" t="s">
        <v>1071</v>
      </c>
      <c r="I455">
        <f t="shared" si="27"/>
        <v>66</v>
      </c>
      <c r="J455" s="8">
        <f t="shared" si="29"/>
        <v>29.937096420000003</v>
      </c>
      <c r="K455">
        <v>1.2290000000000001</v>
      </c>
      <c r="L455">
        <f t="shared" si="30"/>
        <v>36.792691500180005</v>
      </c>
    </row>
    <row r="456" spans="1:12" x14ac:dyDescent="0.2">
      <c r="A456" s="4">
        <v>43348</v>
      </c>
      <c r="B456" s="6" t="s">
        <v>1074</v>
      </c>
      <c r="C456">
        <v>1</v>
      </c>
      <c r="D456" s="8">
        <v>1</v>
      </c>
      <c r="E456">
        <v>20</v>
      </c>
      <c r="F456" t="s">
        <v>99</v>
      </c>
      <c r="G456" t="s">
        <v>765</v>
      </c>
      <c r="H456" s="8" t="s">
        <v>1071</v>
      </c>
      <c r="I456">
        <f t="shared" si="27"/>
        <v>20</v>
      </c>
      <c r="J456" s="8">
        <f t="shared" si="29"/>
        <v>9.0718474000000011</v>
      </c>
      <c r="K456">
        <v>1.2290000000000001</v>
      </c>
      <c r="L456">
        <f t="shared" si="30"/>
        <v>11.149300454600002</v>
      </c>
    </row>
    <row r="457" spans="1:12" x14ac:dyDescent="0.2">
      <c r="A457" s="4">
        <v>43349</v>
      </c>
      <c r="B457" s="6" t="s">
        <v>1074</v>
      </c>
      <c r="C457">
        <v>5</v>
      </c>
      <c r="D457" s="8">
        <v>1</v>
      </c>
      <c r="E457">
        <v>20</v>
      </c>
      <c r="F457" t="s">
        <v>99</v>
      </c>
      <c r="G457" t="s">
        <v>765</v>
      </c>
      <c r="H457" s="8" t="s">
        <v>1071</v>
      </c>
      <c r="I457">
        <f t="shared" si="27"/>
        <v>100</v>
      </c>
      <c r="J457" s="8">
        <f t="shared" si="29"/>
        <v>45.359237</v>
      </c>
      <c r="K457">
        <v>1.2290000000000001</v>
      </c>
      <c r="L457">
        <f t="shared" si="30"/>
        <v>55.746502273000004</v>
      </c>
    </row>
    <row r="458" spans="1:12" x14ac:dyDescent="0.2">
      <c r="A458" s="4">
        <v>43349</v>
      </c>
      <c r="B458" s="6" t="s">
        <v>1074</v>
      </c>
      <c r="C458">
        <v>4</v>
      </c>
      <c r="D458" s="8">
        <v>1</v>
      </c>
      <c r="E458">
        <v>20</v>
      </c>
      <c r="F458" t="s">
        <v>100</v>
      </c>
      <c r="G458" t="s">
        <v>765</v>
      </c>
      <c r="H458" s="8" t="s">
        <v>1071</v>
      </c>
      <c r="I458">
        <f t="shared" si="27"/>
        <v>80</v>
      </c>
      <c r="J458" s="8">
        <f t="shared" si="29"/>
        <v>36.287389600000004</v>
      </c>
      <c r="K458">
        <v>1.2290000000000001</v>
      </c>
      <c r="L458">
        <f t="shared" si="30"/>
        <v>44.597201818400009</v>
      </c>
    </row>
    <row r="459" spans="1:12" x14ac:dyDescent="0.2">
      <c r="A459" s="4">
        <v>43343</v>
      </c>
      <c r="B459" s="6" t="s">
        <v>1074</v>
      </c>
      <c r="C459">
        <v>1</v>
      </c>
      <c r="D459" s="8">
        <v>1</v>
      </c>
      <c r="E459">
        <f>8*6</f>
        <v>48</v>
      </c>
      <c r="F459" t="s">
        <v>74</v>
      </c>
      <c r="G459" t="s">
        <v>248</v>
      </c>
      <c r="H459" s="8" t="s">
        <v>1071</v>
      </c>
      <c r="I459">
        <f t="shared" si="27"/>
        <v>48</v>
      </c>
      <c r="J459" s="8">
        <f t="shared" si="29"/>
        <v>21.772433760000002</v>
      </c>
      <c r="K459">
        <v>0.61399999999999999</v>
      </c>
      <c r="L459">
        <f t="shared" si="30"/>
        <v>13.368274328640002</v>
      </c>
    </row>
    <row r="460" spans="1:12" x14ac:dyDescent="0.2">
      <c r="A460" s="4">
        <v>43344</v>
      </c>
      <c r="B460" s="6" t="s">
        <v>1074</v>
      </c>
      <c r="C460">
        <v>5</v>
      </c>
      <c r="D460" s="8">
        <v>1</v>
      </c>
      <c r="E460">
        <v>8</v>
      </c>
      <c r="F460" t="s">
        <v>112</v>
      </c>
      <c r="G460" t="s">
        <v>248</v>
      </c>
      <c r="H460" s="8" t="s">
        <v>1071</v>
      </c>
      <c r="I460">
        <f t="shared" si="27"/>
        <v>40</v>
      </c>
      <c r="J460" s="8">
        <f t="shared" si="29"/>
        <v>18.143694800000002</v>
      </c>
      <c r="K460">
        <v>0.61399999999999999</v>
      </c>
      <c r="L460">
        <f t="shared" si="30"/>
        <v>11.140228607200001</v>
      </c>
    </row>
    <row r="461" spans="1:12" x14ac:dyDescent="0.2">
      <c r="A461" s="4">
        <v>43346</v>
      </c>
      <c r="B461" s="6" t="s">
        <v>1074</v>
      </c>
      <c r="C461">
        <v>4</v>
      </c>
      <c r="D461" s="8">
        <v>1</v>
      </c>
      <c r="E461">
        <v>10</v>
      </c>
      <c r="F461" t="s">
        <v>1029</v>
      </c>
      <c r="G461" t="s">
        <v>248</v>
      </c>
      <c r="H461" s="8" t="s">
        <v>1071</v>
      </c>
      <c r="I461">
        <f t="shared" si="27"/>
        <v>40</v>
      </c>
      <c r="J461" s="8">
        <f t="shared" si="29"/>
        <v>18.143694800000002</v>
      </c>
      <c r="K461">
        <v>0.61399999999999999</v>
      </c>
      <c r="L461">
        <f t="shared" si="30"/>
        <v>11.140228607200001</v>
      </c>
    </row>
    <row r="462" spans="1:12" x14ac:dyDescent="0.2">
      <c r="A462" s="4">
        <v>43346</v>
      </c>
      <c r="B462" s="6" t="s">
        <v>1074</v>
      </c>
      <c r="C462">
        <v>10</v>
      </c>
      <c r="D462" s="8">
        <v>1</v>
      </c>
      <c r="E462">
        <v>8</v>
      </c>
      <c r="F462" t="s">
        <v>112</v>
      </c>
      <c r="G462" t="s">
        <v>248</v>
      </c>
      <c r="H462" s="8" t="s">
        <v>1071</v>
      </c>
      <c r="I462">
        <f t="shared" si="27"/>
        <v>80</v>
      </c>
      <c r="J462" s="8">
        <f t="shared" si="29"/>
        <v>36.287389600000004</v>
      </c>
      <c r="K462">
        <v>0.61399999999999999</v>
      </c>
      <c r="L462">
        <f t="shared" si="30"/>
        <v>22.280457214400002</v>
      </c>
    </row>
    <row r="463" spans="1:12" x14ac:dyDescent="0.2">
      <c r="A463" s="4">
        <v>43347</v>
      </c>
      <c r="B463" s="6" t="s">
        <v>1074</v>
      </c>
      <c r="C463">
        <v>10</v>
      </c>
      <c r="D463" s="8">
        <v>1</v>
      </c>
      <c r="E463">
        <v>8</v>
      </c>
      <c r="F463" t="s">
        <v>112</v>
      </c>
      <c r="G463" t="s">
        <v>248</v>
      </c>
      <c r="H463" s="8" t="s">
        <v>1071</v>
      </c>
      <c r="I463">
        <f t="shared" si="27"/>
        <v>80</v>
      </c>
      <c r="J463" s="8">
        <f t="shared" si="29"/>
        <v>36.287389600000004</v>
      </c>
      <c r="K463">
        <v>0.61399999999999999</v>
      </c>
      <c r="L463">
        <f t="shared" si="30"/>
        <v>22.280457214400002</v>
      </c>
    </row>
    <row r="464" spans="1:12" x14ac:dyDescent="0.2">
      <c r="A464" s="4">
        <v>43348</v>
      </c>
      <c r="B464" s="6" t="s">
        <v>1074</v>
      </c>
      <c r="C464">
        <v>4</v>
      </c>
      <c r="D464" s="8">
        <v>1</v>
      </c>
      <c r="E464">
        <v>8</v>
      </c>
      <c r="F464" t="s">
        <v>74</v>
      </c>
      <c r="G464" t="s">
        <v>248</v>
      </c>
      <c r="H464" s="8" t="s">
        <v>1071</v>
      </c>
      <c r="I464">
        <f t="shared" si="27"/>
        <v>32</v>
      </c>
      <c r="J464" s="8">
        <f t="shared" si="29"/>
        <v>14.514955840000001</v>
      </c>
      <c r="K464">
        <v>0.61399999999999999</v>
      </c>
      <c r="L464">
        <f t="shared" si="30"/>
        <v>8.9121828857600001</v>
      </c>
    </row>
    <row r="465" spans="1:12" x14ac:dyDescent="0.2">
      <c r="A465" s="4">
        <v>43434</v>
      </c>
      <c r="B465" t="s">
        <v>538</v>
      </c>
      <c r="C465">
        <v>1</v>
      </c>
      <c r="D465">
        <v>1</v>
      </c>
      <c r="E465">
        <v>50</v>
      </c>
      <c r="F465" t="s">
        <v>425</v>
      </c>
      <c r="G465" t="s">
        <v>860</v>
      </c>
      <c r="H465" s="9" t="s">
        <v>1071</v>
      </c>
      <c r="I465">
        <f t="shared" si="27"/>
        <v>50</v>
      </c>
      <c r="J465">
        <f t="shared" si="29"/>
        <v>22.6796185</v>
      </c>
      <c r="K465">
        <v>0.7</v>
      </c>
      <c r="L465">
        <f t="shared" si="30"/>
        <v>15.87573295</v>
      </c>
    </row>
    <row r="466" spans="1:12" x14ac:dyDescent="0.2">
      <c r="A466" s="4">
        <v>43434</v>
      </c>
      <c r="B466" t="s">
        <v>538</v>
      </c>
      <c r="C466">
        <v>2</v>
      </c>
      <c r="D466">
        <v>1</v>
      </c>
      <c r="E466">
        <v>25</v>
      </c>
      <c r="F466" t="s">
        <v>443</v>
      </c>
      <c r="G466" t="s">
        <v>860</v>
      </c>
      <c r="H466" s="9" t="s">
        <v>1071</v>
      </c>
      <c r="I466">
        <f t="shared" si="27"/>
        <v>50</v>
      </c>
      <c r="J466">
        <f t="shared" si="29"/>
        <v>22.6796185</v>
      </c>
      <c r="K466">
        <v>0.7</v>
      </c>
      <c r="L466">
        <f t="shared" si="30"/>
        <v>15.87573295</v>
      </c>
    </row>
    <row r="467" spans="1:12" x14ac:dyDescent="0.2">
      <c r="A467" s="4">
        <v>43437</v>
      </c>
      <c r="B467" t="s">
        <v>538</v>
      </c>
      <c r="C467">
        <v>1</v>
      </c>
      <c r="D467">
        <v>1</v>
      </c>
      <c r="E467">
        <v>50</v>
      </c>
      <c r="F467" t="s">
        <v>434</v>
      </c>
      <c r="G467" t="s">
        <v>860</v>
      </c>
      <c r="H467" s="9" t="s">
        <v>1071</v>
      </c>
      <c r="I467">
        <f t="shared" si="27"/>
        <v>50</v>
      </c>
      <c r="J467">
        <f t="shared" si="29"/>
        <v>22.6796185</v>
      </c>
      <c r="K467">
        <v>0.7</v>
      </c>
      <c r="L467">
        <f t="shared" si="30"/>
        <v>15.87573295</v>
      </c>
    </row>
    <row r="468" spans="1:12" x14ac:dyDescent="0.2">
      <c r="A468" s="4">
        <v>43439</v>
      </c>
      <c r="B468" t="s">
        <v>538</v>
      </c>
      <c r="C468">
        <v>1</v>
      </c>
      <c r="D468">
        <v>1</v>
      </c>
      <c r="E468">
        <v>50</v>
      </c>
      <c r="F468" t="s">
        <v>434</v>
      </c>
      <c r="G468" t="s">
        <v>860</v>
      </c>
      <c r="H468" s="9" t="s">
        <v>1071</v>
      </c>
      <c r="I468">
        <f t="shared" si="27"/>
        <v>50</v>
      </c>
      <c r="J468">
        <f t="shared" si="29"/>
        <v>22.6796185</v>
      </c>
      <c r="K468">
        <v>0.7</v>
      </c>
      <c r="L468">
        <f t="shared" si="30"/>
        <v>15.87573295</v>
      </c>
    </row>
    <row r="469" spans="1:12" x14ac:dyDescent="0.2">
      <c r="A469" s="4">
        <v>43437</v>
      </c>
      <c r="B469" t="s">
        <v>531</v>
      </c>
      <c r="C469">
        <v>4</v>
      </c>
      <c r="D469">
        <v>5</v>
      </c>
      <c r="E469">
        <v>3</v>
      </c>
      <c r="F469" t="s">
        <v>416</v>
      </c>
      <c r="G469" t="s">
        <v>915</v>
      </c>
      <c r="H469" s="9" t="s">
        <v>1071</v>
      </c>
      <c r="I469">
        <f t="shared" si="27"/>
        <v>60</v>
      </c>
      <c r="J469">
        <f t="shared" si="29"/>
        <v>27.215542200000002</v>
      </c>
      <c r="K469">
        <v>0.30199999999999999</v>
      </c>
      <c r="L469">
        <f t="shared" si="30"/>
        <v>8.2190937444000003</v>
      </c>
    </row>
    <row r="470" spans="1:12" x14ac:dyDescent="0.2">
      <c r="A470" s="4">
        <v>43347</v>
      </c>
      <c r="B470" t="s">
        <v>22</v>
      </c>
      <c r="C470">
        <v>1</v>
      </c>
      <c r="D470">
        <v>1</v>
      </c>
      <c r="E470">
        <v>120</v>
      </c>
      <c r="F470" s="9" t="s">
        <v>24</v>
      </c>
      <c r="G470" s="9" t="s">
        <v>24</v>
      </c>
      <c r="H470" s="8" t="s">
        <v>1071</v>
      </c>
      <c r="I470">
        <f t="shared" si="27"/>
        <v>120</v>
      </c>
      <c r="J470" s="8">
        <f t="shared" si="29"/>
        <v>54.431084400000003</v>
      </c>
      <c r="K470">
        <v>0.30199999999999999</v>
      </c>
      <c r="L470">
        <f t="shared" si="30"/>
        <v>16.438187488800001</v>
      </c>
    </row>
    <row r="471" spans="1:12" x14ac:dyDescent="0.2">
      <c r="A471" s="4">
        <v>43343</v>
      </c>
      <c r="B471" t="s">
        <v>22</v>
      </c>
      <c r="C471">
        <v>1</v>
      </c>
      <c r="D471">
        <v>1</v>
      </c>
      <c r="E471">
        <v>120</v>
      </c>
      <c r="F471" s="9" t="s">
        <v>24</v>
      </c>
      <c r="G471" s="9" t="s">
        <v>24</v>
      </c>
      <c r="H471" s="8" t="s">
        <v>1071</v>
      </c>
      <c r="I471">
        <f t="shared" si="27"/>
        <v>120</v>
      </c>
      <c r="J471" s="8">
        <f t="shared" si="29"/>
        <v>54.431084400000003</v>
      </c>
      <c r="K471">
        <v>0.30199999999999999</v>
      </c>
      <c r="L471">
        <f t="shared" si="30"/>
        <v>16.438187488800001</v>
      </c>
    </row>
    <row r="472" spans="1:12" x14ac:dyDescent="0.2">
      <c r="A472" s="4">
        <v>43347</v>
      </c>
      <c r="B472" t="s">
        <v>22</v>
      </c>
      <c r="C472">
        <v>1</v>
      </c>
      <c r="D472">
        <v>1</v>
      </c>
      <c r="E472">
        <v>120</v>
      </c>
      <c r="F472" s="9" t="s">
        <v>24</v>
      </c>
      <c r="G472" s="9" t="s">
        <v>24</v>
      </c>
      <c r="H472" s="8" t="s">
        <v>1071</v>
      </c>
      <c r="I472">
        <f t="shared" si="27"/>
        <v>120</v>
      </c>
      <c r="J472" s="8">
        <f t="shared" si="29"/>
        <v>54.431084400000003</v>
      </c>
      <c r="K472">
        <v>0.30199999999999999</v>
      </c>
      <c r="L472">
        <f t="shared" si="30"/>
        <v>16.438187488800001</v>
      </c>
    </row>
    <row r="473" spans="1:12" x14ac:dyDescent="0.2">
      <c r="A473" s="4">
        <v>43347</v>
      </c>
      <c r="B473" s="6" t="s">
        <v>1074</v>
      </c>
      <c r="C473">
        <v>4</v>
      </c>
      <c r="D473" s="8">
        <v>1</v>
      </c>
      <c r="E473">
        <v>40</v>
      </c>
      <c r="F473" t="s">
        <v>160</v>
      </c>
      <c r="G473" t="s">
        <v>24</v>
      </c>
      <c r="H473" s="8" t="s">
        <v>1071</v>
      </c>
      <c r="I473">
        <f t="shared" si="27"/>
        <v>160</v>
      </c>
      <c r="J473" s="8">
        <f t="shared" si="29"/>
        <v>72.574779200000009</v>
      </c>
      <c r="K473">
        <v>0.30199999999999999</v>
      </c>
      <c r="L473">
        <f t="shared" si="30"/>
        <v>21.917583318400002</v>
      </c>
    </row>
    <row r="474" spans="1:12" x14ac:dyDescent="0.2">
      <c r="A474" s="4">
        <v>43346</v>
      </c>
      <c r="B474" s="6" t="s">
        <v>1074</v>
      </c>
      <c r="C474">
        <v>4</v>
      </c>
      <c r="D474" s="8">
        <v>1</v>
      </c>
      <c r="E474">
        <v>12</v>
      </c>
      <c r="F474" t="s">
        <v>133</v>
      </c>
      <c r="G474" t="s">
        <v>777</v>
      </c>
      <c r="H474" s="8" t="s">
        <v>1071</v>
      </c>
      <c r="I474">
        <f t="shared" si="27"/>
        <v>48</v>
      </c>
      <c r="J474" s="8">
        <f t="shared" si="29"/>
        <v>21.772433760000002</v>
      </c>
      <c r="K474">
        <v>0.19600000000000001</v>
      </c>
      <c r="L474">
        <f t="shared" si="30"/>
        <v>4.2673970169600004</v>
      </c>
    </row>
    <row r="475" spans="1:12" x14ac:dyDescent="0.2">
      <c r="A475" s="4">
        <v>43437</v>
      </c>
      <c r="B475" t="s">
        <v>538</v>
      </c>
      <c r="C475">
        <v>2</v>
      </c>
      <c r="D475">
        <v>4</v>
      </c>
      <c r="E475">
        <v>11.01</v>
      </c>
      <c r="F475" t="s">
        <v>435</v>
      </c>
      <c r="G475" s="6" t="s">
        <v>864</v>
      </c>
      <c r="H475" s="9" t="s">
        <v>1071</v>
      </c>
      <c r="I475">
        <f t="shared" si="27"/>
        <v>88.08</v>
      </c>
      <c r="J475">
        <f t="shared" si="29"/>
        <v>39.952415949600002</v>
      </c>
      <c r="K475">
        <v>6.7539999999999996</v>
      </c>
      <c r="L475">
        <f t="shared" si="30"/>
        <v>269.83861732359838</v>
      </c>
    </row>
    <row r="476" spans="1:12" x14ac:dyDescent="0.2">
      <c r="A476" s="4">
        <v>43434</v>
      </c>
      <c r="B476" t="s">
        <v>538</v>
      </c>
      <c r="C476">
        <v>1</v>
      </c>
      <c r="D476">
        <v>4</v>
      </c>
      <c r="E476">
        <v>11.01</v>
      </c>
      <c r="F476" t="s">
        <v>435</v>
      </c>
      <c r="G476" t="s">
        <v>902</v>
      </c>
      <c r="H476" s="9" t="s">
        <v>1071</v>
      </c>
      <c r="I476">
        <f t="shared" si="27"/>
        <v>44.04</v>
      </c>
      <c r="J476">
        <f t="shared" si="29"/>
        <v>19.976207974800001</v>
      </c>
      <c r="K476">
        <v>6.7539999999999996</v>
      </c>
      <c r="L476">
        <f t="shared" si="30"/>
        <v>134.91930866179919</v>
      </c>
    </row>
    <row r="477" spans="1:12" x14ac:dyDescent="0.2">
      <c r="A477" s="4">
        <v>43343</v>
      </c>
      <c r="B477" s="6" t="s">
        <v>1074</v>
      </c>
      <c r="C477">
        <v>1</v>
      </c>
      <c r="D477" s="8">
        <v>1</v>
      </c>
      <c r="E477">
        <f>5*8.35*6</f>
        <v>250.5</v>
      </c>
      <c r="F477" t="s">
        <v>75</v>
      </c>
      <c r="G477" t="s">
        <v>193</v>
      </c>
      <c r="H477" s="8" t="s">
        <v>1071</v>
      </c>
      <c r="I477">
        <f t="shared" si="27"/>
        <v>250.5</v>
      </c>
      <c r="J477" s="8">
        <f t="shared" si="29"/>
        <v>113.624888685</v>
      </c>
      <c r="K477">
        <v>1.6639999999999999</v>
      </c>
      <c r="L477">
        <f t="shared" si="30"/>
        <v>189.07181477184</v>
      </c>
    </row>
    <row r="478" spans="1:12" x14ac:dyDescent="0.2">
      <c r="A478" s="4">
        <v>43346</v>
      </c>
      <c r="B478" s="6" t="s">
        <v>1074</v>
      </c>
      <c r="C478">
        <v>4</v>
      </c>
      <c r="D478" s="8">
        <v>1</v>
      </c>
      <c r="E478">
        <v>4.172698091</v>
      </c>
      <c r="F478" t="s">
        <v>151</v>
      </c>
      <c r="G478" t="s">
        <v>193</v>
      </c>
      <c r="H478" s="8" t="s">
        <v>1071</v>
      </c>
      <c r="I478">
        <f t="shared" si="27"/>
        <v>16.690792364</v>
      </c>
      <c r="J478" s="8">
        <f t="shared" si="29"/>
        <v>7.5708160655646637</v>
      </c>
      <c r="K478">
        <v>1.6639999999999999</v>
      </c>
      <c r="L478">
        <f t="shared" si="30"/>
        <v>12.5978379330996</v>
      </c>
    </row>
    <row r="479" spans="1:12" x14ac:dyDescent="0.2">
      <c r="A479" s="4">
        <v>43347</v>
      </c>
      <c r="B479" s="6" t="s">
        <v>1074</v>
      </c>
      <c r="C479">
        <v>2</v>
      </c>
      <c r="D479" s="8">
        <v>1</v>
      </c>
      <c r="E479">
        <v>4.172698091</v>
      </c>
      <c r="F479" t="s">
        <v>151</v>
      </c>
      <c r="G479" t="s">
        <v>193</v>
      </c>
      <c r="H479" s="8" t="s">
        <v>1071</v>
      </c>
      <c r="I479">
        <f t="shared" si="27"/>
        <v>8.345396182</v>
      </c>
      <c r="J479" s="8">
        <f t="shared" si="29"/>
        <v>3.7854080327823318</v>
      </c>
      <c r="K479">
        <v>1.6639999999999999</v>
      </c>
      <c r="L479">
        <f t="shared" si="30"/>
        <v>6.2989189665497998</v>
      </c>
    </row>
    <row r="480" spans="1:12" x14ac:dyDescent="0.2">
      <c r="A480" s="4">
        <v>43347</v>
      </c>
      <c r="B480" s="6" t="s">
        <v>1074</v>
      </c>
      <c r="C480">
        <v>6</v>
      </c>
      <c r="D480" s="8">
        <v>1</v>
      </c>
      <c r="E480">
        <v>4.172698091</v>
      </c>
      <c r="F480" t="s">
        <v>151</v>
      </c>
      <c r="G480" t="s">
        <v>193</v>
      </c>
      <c r="H480" s="8" t="s">
        <v>1071</v>
      </c>
      <c r="I480">
        <f t="shared" si="27"/>
        <v>25.036188545999998</v>
      </c>
      <c r="J480" s="8">
        <f t="shared" si="29"/>
        <v>11.356224098346994</v>
      </c>
      <c r="K480">
        <v>1.6639999999999999</v>
      </c>
      <c r="L480">
        <f t="shared" si="30"/>
        <v>18.896756899649397</v>
      </c>
    </row>
    <row r="481" spans="1:12" x14ac:dyDescent="0.2">
      <c r="A481" s="4">
        <v>43344</v>
      </c>
      <c r="B481" s="6" t="s">
        <v>1074</v>
      </c>
      <c r="C481">
        <v>4</v>
      </c>
      <c r="D481" s="8">
        <v>1</v>
      </c>
      <c r="E481">
        <v>10</v>
      </c>
      <c r="F481" t="s">
        <v>1028</v>
      </c>
      <c r="G481" t="s">
        <v>194</v>
      </c>
      <c r="H481" s="8" t="s">
        <v>1071</v>
      </c>
      <c r="I481">
        <f t="shared" si="27"/>
        <v>40</v>
      </c>
      <c r="J481" s="8">
        <f t="shared" si="29"/>
        <v>18.143694800000002</v>
      </c>
      <c r="K481">
        <v>0.47</v>
      </c>
      <c r="L481">
        <f t="shared" si="30"/>
        <v>8.5275365560000012</v>
      </c>
    </row>
    <row r="482" spans="1:12" x14ac:dyDescent="0.2">
      <c r="A482" s="4">
        <v>43343</v>
      </c>
      <c r="B482" s="6" t="s">
        <v>1074</v>
      </c>
      <c r="C482">
        <v>1</v>
      </c>
      <c r="D482" s="8">
        <v>1</v>
      </c>
      <c r="E482">
        <f>5*4</f>
        <v>20</v>
      </c>
      <c r="F482" t="s">
        <v>70</v>
      </c>
      <c r="G482" t="s">
        <v>194</v>
      </c>
      <c r="H482" s="8" t="s">
        <v>1071</v>
      </c>
      <c r="I482">
        <f t="shared" si="27"/>
        <v>20</v>
      </c>
      <c r="J482" s="8">
        <f t="shared" si="29"/>
        <v>9.0718474000000011</v>
      </c>
      <c r="K482">
        <v>0.47</v>
      </c>
      <c r="L482">
        <f t="shared" si="30"/>
        <v>4.2637682780000006</v>
      </c>
    </row>
    <row r="483" spans="1:12" x14ac:dyDescent="0.2">
      <c r="A483" s="4">
        <v>43343</v>
      </c>
      <c r="B483" s="6" t="s">
        <v>1074</v>
      </c>
      <c r="C483">
        <v>1</v>
      </c>
      <c r="D483" s="8">
        <v>1</v>
      </c>
      <c r="E483">
        <f>23*2</f>
        <v>46</v>
      </c>
      <c r="F483" t="s">
        <v>76</v>
      </c>
      <c r="G483" t="s">
        <v>194</v>
      </c>
      <c r="H483" s="8" t="s">
        <v>1071</v>
      </c>
      <c r="I483">
        <f t="shared" si="27"/>
        <v>46</v>
      </c>
      <c r="J483" s="8">
        <f t="shared" si="29"/>
        <v>20.86524902</v>
      </c>
      <c r="K483">
        <v>0.47</v>
      </c>
      <c r="L483">
        <f t="shared" si="30"/>
        <v>9.8066670393999988</v>
      </c>
    </row>
    <row r="484" spans="1:12" x14ac:dyDescent="0.2">
      <c r="A484" s="4">
        <v>43343</v>
      </c>
      <c r="B484" s="6" t="s">
        <v>1074</v>
      </c>
      <c r="C484">
        <v>1</v>
      </c>
      <c r="D484" s="8">
        <v>1</v>
      </c>
      <c r="E484">
        <f>12*6</f>
        <v>72</v>
      </c>
      <c r="F484" t="s">
        <v>77</v>
      </c>
      <c r="G484" t="s">
        <v>194</v>
      </c>
      <c r="H484" s="8" t="s">
        <v>1071</v>
      </c>
      <c r="I484">
        <f t="shared" si="27"/>
        <v>72</v>
      </c>
      <c r="J484" s="8">
        <f t="shared" si="29"/>
        <v>32.658650639999998</v>
      </c>
      <c r="K484">
        <v>0.47</v>
      </c>
      <c r="L484">
        <f t="shared" si="30"/>
        <v>15.349565800799999</v>
      </c>
    </row>
    <row r="485" spans="1:12" x14ac:dyDescent="0.2">
      <c r="A485" s="4">
        <v>43344</v>
      </c>
      <c r="B485" s="6" t="s">
        <v>1074</v>
      </c>
      <c r="C485">
        <v>10</v>
      </c>
      <c r="D485" s="8">
        <v>1</v>
      </c>
      <c r="E485">
        <v>10</v>
      </c>
      <c r="F485" t="s">
        <v>114</v>
      </c>
      <c r="G485" t="s">
        <v>194</v>
      </c>
      <c r="H485" s="8" t="s">
        <v>1071</v>
      </c>
      <c r="I485">
        <f t="shared" si="27"/>
        <v>100</v>
      </c>
      <c r="J485" s="8">
        <f t="shared" si="29"/>
        <v>45.359237</v>
      </c>
      <c r="K485">
        <v>0.47</v>
      </c>
      <c r="L485">
        <f t="shared" si="30"/>
        <v>21.318841389999999</v>
      </c>
    </row>
    <row r="486" spans="1:12" x14ac:dyDescent="0.2">
      <c r="A486" s="4">
        <v>43346</v>
      </c>
      <c r="B486" s="6" t="s">
        <v>1074</v>
      </c>
      <c r="C486">
        <v>1</v>
      </c>
      <c r="D486" s="8">
        <v>1</v>
      </c>
      <c r="E486">
        <v>23</v>
      </c>
      <c r="F486" t="s">
        <v>152</v>
      </c>
      <c r="G486" t="s">
        <v>194</v>
      </c>
      <c r="H486" s="8" t="s">
        <v>1071</v>
      </c>
      <c r="I486">
        <f t="shared" si="27"/>
        <v>23</v>
      </c>
      <c r="J486" s="8">
        <f t="shared" si="29"/>
        <v>10.43262451</v>
      </c>
      <c r="K486">
        <v>0.47</v>
      </c>
      <c r="L486">
        <f t="shared" si="30"/>
        <v>4.9033335196999994</v>
      </c>
    </row>
    <row r="487" spans="1:12" x14ac:dyDescent="0.2">
      <c r="A487" s="4">
        <v>43346</v>
      </c>
      <c r="B487" s="6" t="s">
        <v>1074</v>
      </c>
      <c r="C487">
        <v>6</v>
      </c>
      <c r="D487" s="8">
        <v>1</v>
      </c>
      <c r="E487">
        <v>10</v>
      </c>
      <c r="F487" t="s">
        <v>153</v>
      </c>
      <c r="G487" t="s">
        <v>194</v>
      </c>
      <c r="H487" s="8" t="s">
        <v>1071</v>
      </c>
      <c r="I487">
        <f t="shared" si="27"/>
        <v>60</v>
      </c>
      <c r="J487" s="8">
        <f t="shared" si="29"/>
        <v>27.215542200000002</v>
      </c>
      <c r="K487">
        <v>0.47</v>
      </c>
      <c r="L487">
        <f t="shared" si="30"/>
        <v>12.791304834</v>
      </c>
    </row>
    <row r="488" spans="1:12" x14ac:dyDescent="0.2">
      <c r="A488" s="4">
        <v>43347</v>
      </c>
      <c r="B488" s="6" t="s">
        <v>1074</v>
      </c>
      <c r="C488">
        <v>6</v>
      </c>
      <c r="D488" s="8">
        <v>1</v>
      </c>
      <c r="E488">
        <v>10</v>
      </c>
      <c r="F488" t="s">
        <v>154</v>
      </c>
      <c r="G488" t="s">
        <v>194</v>
      </c>
      <c r="H488" s="8" t="s">
        <v>1071</v>
      </c>
      <c r="I488">
        <f t="shared" si="27"/>
        <v>60</v>
      </c>
      <c r="J488" s="8">
        <f t="shared" si="29"/>
        <v>27.215542200000002</v>
      </c>
      <c r="K488">
        <v>0.47</v>
      </c>
      <c r="L488">
        <f t="shared" si="30"/>
        <v>12.791304834</v>
      </c>
    </row>
    <row r="489" spans="1:12" x14ac:dyDescent="0.2">
      <c r="A489" s="4">
        <v>43347</v>
      </c>
      <c r="B489" s="6" t="s">
        <v>1074</v>
      </c>
      <c r="C489">
        <v>2</v>
      </c>
      <c r="D489" s="8">
        <v>1</v>
      </c>
      <c r="E489">
        <v>25</v>
      </c>
      <c r="F489" t="s">
        <v>1036</v>
      </c>
      <c r="G489" t="s">
        <v>194</v>
      </c>
      <c r="H489" s="8" t="s">
        <v>1071</v>
      </c>
      <c r="I489">
        <f t="shared" si="27"/>
        <v>50</v>
      </c>
      <c r="J489" s="8">
        <f t="shared" si="29"/>
        <v>22.6796185</v>
      </c>
      <c r="K489">
        <v>0.47</v>
      </c>
      <c r="L489">
        <f t="shared" si="30"/>
        <v>10.659420695</v>
      </c>
    </row>
    <row r="490" spans="1:12" x14ac:dyDescent="0.2">
      <c r="A490" s="4">
        <v>43347</v>
      </c>
      <c r="B490" s="6" t="s">
        <v>1074</v>
      </c>
      <c r="C490">
        <v>2</v>
      </c>
      <c r="D490" s="8">
        <v>1</v>
      </c>
      <c r="E490">
        <v>10</v>
      </c>
      <c r="F490" t="s">
        <v>1037</v>
      </c>
      <c r="G490" t="s">
        <v>194</v>
      </c>
      <c r="H490" s="8" t="s">
        <v>1071</v>
      </c>
      <c r="I490">
        <f t="shared" si="27"/>
        <v>20</v>
      </c>
      <c r="J490" s="8">
        <f t="shared" si="29"/>
        <v>9.0718474000000011</v>
      </c>
      <c r="K490">
        <v>0.47</v>
      </c>
      <c r="L490">
        <f t="shared" si="30"/>
        <v>4.2637682780000006</v>
      </c>
    </row>
    <row r="491" spans="1:12" x14ac:dyDescent="0.2">
      <c r="A491" s="4">
        <v>43347</v>
      </c>
      <c r="B491" s="6" t="s">
        <v>1074</v>
      </c>
      <c r="C491">
        <v>1</v>
      </c>
      <c r="D491" s="8">
        <v>1</v>
      </c>
      <c r="E491">
        <v>23</v>
      </c>
      <c r="F491" t="s">
        <v>152</v>
      </c>
      <c r="G491" t="s">
        <v>194</v>
      </c>
      <c r="H491" s="8" t="s">
        <v>1071</v>
      </c>
      <c r="I491">
        <f t="shared" si="27"/>
        <v>23</v>
      </c>
      <c r="J491" s="8">
        <f t="shared" si="29"/>
        <v>10.43262451</v>
      </c>
      <c r="K491">
        <v>0.47</v>
      </c>
      <c r="L491">
        <f t="shared" si="30"/>
        <v>4.9033335196999994</v>
      </c>
    </row>
    <row r="492" spans="1:12" x14ac:dyDescent="0.2">
      <c r="A492" s="4">
        <v>43347</v>
      </c>
      <c r="B492" s="6" t="s">
        <v>1074</v>
      </c>
      <c r="C492">
        <v>8</v>
      </c>
      <c r="D492" s="8">
        <v>1</v>
      </c>
      <c r="E492">
        <v>10</v>
      </c>
      <c r="F492" t="s">
        <v>154</v>
      </c>
      <c r="G492" t="s">
        <v>194</v>
      </c>
      <c r="H492" s="8" t="s">
        <v>1071</v>
      </c>
      <c r="I492">
        <f t="shared" si="27"/>
        <v>80</v>
      </c>
      <c r="J492" s="8">
        <f t="shared" si="29"/>
        <v>36.287389600000004</v>
      </c>
      <c r="K492">
        <v>0.47</v>
      </c>
      <c r="L492">
        <f t="shared" si="30"/>
        <v>17.055073112000002</v>
      </c>
    </row>
    <row r="493" spans="1:12" x14ac:dyDescent="0.2">
      <c r="A493" s="4">
        <v>43348</v>
      </c>
      <c r="B493" s="6" t="s">
        <v>1074</v>
      </c>
      <c r="C493">
        <v>4</v>
      </c>
      <c r="D493" s="8">
        <v>1</v>
      </c>
      <c r="E493">
        <v>10</v>
      </c>
      <c r="F493" t="s">
        <v>77</v>
      </c>
      <c r="G493" t="s">
        <v>194</v>
      </c>
      <c r="H493" s="8" t="s">
        <v>1071</v>
      </c>
      <c r="I493">
        <f t="shared" si="27"/>
        <v>40</v>
      </c>
      <c r="J493" s="8">
        <f t="shared" si="29"/>
        <v>18.143694800000002</v>
      </c>
      <c r="K493">
        <v>0.47</v>
      </c>
      <c r="L493">
        <f t="shared" si="30"/>
        <v>8.5275365560000012</v>
      </c>
    </row>
    <row r="494" spans="1:12" x14ac:dyDescent="0.2">
      <c r="A494" s="4">
        <v>43349</v>
      </c>
      <c r="B494" s="6" t="s">
        <v>1074</v>
      </c>
      <c r="C494">
        <v>6</v>
      </c>
      <c r="D494" s="8">
        <v>1</v>
      </c>
      <c r="E494">
        <v>10</v>
      </c>
      <c r="F494" t="s">
        <v>77</v>
      </c>
      <c r="G494" t="s">
        <v>194</v>
      </c>
      <c r="H494" s="8" t="s">
        <v>1071</v>
      </c>
      <c r="I494">
        <f t="shared" si="27"/>
        <v>60</v>
      </c>
      <c r="J494" s="8">
        <f t="shared" si="29"/>
        <v>27.215542200000002</v>
      </c>
      <c r="K494">
        <v>0.47</v>
      </c>
      <c r="L494">
        <f t="shared" si="30"/>
        <v>12.791304834</v>
      </c>
    </row>
    <row r="495" spans="1:12" x14ac:dyDescent="0.2">
      <c r="A495" s="4">
        <v>43434</v>
      </c>
      <c r="B495" t="s">
        <v>538</v>
      </c>
      <c r="C495">
        <v>4</v>
      </c>
      <c r="D495">
        <v>6</v>
      </c>
      <c r="E495">
        <v>10</v>
      </c>
      <c r="F495" t="s">
        <v>544</v>
      </c>
      <c r="G495" t="s">
        <v>857</v>
      </c>
      <c r="H495" s="9" t="s">
        <v>1071</v>
      </c>
      <c r="I495">
        <f t="shared" si="27"/>
        <v>240</v>
      </c>
      <c r="J495">
        <f t="shared" si="29"/>
        <v>108.86216880000001</v>
      </c>
      <c r="K495">
        <v>0.47</v>
      </c>
      <c r="L495">
        <f t="shared" si="30"/>
        <v>51.165219336</v>
      </c>
    </row>
    <row r="496" spans="1:12" x14ac:dyDescent="0.2">
      <c r="A496" s="4">
        <v>43434</v>
      </c>
      <c r="B496" t="s">
        <v>538</v>
      </c>
      <c r="C496">
        <v>4</v>
      </c>
      <c r="D496">
        <v>6</v>
      </c>
      <c r="E496">
        <v>10</v>
      </c>
      <c r="F496" t="s">
        <v>432</v>
      </c>
      <c r="G496" t="s">
        <v>857</v>
      </c>
      <c r="H496" s="9" t="s">
        <v>1071</v>
      </c>
      <c r="I496">
        <f t="shared" si="27"/>
        <v>240</v>
      </c>
      <c r="J496">
        <f t="shared" si="29"/>
        <v>108.86216880000001</v>
      </c>
      <c r="K496">
        <v>0.47</v>
      </c>
      <c r="L496">
        <f t="shared" si="30"/>
        <v>51.165219336</v>
      </c>
    </row>
    <row r="497" spans="1:12" x14ac:dyDescent="0.2">
      <c r="A497" s="4">
        <v>43434</v>
      </c>
      <c r="B497" t="s">
        <v>538</v>
      </c>
      <c r="C497">
        <v>8</v>
      </c>
      <c r="D497">
        <v>6</v>
      </c>
      <c r="E497">
        <v>10</v>
      </c>
      <c r="F497" t="s">
        <v>546</v>
      </c>
      <c r="G497" t="s">
        <v>857</v>
      </c>
      <c r="H497" s="9" t="s">
        <v>1071</v>
      </c>
      <c r="I497">
        <f t="shared" si="27"/>
        <v>480</v>
      </c>
      <c r="J497">
        <f t="shared" si="29"/>
        <v>217.72433760000001</v>
      </c>
      <c r="K497">
        <v>0.47</v>
      </c>
      <c r="L497">
        <f t="shared" si="30"/>
        <v>102.330438672</v>
      </c>
    </row>
    <row r="498" spans="1:12" x14ac:dyDescent="0.2">
      <c r="A498" s="4">
        <v>43437</v>
      </c>
      <c r="B498" t="s">
        <v>538</v>
      </c>
      <c r="C498">
        <v>2</v>
      </c>
      <c r="D498">
        <v>6</v>
      </c>
      <c r="E498">
        <v>10</v>
      </c>
      <c r="F498" t="s">
        <v>432</v>
      </c>
      <c r="G498" t="s">
        <v>857</v>
      </c>
      <c r="H498" s="9" t="s">
        <v>1071</v>
      </c>
      <c r="I498">
        <f t="shared" si="27"/>
        <v>120</v>
      </c>
      <c r="J498">
        <f t="shared" si="29"/>
        <v>54.431084400000003</v>
      </c>
      <c r="K498">
        <v>0.47</v>
      </c>
      <c r="L498">
        <f t="shared" si="30"/>
        <v>25.582609668</v>
      </c>
    </row>
    <row r="499" spans="1:12" x14ac:dyDescent="0.2">
      <c r="A499" s="4">
        <v>43439</v>
      </c>
      <c r="B499" t="s">
        <v>538</v>
      </c>
      <c r="C499">
        <v>6</v>
      </c>
      <c r="D499">
        <v>6</v>
      </c>
      <c r="E499">
        <v>10</v>
      </c>
      <c r="F499" t="s">
        <v>432</v>
      </c>
      <c r="G499" t="s">
        <v>857</v>
      </c>
      <c r="H499" s="9" t="s">
        <v>1071</v>
      </c>
      <c r="I499">
        <f t="shared" si="27"/>
        <v>360</v>
      </c>
      <c r="J499">
        <f t="shared" si="29"/>
        <v>163.29325320000001</v>
      </c>
      <c r="K499">
        <v>0.47</v>
      </c>
      <c r="L499">
        <f t="shared" si="30"/>
        <v>76.747829003999996</v>
      </c>
    </row>
    <row r="500" spans="1:12" x14ac:dyDescent="0.2">
      <c r="A500" s="4">
        <v>43439</v>
      </c>
      <c r="B500" t="s">
        <v>538</v>
      </c>
      <c r="C500">
        <v>1</v>
      </c>
      <c r="D500">
        <v>6</v>
      </c>
      <c r="E500">
        <v>10</v>
      </c>
      <c r="F500" t="s">
        <v>546</v>
      </c>
      <c r="G500" t="s">
        <v>857</v>
      </c>
      <c r="H500" s="9" t="s">
        <v>1071</v>
      </c>
      <c r="I500">
        <f t="shared" si="27"/>
        <v>60</v>
      </c>
      <c r="J500">
        <f t="shared" si="29"/>
        <v>27.215542200000002</v>
      </c>
      <c r="K500">
        <v>0.47</v>
      </c>
      <c r="L500">
        <f t="shared" si="30"/>
        <v>12.791304834</v>
      </c>
    </row>
    <row r="501" spans="1:12" x14ac:dyDescent="0.2">
      <c r="A501" s="4">
        <v>43437</v>
      </c>
      <c r="B501" t="s">
        <v>538</v>
      </c>
      <c r="C501">
        <v>1</v>
      </c>
      <c r="D501">
        <v>6</v>
      </c>
      <c r="E501">
        <v>10</v>
      </c>
      <c r="F501" t="s">
        <v>574</v>
      </c>
      <c r="G501" s="6" t="s">
        <v>917</v>
      </c>
      <c r="H501" s="9" t="s">
        <v>1071</v>
      </c>
      <c r="I501">
        <f t="shared" si="27"/>
        <v>60</v>
      </c>
      <c r="J501">
        <f t="shared" si="29"/>
        <v>27.215542200000002</v>
      </c>
      <c r="K501">
        <v>0.11799999999999999</v>
      </c>
      <c r="L501">
        <f t="shared" si="30"/>
        <v>3.2114339796000002</v>
      </c>
    </row>
    <row r="502" spans="1:12" x14ac:dyDescent="0.2">
      <c r="A502" s="4">
        <v>43434</v>
      </c>
      <c r="B502" t="s">
        <v>531</v>
      </c>
      <c r="C502">
        <v>2</v>
      </c>
      <c r="D502">
        <v>12</v>
      </c>
      <c r="E502">
        <f>60*0.0661387</f>
        <v>3.9683219999999997</v>
      </c>
      <c r="F502" t="s">
        <v>534</v>
      </c>
      <c r="G502" s="6" t="s">
        <v>892</v>
      </c>
      <c r="H502" s="9" t="s">
        <v>1071</v>
      </c>
      <c r="I502">
        <f t="shared" ref="I502:I565" si="31">C502*D502*E502</f>
        <v>95.239727999999985</v>
      </c>
      <c r="J502">
        <f t="shared" si="29"/>
        <v>43.200013941675351</v>
      </c>
      <c r="K502">
        <v>1.28</v>
      </c>
      <c r="L502">
        <f t="shared" si="30"/>
        <v>55.296017845344451</v>
      </c>
    </row>
    <row r="503" spans="1:12" x14ac:dyDescent="0.2">
      <c r="A503" s="4">
        <v>43434</v>
      </c>
      <c r="B503" t="s">
        <v>531</v>
      </c>
      <c r="C503">
        <v>2</v>
      </c>
      <c r="D503">
        <v>6</v>
      </c>
      <c r="E503">
        <f>12*0.0661387</f>
        <v>0.79366439999999994</v>
      </c>
      <c r="F503" t="s">
        <v>414</v>
      </c>
      <c r="G503" s="6" t="s">
        <v>894</v>
      </c>
      <c r="H503" s="9" t="s">
        <v>1071</v>
      </c>
      <c r="I503">
        <f t="shared" si="31"/>
        <v>9.5239727999999992</v>
      </c>
      <c r="J503">
        <f t="shared" si="29"/>
        <v>4.3200013941675364</v>
      </c>
      <c r="K503">
        <v>1.28</v>
      </c>
      <c r="L503">
        <f t="shared" si="30"/>
        <v>5.5296017845344467</v>
      </c>
    </row>
    <row r="504" spans="1:12" x14ac:dyDescent="0.2">
      <c r="A504" s="4">
        <v>43434</v>
      </c>
      <c r="B504" t="s">
        <v>531</v>
      </c>
      <c r="C504">
        <v>2</v>
      </c>
      <c r="D504">
        <v>6</v>
      </c>
      <c r="E504">
        <f>12*0.0661387</f>
        <v>0.79366439999999994</v>
      </c>
      <c r="F504" t="s">
        <v>415</v>
      </c>
      <c r="G504" s="6" t="s">
        <v>894</v>
      </c>
      <c r="H504" s="9" t="s">
        <v>1071</v>
      </c>
      <c r="I504">
        <f t="shared" si="31"/>
        <v>9.5239727999999992</v>
      </c>
      <c r="J504">
        <f t="shared" si="29"/>
        <v>4.3200013941675364</v>
      </c>
      <c r="K504">
        <v>1.28</v>
      </c>
      <c r="L504">
        <f t="shared" si="30"/>
        <v>5.5296017845344467</v>
      </c>
    </row>
    <row r="505" spans="1:12" x14ac:dyDescent="0.2">
      <c r="A505" s="4">
        <v>43437</v>
      </c>
      <c r="B505" t="s">
        <v>531</v>
      </c>
      <c r="C505">
        <v>1</v>
      </c>
      <c r="D505">
        <v>24</v>
      </c>
      <c r="E505">
        <f>12*0.0661387</f>
        <v>0.79366439999999994</v>
      </c>
      <c r="F505" t="s">
        <v>408</v>
      </c>
      <c r="G505" s="6" t="s">
        <v>913</v>
      </c>
      <c r="H505" s="9" t="s">
        <v>1071</v>
      </c>
      <c r="I505">
        <f t="shared" si="31"/>
        <v>19.047945599999998</v>
      </c>
      <c r="J505">
        <f t="shared" si="29"/>
        <v>8.6400027883350727</v>
      </c>
      <c r="K505">
        <v>1.28</v>
      </c>
      <c r="L505">
        <f t="shared" si="30"/>
        <v>11.059203569068893</v>
      </c>
    </row>
    <row r="506" spans="1:12" x14ac:dyDescent="0.2">
      <c r="A506" s="4">
        <v>43437</v>
      </c>
      <c r="B506" t="s">
        <v>531</v>
      </c>
      <c r="C506">
        <v>1</v>
      </c>
      <c r="D506">
        <v>6</v>
      </c>
      <c r="E506">
        <f>12*0.0661387</f>
        <v>0.79366439999999994</v>
      </c>
      <c r="F506" t="s">
        <v>415</v>
      </c>
      <c r="G506" s="6" t="s">
        <v>913</v>
      </c>
      <c r="H506" s="9" t="s">
        <v>1071</v>
      </c>
      <c r="I506">
        <f t="shared" si="31"/>
        <v>4.7619863999999996</v>
      </c>
      <c r="J506">
        <f t="shared" si="29"/>
        <v>2.1600006970837682</v>
      </c>
      <c r="K506">
        <v>1.28</v>
      </c>
      <c r="L506">
        <f t="shared" si="30"/>
        <v>2.7648008922672234</v>
      </c>
    </row>
    <row r="507" spans="1:12" x14ac:dyDescent="0.2">
      <c r="A507" s="4">
        <v>43434</v>
      </c>
      <c r="B507" t="s">
        <v>538</v>
      </c>
      <c r="C507">
        <v>1</v>
      </c>
      <c r="D507">
        <v>6</v>
      </c>
      <c r="E507">
        <f>66.5/16</f>
        <v>4.15625</v>
      </c>
      <c r="F507" t="s">
        <v>427</v>
      </c>
      <c r="G507" t="s">
        <v>862</v>
      </c>
      <c r="H507" s="9" t="s">
        <v>1072</v>
      </c>
      <c r="I507">
        <f t="shared" si="31"/>
        <v>24.9375</v>
      </c>
      <c r="J507">
        <f t="shared" si="29"/>
        <v>11.311459726875</v>
      </c>
      <c r="K507">
        <v>2.1480000000000001</v>
      </c>
      <c r="L507">
        <f t="shared" si="30"/>
        <v>24.297015493327503</v>
      </c>
    </row>
    <row r="508" spans="1:12" x14ac:dyDescent="0.2">
      <c r="A508" s="4">
        <v>43437</v>
      </c>
      <c r="B508" t="s">
        <v>538</v>
      </c>
      <c r="C508">
        <v>1</v>
      </c>
      <c r="D508">
        <v>6</v>
      </c>
      <c r="E508">
        <f>66.5/16</f>
        <v>4.15625</v>
      </c>
      <c r="F508" t="s">
        <v>427</v>
      </c>
      <c r="G508" t="s">
        <v>862</v>
      </c>
      <c r="H508" s="9" t="s">
        <v>1072</v>
      </c>
      <c r="I508">
        <f t="shared" si="31"/>
        <v>24.9375</v>
      </c>
      <c r="J508">
        <f t="shared" si="29"/>
        <v>11.311459726875</v>
      </c>
      <c r="K508">
        <v>2.1480000000000001</v>
      </c>
      <c r="L508">
        <f t="shared" si="30"/>
        <v>24.297015493327503</v>
      </c>
    </row>
    <row r="509" spans="1:12" x14ac:dyDescent="0.2">
      <c r="A509" s="4">
        <v>43434</v>
      </c>
      <c r="B509" t="s">
        <v>530</v>
      </c>
      <c r="C509">
        <v>1</v>
      </c>
      <c r="D509">
        <v>1</v>
      </c>
      <c r="E509">
        <v>72.5</v>
      </c>
      <c r="F509" t="s">
        <v>400</v>
      </c>
      <c r="G509" t="s">
        <v>852</v>
      </c>
      <c r="H509" s="9" t="s">
        <v>1072</v>
      </c>
      <c r="I509">
        <f t="shared" si="31"/>
        <v>72.5</v>
      </c>
      <c r="J509">
        <f t="shared" si="29"/>
        <v>32.885446825000002</v>
      </c>
      <c r="K509">
        <v>2.5710000000000002</v>
      </c>
      <c r="L509">
        <f t="shared" si="30"/>
        <v>84.548483787075014</v>
      </c>
    </row>
    <row r="510" spans="1:12" x14ac:dyDescent="0.2">
      <c r="A510" s="4">
        <v>43437</v>
      </c>
      <c r="B510" t="s">
        <v>530</v>
      </c>
      <c r="C510">
        <v>1</v>
      </c>
      <c r="D510">
        <v>1</v>
      </c>
      <c r="E510">
        <v>124.53</v>
      </c>
      <c r="F510" t="s">
        <v>568</v>
      </c>
      <c r="G510" t="s">
        <v>852</v>
      </c>
      <c r="H510" s="9" t="s">
        <v>1072</v>
      </c>
      <c r="I510">
        <f t="shared" si="31"/>
        <v>124.53</v>
      </c>
      <c r="J510">
        <f t="shared" si="29"/>
        <v>56.485857836100003</v>
      </c>
      <c r="K510">
        <v>2.5710000000000002</v>
      </c>
      <c r="L510">
        <f t="shared" si="30"/>
        <v>145.22514049661311</v>
      </c>
    </row>
    <row r="511" spans="1:12" x14ac:dyDescent="0.2">
      <c r="A511" s="4">
        <v>43437</v>
      </c>
      <c r="B511" t="s">
        <v>530</v>
      </c>
      <c r="C511">
        <v>4</v>
      </c>
      <c r="D511">
        <v>160</v>
      </c>
      <c r="E511">
        <f>1/16</f>
        <v>6.25E-2</v>
      </c>
      <c r="F511" t="s">
        <v>569</v>
      </c>
      <c r="G511" t="s">
        <v>852</v>
      </c>
      <c r="H511" s="9" t="s">
        <v>1072</v>
      </c>
      <c r="I511">
        <f t="shared" si="31"/>
        <v>40</v>
      </c>
      <c r="J511">
        <f t="shared" si="29"/>
        <v>18.143694800000002</v>
      </c>
      <c r="K511">
        <v>2.5710000000000002</v>
      </c>
      <c r="L511">
        <f t="shared" si="30"/>
        <v>46.647439330800012</v>
      </c>
    </row>
    <row r="512" spans="1:12" x14ac:dyDescent="0.2">
      <c r="A512" s="4">
        <v>43437</v>
      </c>
      <c r="B512" t="s">
        <v>530</v>
      </c>
      <c r="C512">
        <v>4</v>
      </c>
      <c r="D512">
        <v>2</v>
      </c>
      <c r="E512">
        <v>6</v>
      </c>
      <c r="F512" t="s">
        <v>402</v>
      </c>
      <c r="G512" t="s">
        <v>912</v>
      </c>
      <c r="H512" s="9" t="s">
        <v>1072</v>
      </c>
      <c r="I512">
        <f t="shared" si="31"/>
        <v>48</v>
      </c>
      <c r="J512">
        <f t="shared" si="29"/>
        <v>21.772433760000002</v>
      </c>
      <c r="K512">
        <v>2.5710000000000002</v>
      </c>
      <c r="L512">
        <f t="shared" si="30"/>
        <v>55.976927196960006</v>
      </c>
    </row>
    <row r="513" spans="1:12" x14ac:dyDescent="0.2">
      <c r="A513" s="4">
        <v>43439</v>
      </c>
      <c r="B513" t="s">
        <v>530</v>
      </c>
      <c r="C513">
        <v>3</v>
      </c>
      <c r="D513">
        <v>160</v>
      </c>
      <c r="E513">
        <f>1/16</f>
        <v>6.25E-2</v>
      </c>
      <c r="F513" t="s">
        <v>569</v>
      </c>
      <c r="G513" t="s">
        <v>852</v>
      </c>
      <c r="H513" s="9" t="s">
        <v>1072</v>
      </c>
      <c r="I513">
        <f t="shared" si="31"/>
        <v>30</v>
      </c>
      <c r="J513">
        <f t="shared" si="29"/>
        <v>13.607771100000001</v>
      </c>
      <c r="K513">
        <v>2.5710000000000002</v>
      </c>
      <c r="L513">
        <f t="shared" si="30"/>
        <v>34.985579498100002</v>
      </c>
    </row>
    <row r="514" spans="1:12" x14ac:dyDescent="0.2">
      <c r="A514" s="4">
        <v>43434</v>
      </c>
      <c r="B514" t="s">
        <v>538</v>
      </c>
      <c r="C514">
        <v>1</v>
      </c>
      <c r="D514">
        <v>4</v>
      </c>
      <c r="E514">
        <v>8.41</v>
      </c>
      <c r="F514" t="s">
        <v>558</v>
      </c>
      <c r="G514" t="s">
        <v>872</v>
      </c>
      <c r="H514" s="9" t="s">
        <v>1071</v>
      </c>
      <c r="I514">
        <f t="shared" si="31"/>
        <v>33.64</v>
      </c>
      <c r="J514">
        <f t="shared" si="29"/>
        <v>15.258847326800002</v>
      </c>
      <c r="K514">
        <v>0.34</v>
      </c>
      <c r="L514">
        <f t="shared" si="30"/>
        <v>5.1880080911120006</v>
      </c>
    </row>
    <row r="515" spans="1:12" x14ac:dyDescent="0.2">
      <c r="A515" s="4">
        <v>43437</v>
      </c>
      <c r="B515" t="s">
        <v>538</v>
      </c>
      <c r="C515">
        <v>1</v>
      </c>
      <c r="D515">
        <v>2</v>
      </c>
      <c r="E515" s="6">
        <f>5*2.39</f>
        <v>11.950000000000001</v>
      </c>
      <c r="F515" t="s">
        <v>450</v>
      </c>
      <c r="G515" t="s">
        <v>872</v>
      </c>
      <c r="H515" s="9" t="s">
        <v>1071</v>
      </c>
      <c r="I515">
        <f t="shared" si="31"/>
        <v>23.900000000000002</v>
      </c>
      <c r="J515">
        <f t="shared" ref="J515:J578" si="32">CONVERT(I515,"lbm","kg")</f>
        <v>10.840857643000001</v>
      </c>
      <c r="K515">
        <v>0.34</v>
      </c>
      <c r="L515">
        <f t="shared" ref="L515:L578" si="33">J515*K515</f>
        <v>3.6858915986200009</v>
      </c>
    </row>
    <row r="516" spans="1:12" x14ac:dyDescent="0.2">
      <c r="A516" s="4">
        <v>43439</v>
      </c>
      <c r="B516" t="s">
        <v>538</v>
      </c>
      <c r="C516">
        <v>1</v>
      </c>
      <c r="D516">
        <v>4</v>
      </c>
      <c r="E516">
        <v>8.41</v>
      </c>
      <c r="F516" t="s">
        <v>596</v>
      </c>
      <c r="G516" t="s">
        <v>872</v>
      </c>
      <c r="H516" s="9" t="s">
        <v>1071</v>
      </c>
      <c r="I516">
        <f t="shared" si="31"/>
        <v>33.64</v>
      </c>
      <c r="J516">
        <f t="shared" si="32"/>
        <v>15.258847326800002</v>
      </c>
      <c r="K516">
        <v>0.34</v>
      </c>
      <c r="L516">
        <f t="shared" si="33"/>
        <v>5.1880080911120006</v>
      </c>
    </row>
    <row r="517" spans="1:12" x14ac:dyDescent="0.2">
      <c r="A517" s="4">
        <v>43437</v>
      </c>
      <c r="B517" t="s">
        <v>538</v>
      </c>
      <c r="C517">
        <v>1</v>
      </c>
      <c r="D517">
        <v>6</v>
      </c>
      <c r="E517">
        <v>2</v>
      </c>
      <c r="F517" t="s">
        <v>570</v>
      </c>
      <c r="G517" s="6" t="s">
        <v>985</v>
      </c>
      <c r="H517" s="9" t="s">
        <v>1071</v>
      </c>
      <c r="I517">
        <f t="shared" si="31"/>
        <v>12</v>
      </c>
      <c r="J517">
        <f t="shared" si="32"/>
        <v>5.4431084400000005</v>
      </c>
      <c r="K517">
        <v>0.34699999999999998</v>
      </c>
      <c r="L517">
        <f t="shared" si="33"/>
        <v>1.88875862868</v>
      </c>
    </row>
    <row r="518" spans="1:12" x14ac:dyDescent="0.2">
      <c r="A518" s="4">
        <v>43437</v>
      </c>
      <c r="B518" t="s">
        <v>538</v>
      </c>
      <c r="C518">
        <v>1</v>
      </c>
      <c r="D518">
        <v>4</v>
      </c>
      <c r="E518">
        <v>8.41</v>
      </c>
      <c r="F518" t="s">
        <v>576</v>
      </c>
      <c r="G518" t="s">
        <v>873</v>
      </c>
      <c r="H518" s="9" t="s">
        <v>1071</v>
      </c>
      <c r="I518">
        <f t="shared" si="31"/>
        <v>33.64</v>
      </c>
      <c r="J518">
        <f t="shared" si="32"/>
        <v>15.258847326800002</v>
      </c>
      <c r="K518">
        <v>0.78</v>
      </c>
      <c r="L518">
        <f t="shared" si="33"/>
        <v>11.901900914904001</v>
      </c>
    </row>
    <row r="519" spans="1:12" x14ac:dyDescent="0.2">
      <c r="A519" s="4">
        <v>43437</v>
      </c>
      <c r="B519" t="s">
        <v>538</v>
      </c>
      <c r="C519">
        <v>1</v>
      </c>
      <c r="D519">
        <v>4</v>
      </c>
      <c r="E519">
        <v>8.41</v>
      </c>
      <c r="F519" t="s">
        <v>578</v>
      </c>
      <c r="G519" t="s">
        <v>873</v>
      </c>
      <c r="H519" s="9" t="s">
        <v>1071</v>
      </c>
      <c r="I519">
        <f t="shared" si="31"/>
        <v>33.64</v>
      </c>
      <c r="J519">
        <f t="shared" si="32"/>
        <v>15.258847326800002</v>
      </c>
      <c r="K519">
        <v>0.78</v>
      </c>
      <c r="L519">
        <f t="shared" si="33"/>
        <v>11.901900914904001</v>
      </c>
    </row>
    <row r="520" spans="1:12" x14ac:dyDescent="0.2">
      <c r="A520" s="4">
        <v>43439</v>
      </c>
      <c r="B520" t="s">
        <v>538</v>
      </c>
      <c r="C520">
        <v>1</v>
      </c>
      <c r="D520">
        <v>8</v>
      </c>
      <c r="E520">
        <f>12*0.0661387</f>
        <v>0.79366439999999994</v>
      </c>
      <c r="F520" t="s">
        <v>599</v>
      </c>
      <c r="G520" s="6" t="s">
        <v>856</v>
      </c>
      <c r="H520" s="9" t="s">
        <v>1071</v>
      </c>
      <c r="I520">
        <f t="shared" si="31"/>
        <v>6.3493151999999995</v>
      </c>
      <c r="J520">
        <f t="shared" si="32"/>
        <v>2.8800009294450239</v>
      </c>
      <c r="K520">
        <v>1.28</v>
      </c>
      <c r="L520">
        <f t="shared" si="33"/>
        <v>3.6864011896896307</v>
      </c>
    </row>
    <row r="521" spans="1:12" x14ac:dyDescent="0.2">
      <c r="A521" s="4">
        <v>43439</v>
      </c>
      <c r="B521" t="s">
        <v>531</v>
      </c>
      <c r="C521">
        <v>1</v>
      </c>
      <c r="D521">
        <v>6</v>
      </c>
      <c r="E521">
        <f>12*0.0661387</f>
        <v>0.79366439999999994</v>
      </c>
      <c r="F521" t="s">
        <v>415</v>
      </c>
      <c r="G521" s="6" t="s">
        <v>856</v>
      </c>
      <c r="H521" s="9" t="s">
        <v>1071</v>
      </c>
      <c r="I521">
        <f t="shared" si="31"/>
        <v>4.7619863999999996</v>
      </c>
      <c r="J521">
        <f t="shared" si="32"/>
        <v>2.1600006970837682</v>
      </c>
      <c r="K521">
        <v>1.28</v>
      </c>
      <c r="L521">
        <f t="shared" si="33"/>
        <v>2.7648008922672234</v>
      </c>
    </row>
    <row r="522" spans="1:12" x14ac:dyDescent="0.2">
      <c r="A522" s="4">
        <v>43434</v>
      </c>
      <c r="B522" t="s">
        <v>538</v>
      </c>
      <c r="C522">
        <v>2</v>
      </c>
      <c r="D522">
        <v>12</v>
      </c>
      <c r="E522">
        <v>2</v>
      </c>
      <c r="F522" t="s">
        <v>557</v>
      </c>
      <c r="G522" s="14" t="s">
        <v>871</v>
      </c>
      <c r="H522" s="9" t="s">
        <v>1071</v>
      </c>
      <c r="I522">
        <f t="shared" si="31"/>
        <v>48</v>
      </c>
      <c r="J522">
        <f t="shared" si="32"/>
        <v>21.772433760000002</v>
      </c>
      <c r="L522">
        <f t="shared" si="33"/>
        <v>0</v>
      </c>
    </row>
    <row r="523" spans="1:12" x14ac:dyDescent="0.2">
      <c r="A523" s="4">
        <v>43434</v>
      </c>
      <c r="B523" t="s">
        <v>517</v>
      </c>
      <c r="C523">
        <v>10</v>
      </c>
      <c r="D523">
        <v>2</v>
      </c>
      <c r="E523">
        <v>6</v>
      </c>
      <c r="F523" t="s">
        <v>383</v>
      </c>
      <c r="G523" t="s">
        <v>846</v>
      </c>
      <c r="H523" s="9" t="s">
        <v>1073</v>
      </c>
      <c r="I523">
        <f t="shared" si="31"/>
        <v>120</v>
      </c>
      <c r="J523">
        <f t="shared" si="32"/>
        <v>54.431084400000003</v>
      </c>
      <c r="K523">
        <v>1.33</v>
      </c>
      <c r="L523">
        <f t="shared" si="33"/>
        <v>72.393342252000011</v>
      </c>
    </row>
    <row r="524" spans="1:12" x14ac:dyDescent="0.2">
      <c r="A524" s="4">
        <v>43434</v>
      </c>
      <c r="B524" t="s">
        <v>517</v>
      </c>
      <c r="C524">
        <v>10</v>
      </c>
      <c r="D524">
        <v>2</v>
      </c>
      <c r="E524">
        <v>6</v>
      </c>
      <c r="F524" t="s">
        <v>384</v>
      </c>
      <c r="G524" t="s">
        <v>846</v>
      </c>
      <c r="H524" s="9" t="s">
        <v>1073</v>
      </c>
      <c r="I524">
        <f t="shared" si="31"/>
        <v>120</v>
      </c>
      <c r="J524">
        <f t="shared" si="32"/>
        <v>54.431084400000003</v>
      </c>
      <c r="K524">
        <v>1.33</v>
      </c>
      <c r="L524">
        <f t="shared" si="33"/>
        <v>72.393342252000011</v>
      </c>
    </row>
    <row r="525" spans="1:12" ht="17" thickBot="1" x14ac:dyDescent="0.25">
      <c r="A525" s="26">
        <v>43439</v>
      </c>
      <c r="B525" s="12" t="s">
        <v>517</v>
      </c>
      <c r="C525" s="12">
        <v>2</v>
      </c>
      <c r="D525" s="12">
        <v>2</v>
      </c>
      <c r="E525" s="12">
        <v>6</v>
      </c>
      <c r="F525" s="12" t="s">
        <v>384</v>
      </c>
      <c r="G525" s="12" t="s">
        <v>846</v>
      </c>
      <c r="H525" s="63" t="s">
        <v>1073</v>
      </c>
      <c r="I525" s="12">
        <f t="shared" si="31"/>
        <v>24</v>
      </c>
      <c r="J525" s="12">
        <f t="shared" si="32"/>
        <v>10.886216880000001</v>
      </c>
      <c r="K525" s="12">
        <v>1.33</v>
      </c>
      <c r="L525" s="12">
        <f t="shared" si="33"/>
        <v>14.478668450400002</v>
      </c>
    </row>
    <row r="526" spans="1:12" x14ac:dyDescent="0.2">
      <c r="A526" s="10">
        <v>43434</v>
      </c>
      <c r="B526" s="8" t="s">
        <v>525</v>
      </c>
      <c r="C526" s="8">
        <v>2</v>
      </c>
      <c r="D526" s="8">
        <v>2</v>
      </c>
      <c r="E526">
        <v>5</v>
      </c>
      <c r="F526" t="s">
        <v>398</v>
      </c>
      <c r="G526" s="6" t="s">
        <v>890</v>
      </c>
      <c r="H526" s="6" t="s">
        <v>1072</v>
      </c>
      <c r="I526">
        <f t="shared" si="31"/>
        <v>20</v>
      </c>
      <c r="J526">
        <f t="shared" si="32"/>
        <v>9.0718474000000011</v>
      </c>
      <c r="K526">
        <f>(0.5*32.846)+(0.5*5.56)</f>
        <v>19.202999999999999</v>
      </c>
      <c r="L526">
        <f t="shared" si="33"/>
        <v>174.20668562220001</v>
      </c>
    </row>
    <row r="527" spans="1:12" x14ac:dyDescent="0.2">
      <c r="A527" s="4">
        <v>43439</v>
      </c>
      <c r="B527" t="s">
        <v>525</v>
      </c>
      <c r="C527">
        <v>1</v>
      </c>
      <c r="D527">
        <v>2</v>
      </c>
      <c r="E527">
        <v>5</v>
      </c>
      <c r="F527" t="s">
        <v>398</v>
      </c>
      <c r="G527" t="s">
        <v>890</v>
      </c>
      <c r="H527" t="s">
        <v>1072</v>
      </c>
      <c r="I527">
        <f t="shared" si="31"/>
        <v>10</v>
      </c>
      <c r="J527">
        <f t="shared" si="32"/>
        <v>4.5359237000000006</v>
      </c>
      <c r="K527">
        <f>(0.5*32.846)+(0.5*5.56)</f>
        <v>19.202999999999999</v>
      </c>
      <c r="L527">
        <f t="shared" si="33"/>
        <v>87.103342811100006</v>
      </c>
    </row>
    <row r="528" spans="1:12" x14ac:dyDescent="0.2">
      <c r="A528" s="10">
        <v>43371</v>
      </c>
      <c r="B528" s="8" t="s">
        <v>22</v>
      </c>
      <c r="C528">
        <v>1</v>
      </c>
      <c r="D528">
        <v>1</v>
      </c>
      <c r="E528" s="9">
        <v>100</v>
      </c>
      <c r="F528" s="9" t="s">
        <v>26</v>
      </c>
      <c r="G528" s="9" t="s">
        <v>767</v>
      </c>
      <c r="H528" s="8" t="s">
        <v>1067</v>
      </c>
      <c r="I528">
        <f t="shared" si="31"/>
        <v>100</v>
      </c>
      <c r="J528">
        <f t="shared" si="32"/>
        <v>45.359237</v>
      </c>
      <c r="K528">
        <v>0.22800000000000001</v>
      </c>
      <c r="L528" s="8">
        <f t="shared" si="33"/>
        <v>10.341906036000001</v>
      </c>
    </row>
    <row r="529" spans="1:12" x14ac:dyDescent="0.2">
      <c r="A529" s="10">
        <v>43371</v>
      </c>
      <c r="B529" s="8" t="s">
        <v>22</v>
      </c>
      <c r="C529">
        <v>1</v>
      </c>
      <c r="D529">
        <v>1</v>
      </c>
      <c r="E529" s="9">
        <v>160</v>
      </c>
      <c r="F529" s="9" t="s">
        <v>180</v>
      </c>
      <c r="G529" s="9" t="s">
        <v>767</v>
      </c>
      <c r="H529" s="8" t="s">
        <v>1067</v>
      </c>
      <c r="I529">
        <f t="shared" si="31"/>
        <v>160</v>
      </c>
      <c r="J529">
        <f t="shared" si="32"/>
        <v>72.574779200000009</v>
      </c>
      <c r="K529">
        <v>0.22800000000000001</v>
      </c>
      <c r="L529" s="8">
        <f t="shared" si="33"/>
        <v>16.547049657600002</v>
      </c>
    </row>
    <row r="530" spans="1:12" x14ac:dyDescent="0.2">
      <c r="A530" s="4">
        <v>43437</v>
      </c>
      <c r="B530" t="s">
        <v>538</v>
      </c>
      <c r="C530">
        <v>1</v>
      </c>
      <c r="D530">
        <v>6</v>
      </c>
      <c r="E530">
        <v>10</v>
      </c>
      <c r="F530" t="s">
        <v>577</v>
      </c>
      <c r="G530" s="6" t="s">
        <v>918</v>
      </c>
      <c r="H530" t="s">
        <v>1071</v>
      </c>
      <c r="I530">
        <f t="shared" si="31"/>
        <v>60</v>
      </c>
      <c r="J530">
        <f t="shared" si="32"/>
        <v>27.215542200000002</v>
      </c>
      <c r="K530">
        <v>3.25</v>
      </c>
      <c r="L530">
        <f t="shared" si="33"/>
        <v>88.450512150000009</v>
      </c>
    </row>
    <row r="531" spans="1:12" x14ac:dyDescent="0.2">
      <c r="A531" s="4">
        <v>43434</v>
      </c>
      <c r="B531" t="s">
        <v>538</v>
      </c>
      <c r="C531">
        <v>2</v>
      </c>
      <c r="D531">
        <v>6</v>
      </c>
      <c r="E531">
        <v>6.6138700000000004</v>
      </c>
      <c r="F531" t="s">
        <v>447</v>
      </c>
      <c r="G531" t="s">
        <v>870</v>
      </c>
      <c r="H531" t="s">
        <v>1071</v>
      </c>
      <c r="I531">
        <f t="shared" si="31"/>
        <v>79.366440000000011</v>
      </c>
      <c r="J531">
        <f t="shared" si="32"/>
        <v>36.000011618062807</v>
      </c>
      <c r="K531">
        <v>0.84599999999999997</v>
      </c>
      <c r="L531">
        <f t="shared" si="33"/>
        <v>30.456009828881133</v>
      </c>
    </row>
    <row r="532" spans="1:12" x14ac:dyDescent="0.2">
      <c r="A532" s="4">
        <v>43374</v>
      </c>
      <c r="B532" t="s">
        <v>48</v>
      </c>
      <c r="C532">
        <v>1</v>
      </c>
      <c r="D532">
        <v>1</v>
      </c>
      <c r="E532">
        <f>2*1.5</f>
        <v>3</v>
      </c>
      <c r="F532" t="s">
        <v>230</v>
      </c>
      <c r="G532" t="s">
        <v>769</v>
      </c>
      <c r="H532" s="8" t="s">
        <v>1067</v>
      </c>
      <c r="I532">
        <f t="shared" si="31"/>
        <v>3</v>
      </c>
      <c r="J532">
        <f t="shared" si="32"/>
        <v>1.3607771100000001</v>
      </c>
      <c r="K532">
        <v>0.3</v>
      </c>
      <c r="L532" s="8">
        <f t="shared" si="33"/>
        <v>0.40823313300000003</v>
      </c>
    </row>
    <row r="533" spans="1:12" x14ac:dyDescent="0.2">
      <c r="A533" s="4">
        <v>43372</v>
      </c>
      <c r="B533" t="s">
        <v>48</v>
      </c>
      <c r="C533">
        <v>4</v>
      </c>
      <c r="D533">
        <v>1</v>
      </c>
      <c r="E533">
        <v>11</v>
      </c>
      <c r="F533" t="s">
        <v>80</v>
      </c>
      <c r="G533" t="s">
        <v>80</v>
      </c>
      <c r="H533" s="8" t="s">
        <v>1067</v>
      </c>
      <c r="I533">
        <f t="shared" si="31"/>
        <v>44</v>
      </c>
      <c r="J533">
        <f t="shared" si="32"/>
        <v>19.958064280000002</v>
      </c>
      <c r="K533">
        <v>2.1709999999999998</v>
      </c>
      <c r="L533" s="8">
        <f t="shared" si="33"/>
        <v>43.328957551880002</v>
      </c>
    </row>
    <row r="534" spans="1:12" x14ac:dyDescent="0.2">
      <c r="A534" s="4">
        <v>43372</v>
      </c>
      <c r="B534" t="s">
        <v>48</v>
      </c>
      <c r="C534">
        <v>8</v>
      </c>
      <c r="D534">
        <v>1</v>
      </c>
      <c r="E534">
        <v>11</v>
      </c>
      <c r="F534" t="s">
        <v>80</v>
      </c>
      <c r="G534" t="s">
        <v>80</v>
      </c>
      <c r="H534" s="8" t="s">
        <v>1067</v>
      </c>
      <c r="I534">
        <f t="shared" si="31"/>
        <v>88</v>
      </c>
      <c r="J534">
        <f t="shared" si="32"/>
        <v>39.916128560000004</v>
      </c>
      <c r="K534">
        <v>2.1709999999999998</v>
      </c>
      <c r="L534" s="8">
        <f t="shared" si="33"/>
        <v>86.657915103760004</v>
      </c>
    </row>
    <row r="535" spans="1:12" x14ac:dyDescent="0.2">
      <c r="A535" s="4">
        <v>43371</v>
      </c>
      <c r="B535" t="s">
        <v>48</v>
      </c>
      <c r="C535">
        <v>1</v>
      </c>
      <c r="D535">
        <v>1</v>
      </c>
      <c r="E535">
        <v>48</v>
      </c>
      <c r="F535" t="s">
        <v>202</v>
      </c>
      <c r="G535" t="s">
        <v>202</v>
      </c>
      <c r="H535" s="8" t="s">
        <v>1067</v>
      </c>
      <c r="I535">
        <f t="shared" si="31"/>
        <v>48</v>
      </c>
      <c r="J535">
        <f t="shared" si="32"/>
        <v>21.772433760000002</v>
      </c>
      <c r="K535">
        <v>0.54700000000000004</v>
      </c>
      <c r="L535" s="8">
        <f t="shared" si="33"/>
        <v>11.909521266720002</v>
      </c>
    </row>
    <row r="536" spans="1:12" x14ac:dyDescent="0.2">
      <c r="A536" s="4">
        <v>43434</v>
      </c>
      <c r="B536" t="s">
        <v>531</v>
      </c>
      <c r="C536">
        <v>4</v>
      </c>
      <c r="D536">
        <v>4</v>
      </c>
      <c r="E536">
        <v>6</v>
      </c>
      <c r="F536" t="s">
        <v>537</v>
      </c>
      <c r="G536" t="s">
        <v>858</v>
      </c>
      <c r="H536" t="s">
        <v>1071</v>
      </c>
      <c r="I536">
        <f t="shared" si="31"/>
        <v>96</v>
      </c>
      <c r="J536">
        <f t="shared" si="32"/>
        <v>43.544867520000004</v>
      </c>
      <c r="K536">
        <v>0.374</v>
      </c>
      <c r="L536">
        <f t="shared" si="33"/>
        <v>16.285780452480001</v>
      </c>
    </row>
    <row r="537" spans="1:12" x14ac:dyDescent="0.2">
      <c r="A537" s="4">
        <v>43437</v>
      </c>
      <c r="B537" t="s">
        <v>531</v>
      </c>
      <c r="C537">
        <v>5</v>
      </c>
      <c r="D537">
        <v>4</v>
      </c>
      <c r="E537">
        <v>6</v>
      </c>
      <c r="F537" t="s">
        <v>413</v>
      </c>
      <c r="G537" t="s">
        <v>858</v>
      </c>
      <c r="H537" t="s">
        <v>1071</v>
      </c>
      <c r="I537">
        <f t="shared" si="31"/>
        <v>120</v>
      </c>
      <c r="J537">
        <f t="shared" si="32"/>
        <v>54.431084400000003</v>
      </c>
      <c r="K537">
        <v>0.374</v>
      </c>
      <c r="L537">
        <f t="shared" si="33"/>
        <v>20.3572255656</v>
      </c>
    </row>
    <row r="538" spans="1:12" x14ac:dyDescent="0.2">
      <c r="A538" s="4">
        <v>43372</v>
      </c>
      <c r="B538" t="s">
        <v>48</v>
      </c>
      <c r="C538">
        <v>15</v>
      </c>
      <c r="D538">
        <v>1</v>
      </c>
      <c r="E538">
        <v>40</v>
      </c>
      <c r="F538" t="s">
        <v>81</v>
      </c>
      <c r="G538" t="s">
        <v>81</v>
      </c>
      <c r="H538" s="8" t="s">
        <v>1067</v>
      </c>
      <c r="I538">
        <f t="shared" si="31"/>
        <v>600</v>
      </c>
      <c r="J538">
        <f t="shared" si="32"/>
        <v>272.15542200000004</v>
      </c>
      <c r="K538">
        <v>0.374</v>
      </c>
      <c r="L538" s="8">
        <f t="shared" si="33"/>
        <v>101.78612782800002</v>
      </c>
    </row>
    <row r="539" spans="1:12" x14ac:dyDescent="0.2">
      <c r="A539" s="4">
        <v>43371</v>
      </c>
      <c r="B539" t="s">
        <v>48</v>
      </c>
      <c r="C539">
        <v>3</v>
      </c>
      <c r="D539">
        <v>1</v>
      </c>
      <c r="E539">
        <v>40</v>
      </c>
      <c r="F539" t="s">
        <v>81</v>
      </c>
      <c r="G539" t="s">
        <v>81</v>
      </c>
      <c r="H539" s="8" t="s">
        <v>1067</v>
      </c>
      <c r="I539">
        <f t="shared" si="31"/>
        <v>120</v>
      </c>
      <c r="J539">
        <f t="shared" si="32"/>
        <v>54.431084400000003</v>
      </c>
      <c r="K539">
        <v>0.374</v>
      </c>
      <c r="L539" s="8">
        <f t="shared" si="33"/>
        <v>20.3572255656</v>
      </c>
    </row>
    <row r="540" spans="1:12" x14ac:dyDescent="0.2">
      <c r="A540" s="4">
        <v>43374</v>
      </c>
      <c r="B540" t="s">
        <v>48</v>
      </c>
      <c r="C540">
        <v>10</v>
      </c>
      <c r="D540">
        <v>1</v>
      </c>
      <c r="E540">
        <v>40</v>
      </c>
      <c r="F540" t="s">
        <v>81</v>
      </c>
      <c r="G540" t="s">
        <v>81</v>
      </c>
      <c r="H540" s="8" t="s">
        <v>1067</v>
      </c>
      <c r="I540">
        <f t="shared" si="31"/>
        <v>400</v>
      </c>
      <c r="J540">
        <f t="shared" si="32"/>
        <v>181.436948</v>
      </c>
      <c r="K540">
        <v>0.374</v>
      </c>
      <c r="L540" s="8">
        <f t="shared" si="33"/>
        <v>67.857418551999999</v>
      </c>
    </row>
    <row r="541" spans="1:12" x14ac:dyDescent="0.2">
      <c r="A541" s="4">
        <v>43375</v>
      </c>
      <c r="B541" t="s">
        <v>48</v>
      </c>
      <c r="C541">
        <v>4</v>
      </c>
      <c r="D541">
        <v>1</v>
      </c>
      <c r="E541">
        <v>40</v>
      </c>
      <c r="F541" t="s">
        <v>81</v>
      </c>
      <c r="G541" t="s">
        <v>81</v>
      </c>
      <c r="H541" s="8" t="s">
        <v>1067</v>
      </c>
      <c r="I541">
        <f t="shared" si="31"/>
        <v>160</v>
      </c>
      <c r="J541">
        <f t="shared" si="32"/>
        <v>72.574779200000009</v>
      </c>
      <c r="K541">
        <v>0.374</v>
      </c>
      <c r="L541" s="8">
        <f t="shared" si="33"/>
        <v>27.142967420800002</v>
      </c>
    </row>
    <row r="542" spans="1:12" x14ac:dyDescent="0.2">
      <c r="A542" s="4">
        <v>43376</v>
      </c>
      <c r="B542" t="s">
        <v>48</v>
      </c>
      <c r="C542">
        <v>10</v>
      </c>
      <c r="D542">
        <v>1</v>
      </c>
      <c r="E542">
        <v>40</v>
      </c>
      <c r="F542" t="s">
        <v>81</v>
      </c>
      <c r="G542" t="s">
        <v>81</v>
      </c>
      <c r="H542" s="8" t="s">
        <v>1067</v>
      </c>
      <c r="I542">
        <f t="shared" si="31"/>
        <v>400</v>
      </c>
      <c r="J542">
        <f t="shared" si="32"/>
        <v>181.436948</v>
      </c>
      <c r="K542">
        <v>0.374</v>
      </c>
      <c r="L542" s="8">
        <f t="shared" si="33"/>
        <v>67.857418551999999</v>
      </c>
    </row>
    <row r="543" spans="1:12" x14ac:dyDescent="0.2">
      <c r="A543" s="4">
        <v>43377</v>
      </c>
      <c r="B543" t="s">
        <v>48</v>
      </c>
      <c r="C543" s="28">
        <v>5</v>
      </c>
      <c r="D543">
        <v>1</v>
      </c>
      <c r="E543">
        <v>40</v>
      </c>
      <c r="F543" t="s">
        <v>249</v>
      </c>
      <c r="G543" t="s">
        <v>783</v>
      </c>
      <c r="H543" s="8" t="s">
        <v>1067</v>
      </c>
      <c r="I543">
        <f t="shared" si="31"/>
        <v>200</v>
      </c>
      <c r="J543">
        <f t="shared" si="32"/>
        <v>90.718474000000001</v>
      </c>
      <c r="K543">
        <v>0.374</v>
      </c>
      <c r="L543" s="8">
        <f t="shared" si="33"/>
        <v>33.928709275999999</v>
      </c>
    </row>
    <row r="544" spans="1:12" x14ac:dyDescent="0.2">
      <c r="A544" s="4">
        <v>43372</v>
      </c>
      <c r="B544" t="s">
        <v>48</v>
      </c>
      <c r="C544">
        <v>2</v>
      </c>
      <c r="D544">
        <v>1</v>
      </c>
      <c r="E544">
        <v>1</v>
      </c>
      <c r="F544" t="s">
        <v>184</v>
      </c>
      <c r="G544" t="s">
        <v>184</v>
      </c>
      <c r="H544" s="8" t="s">
        <v>1067</v>
      </c>
      <c r="I544">
        <f t="shared" si="31"/>
        <v>2</v>
      </c>
      <c r="J544">
        <f t="shared" si="32"/>
        <v>0.90718474000000004</v>
      </c>
      <c r="K544">
        <v>0.221</v>
      </c>
      <c r="L544" s="8">
        <f t="shared" si="33"/>
        <v>0.20048782754000002</v>
      </c>
    </row>
    <row r="545" spans="1:12" x14ac:dyDescent="0.2">
      <c r="A545" s="4">
        <v>43371</v>
      </c>
      <c r="B545" t="s">
        <v>48</v>
      </c>
      <c r="C545">
        <v>2</v>
      </c>
      <c r="D545">
        <v>1</v>
      </c>
      <c r="E545">
        <v>1</v>
      </c>
      <c r="F545" t="s">
        <v>206</v>
      </c>
      <c r="G545" t="s">
        <v>184</v>
      </c>
      <c r="H545" s="8" t="s">
        <v>1067</v>
      </c>
      <c r="I545">
        <f t="shared" si="31"/>
        <v>2</v>
      </c>
      <c r="J545">
        <f t="shared" si="32"/>
        <v>0.90718474000000004</v>
      </c>
      <c r="K545">
        <v>0.221</v>
      </c>
      <c r="L545" s="8">
        <f t="shared" si="33"/>
        <v>0.20048782754000002</v>
      </c>
    </row>
    <row r="546" spans="1:12" x14ac:dyDescent="0.2">
      <c r="A546" s="4">
        <v>43374</v>
      </c>
      <c r="B546" t="s">
        <v>48</v>
      </c>
      <c r="C546">
        <v>2</v>
      </c>
      <c r="D546">
        <v>1</v>
      </c>
      <c r="E546">
        <v>1</v>
      </c>
      <c r="F546" t="s">
        <v>206</v>
      </c>
      <c r="G546" t="s">
        <v>184</v>
      </c>
      <c r="H546" s="8" t="s">
        <v>1067</v>
      </c>
      <c r="I546">
        <f t="shared" si="31"/>
        <v>2</v>
      </c>
      <c r="J546">
        <f t="shared" si="32"/>
        <v>0.90718474000000004</v>
      </c>
      <c r="K546">
        <v>0.221</v>
      </c>
      <c r="L546" s="8">
        <f t="shared" si="33"/>
        <v>0.20048782754000002</v>
      </c>
    </row>
    <row r="547" spans="1:12" x14ac:dyDescent="0.2">
      <c r="A547" s="4">
        <v>43376</v>
      </c>
      <c r="B547" t="s">
        <v>48</v>
      </c>
      <c r="C547">
        <v>2</v>
      </c>
      <c r="D547">
        <v>1</v>
      </c>
      <c r="E547">
        <v>1</v>
      </c>
      <c r="F547" t="s">
        <v>206</v>
      </c>
      <c r="G547" t="s">
        <v>184</v>
      </c>
      <c r="H547" s="8" t="s">
        <v>1067</v>
      </c>
      <c r="I547">
        <f t="shared" si="31"/>
        <v>2</v>
      </c>
      <c r="J547">
        <f t="shared" si="32"/>
        <v>0.90718474000000004</v>
      </c>
      <c r="K547">
        <v>0.221</v>
      </c>
      <c r="L547" s="8">
        <f t="shared" si="33"/>
        <v>0.20048782754000002</v>
      </c>
    </row>
    <row r="548" spans="1:12" x14ac:dyDescent="0.2">
      <c r="A548" s="4">
        <v>43434</v>
      </c>
      <c r="B548" t="s">
        <v>538</v>
      </c>
      <c r="C548">
        <v>3</v>
      </c>
      <c r="D548">
        <v>6</v>
      </c>
      <c r="E548">
        <v>10</v>
      </c>
      <c r="F548" t="s">
        <v>420</v>
      </c>
      <c r="G548" t="s">
        <v>898</v>
      </c>
      <c r="H548" t="s">
        <v>1071</v>
      </c>
      <c r="I548">
        <f t="shared" si="31"/>
        <v>180</v>
      </c>
      <c r="J548">
        <f t="shared" si="32"/>
        <v>81.646626600000005</v>
      </c>
      <c r="K548">
        <v>0.308</v>
      </c>
      <c r="L548">
        <f t="shared" si="33"/>
        <v>25.1471609928</v>
      </c>
    </row>
    <row r="549" spans="1:12" x14ac:dyDescent="0.2">
      <c r="A549" s="4">
        <v>43439</v>
      </c>
      <c r="B549" t="s">
        <v>538</v>
      </c>
      <c r="C549">
        <v>1</v>
      </c>
      <c r="D549">
        <v>6</v>
      </c>
      <c r="E549">
        <v>10</v>
      </c>
      <c r="F549" t="s">
        <v>420</v>
      </c>
      <c r="G549" t="s">
        <v>898</v>
      </c>
      <c r="H549" t="s">
        <v>1071</v>
      </c>
      <c r="I549">
        <f t="shared" si="31"/>
        <v>60</v>
      </c>
      <c r="J549">
        <f t="shared" si="32"/>
        <v>27.215542200000002</v>
      </c>
      <c r="K549">
        <v>0.308</v>
      </c>
      <c r="L549">
        <f t="shared" si="33"/>
        <v>8.3823869976000012</v>
      </c>
    </row>
    <row r="550" spans="1:12" x14ac:dyDescent="0.2">
      <c r="A550" s="4">
        <v>43434</v>
      </c>
      <c r="B550" t="s">
        <v>538</v>
      </c>
      <c r="C550">
        <v>2</v>
      </c>
      <c r="D550">
        <v>6</v>
      </c>
      <c r="E550">
        <v>10</v>
      </c>
      <c r="F550" t="s">
        <v>565</v>
      </c>
      <c r="G550" t="s">
        <v>935</v>
      </c>
      <c r="H550" t="s">
        <v>1071</v>
      </c>
      <c r="I550">
        <f t="shared" si="31"/>
        <v>120</v>
      </c>
      <c r="J550">
        <f t="shared" si="32"/>
        <v>54.431084400000003</v>
      </c>
      <c r="K550">
        <v>0.308</v>
      </c>
      <c r="L550">
        <f t="shared" si="33"/>
        <v>16.764773995200002</v>
      </c>
    </row>
    <row r="551" spans="1:12" x14ac:dyDescent="0.2">
      <c r="A551" s="4">
        <v>43434</v>
      </c>
      <c r="B551" t="s">
        <v>538</v>
      </c>
      <c r="C551">
        <v>3</v>
      </c>
      <c r="D551">
        <v>6</v>
      </c>
      <c r="E551">
        <v>10</v>
      </c>
      <c r="F551" t="s">
        <v>540</v>
      </c>
      <c r="G551" t="s">
        <v>897</v>
      </c>
      <c r="H551" t="s">
        <v>1071</v>
      </c>
      <c r="I551">
        <f t="shared" si="31"/>
        <v>180</v>
      </c>
      <c r="J551">
        <f t="shared" si="32"/>
        <v>81.646626600000005</v>
      </c>
      <c r="K551">
        <v>0.308</v>
      </c>
      <c r="L551">
        <f t="shared" si="33"/>
        <v>25.1471609928</v>
      </c>
    </row>
    <row r="552" spans="1:12" x14ac:dyDescent="0.2">
      <c r="A552" s="4">
        <v>43439</v>
      </c>
      <c r="B552" t="s">
        <v>538</v>
      </c>
      <c r="C552">
        <v>1</v>
      </c>
      <c r="D552">
        <v>6</v>
      </c>
      <c r="E552">
        <v>10</v>
      </c>
      <c r="F552" t="s">
        <v>440</v>
      </c>
      <c r="G552" t="s">
        <v>922</v>
      </c>
      <c r="H552" t="s">
        <v>1071</v>
      </c>
      <c r="I552">
        <f t="shared" si="31"/>
        <v>60</v>
      </c>
      <c r="J552">
        <f t="shared" si="32"/>
        <v>27.215542200000002</v>
      </c>
      <c r="K552">
        <v>0.308</v>
      </c>
      <c r="L552">
        <f t="shared" si="33"/>
        <v>8.3823869976000012</v>
      </c>
    </row>
    <row r="553" spans="1:12" x14ac:dyDescent="0.2">
      <c r="A553" s="4">
        <v>43439</v>
      </c>
      <c r="B553" t="s">
        <v>538</v>
      </c>
      <c r="C553">
        <v>1</v>
      </c>
      <c r="D553">
        <v>1</v>
      </c>
      <c r="E553">
        <v>20</v>
      </c>
      <c r="F553" t="s">
        <v>591</v>
      </c>
      <c r="G553" t="s">
        <v>920</v>
      </c>
      <c r="H553" t="s">
        <v>1071</v>
      </c>
      <c r="I553">
        <f t="shared" si="31"/>
        <v>20</v>
      </c>
      <c r="J553">
        <f t="shared" si="32"/>
        <v>9.0718474000000011</v>
      </c>
      <c r="K553">
        <v>0.308</v>
      </c>
      <c r="L553">
        <f t="shared" si="33"/>
        <v>2.7941289992000002</v>
      </c>
    </row>
    <row r="554" spans="1:12" x14ac:dyDescent="0.2">
      <c r="A554" s="4">
        <v>43371</v>
      </c>
      <c r="B554" t="s">
        <v>48</v>
      </c>
      <c r="C554">
        <v>6</v>
      </c>
      <c r="D554">
        <v>1</v>
      </c>
      <c r="E554" s="6">
        <v>10</v>
      </c>
      <c r="F554" t="s">
        <v>83</v>
      </c>
      <c r="G554" t="s">
        <v>936</v>
      </c>
      <c r="H554" s="8" t="s">
        <v>1067</v>
      </c>
      <c r="I554">
        <f t="shared" si="31"/>
        <v>60</v>
      </c>
      <c r="J554">
        <f t="shared" si="32"/>
        <v>27.215542200000002</v>
      </c>
      <c r="K554">
        <v>0.66200000000000003</v>
      </c>
      <c r="L554" s="8">
        <f t="shared" si="33"/>
        <v>18.016688936400001</v>
      </c>
    </row>
    <row r="555" spans="1:12" x14ac:dyDescent="0.2">
      <c r="A555" s="4">
        <v>43374</v>
      </c>
      <c r="B555" t="s">
        <v>48</v>
      </c>
      <c r="C555">
        <v>10</v>
      </c>
      <c r="D555">
        <v>1</v>
      </c>
      <c r="E555">
        <v>10</v>
      </c>
      <c r="F555" t="s">
        <v>83</v>
      </c>
      <c r="G555" t="s">
        <v>936</v>
      </c>
      <c r="H555" s="8" t="s">
        <v>1067</v>
      </c>
      <c r="I555">
        <f t="shared" si="31"/>
        <v>100</v>
      </c>
      <c r="J555">
        <f t="shared" si="32"/>
        <v>45.359237</v>
      </c>
      <c r="K555">
        <v>0.66200000000000003</v>
      </c>
      <c r="L555" s="8">
        <f t="shared" si="33"/>
        <v>30.027814894000002</v>
      </c>
    </row>
    <row r="556" spans="1:12" x14ac:dyDescent="0.2">
      <c r="A556" s="4">
        <v>43375</v>
      </c>
      <c r="B556" t="s">
        <v>48</v>
      </c>
      <c r="C556">
        <v>6</v>
      </c>
      <c r="D556">
        <v>1</v>
      </c>
      <c r="E556">
        <v>10</v>
      </c>
      <c r="F556" t="s">
        <v>83</v>
      </c>
      <c r="G556" t="s">
        <v>936</v>
      </c>
      <c r="H556" s="8" t="s">
        <v>1067</v>
      </c>
      <c r="I556">
        <f t="shared" si="31"/>
        <v>60</v>
      </c>
      <c r="J556">
        <f t="shared" si="32"/>
        <v>27.215542200000002</v>
      </c>
      <c r="K556">
        <v>0.66200000000000003</v>
      </c>
      <c r="L556" s="8">
        <f t="shared" si="33"/>
        <v>18.016688936400001</v>
      </c>
    </row>
    <row r="557" spans="1:12" x14ac:dyDescent="0.2">
      <c r="A557" s="4">
        <v>43376</v>
      </c>
      <c r="B557" t="s">
        <v>48</v>
      </c>
      <c r="C557">
        <v>13</v>
      </c>
      <c r="D557">
        <v>1</v>
      </c>
      <c r="E557">
        <v>10</v>
      </c>
      <c r="F557" t="s">
        <v>236</v>
      </c>
      <c r="G557" t="s">
        <v>936</v>
      </c>
      <c r="H557" s="8" t="s">
        <v>1067</v>
      </c>
      <c r="I557">
        <f t="shared" si="31"/>
        <v>130</v>
      </c>
      <c r="J557">
        <f t="shared" si="32"/>
        <v>58.967008100000001</v>
      </c>
      <c r="K557">
        <v>0.66200000000000003</v>
      </c>
      <c r="L557" s="8">
        <f t="shared" si="33"/>
        <v>39.036159362200003</v>
      </c>
    </row>
    <row r="558" spans="1:12" x14ac:dyDescent="0.2">
      <c r="A558" s="4">
        <v>43377</v>
      </c>
      <c r="B558" t="s">
        <v>48</v>
      </c>
      <c r="C558" s="28">
        <v>3</v>
      </c>
      <c r="D558">
        <v>1</v>
      </c>
      <c r="E558">
        <v>10</v>
      </c>
      <c r="F558" t="s">
        <v>251</v>
      </c>
      <c r="G558" t="s">
        <v>936</v>
      </c>
      <c r="H558" s="8" t="s">
        <v>1067</v>
      </c>
      <c r="I558">
        <f t="shared" si="31"/>
        <v>30</v>
      </c>
      <c r="J558">
        <f t="shared" si="32"/>
        <v>13.607771100000001</v>
      </c>
      <c r="K558">
        <v>0.66200000000000003</v>
      </c>
      <c r="L558" s="8">
        <f t="shared" si="33"/>
        <v>9.0083444682000007</v>
      </c>
    </row>
    <row r="559" spans="1:12" x14ac:dyDescent="0.2">
      <c r="A559" s="4">
        <v>43376</v>
      </c>
      <c r="B559" t="s">
        <v>9</v>
      </c>
      <c r="C559">
        <v>1</v>
      </c>
      <c r="D559">
        <v>1</v>
      </c>
      <c r="E559">
        <v>100</v>
      </c>
      <c r="F559" t="s">
        <v>11</v>
      </c>
      <c r="G559" t="s">
        <v>10</v>
      </c>
      <c r="H559" s="8" t="s">
        <v>1072</v>
      </c>
      <c r="I559">
        <f t="shared" si="31"/>
        <v>100</v>
      </c>
      <c r="J559">
        <f t="shared" si="32"/>
        <v>45.359237</v>
      </c>
      <c r="K559">
        <v>32.845999999999997</v>
      </c>
      <c r="L559" s="8">
        <f t="shared" si="33"/>
        <v>1489.8694985019999</v>
      </c>
    </row>
    <row r="560" spans="1:12" x14ac:dyDescent="0.2">
      <c r="A560" s="4">
        <v>43376</v>
      </c>
      <c r="B560" t="s">
        <v>9</v>
      </c>
      <c r="C560">
        <v>1</v>
      </c>
      <c r="D560">
        <v>1</v>
      </c>
      <c r="E560">
        <v>96</v>
      </c>
      <c r="F560" t="s">
        <v>12</v>
      </c>
      <c r="G560" t="s">
        <v>10</v>
      </c>
      <c r="H560" s="8" t="s">
        <v>1072</v>
      </c>
      <c r="I560">
        <f t="shared" si="31"/>
        <v>96</v>
      </c>
      <c r="J560">
        <f t="shared" si="32"/>
        <v>43.544867520000004</v>
      </c>
      <c r="K560">
        <v>32.845999999999997</v>
      </c>
      <c r="L560" s="8">
        <f t="shared" si="33"/>
        <v>1430.2747185619201</v>
      </c>
    </row>
    <row r="561" spans="1:12" x14ac:dyDescent="0.2">
      <c r="A561" s="10">
        <v>43371</v>
      </c>
      <c r="B561" s="8" t="s">
        <v>9</v>
      </c>
      <c r="C561">
        <v>1</v>
      </c>
      <c r="D561">
        <v>1</v>
      </c>
      <c r="E561" s="9">
        <v>120</v>
      </c>
      <c r="F561" s="9" t="s">
        <v>12</v>
      </c>
      <c r="G561" s="9" t="s">
        <v>10</v>
      </c>
      <c r="H561" s="8" t="s">
        <v>1072</v>
      </c>
      <c r="I561">
        <f t="shared" si="31"/>
        <v>120</v>
      </c>
      <c r="J561">
        <f t="shared" si="32"/>
        <v>54.431084400000003</v>
      </c>
      <c r="K561">
        <v>32.845999999999997</v>
      </c>
      <c r="L561" s="8">
        <f t="shared" si="33"/>
        <v>1787.8433982023998</v>
      </c>
    </row>
    <row r="562" spans="1:12" x14ac:dyDescent="0.2">
      <c r="A562" s="10">
        <v>43371</v>
      </c>
      <c r="B562" s="8" t="s">
        <v>9</v>
      </c>
      <c r="C562">
        <v>1</v>
      </c>
      <c r="D562">
        <v>1</v>
      </c>
      <c r="E562" s="9">
        <v>30</v>
      </c>
      <c r="F562" s="9" t="s">
        <v>174</v>
      </c>
      <c r="G562" s="9" t="s">
        <v>10</v>
      </c>
      <c r="H562" s="8" t="s">
        <v>1072</v>
      </c>
      <c r="I562">
        <f t="shared" si="31"/>
        <v>30</v>
      </c>
      <c r="J562">
        <f t="shared" si="32"/>
        <v>13.607771100000001</v>
      </c>
      <c r="K562">
        <v>32.845999999999997</v>
      </c>
      <c r="L562" s="8">
        <f t="shared" si="33"/>
        <v>446.96084955059996</v>
      </c>
    </row>
    <row r="563" spans="1:12" x14ac:dyDescent="0.2">
      <c r="A563" s="10">
        <v>43371</v>
      </c>
      <c r="B563" s="9" t="s">
        <v>175</v>
      </c>
      <c r="C563">
        <v>1</v>
      </c>
      <c r="D563">
        <v>1</v>
      </c>
      <c r="E563" s="9">
        <v>150.88</v>
      </c>
      <c r="F563" s="9" t="s">
        <v>177</v>
      </c>
      <c r="G563" s="9" t="s">
        <v>10</v>
      </c>
      <c r="H563" s="8" t="s">
        <v>1072</v>
      </c>
      <c r="I563">
        <f t="shared" si="31"/>
        <v>150.88</v>
      </c>
      <c r="J563">
        <f t="shared" si="32"/>
        <v>68.438016785600013</v>
      </c>
      <c r="K563">
        <v>32.845999999999997</v>
      </c>
      <c r="L563" s="8">
        <f t="shared" si="33"/>
        <v>2247.915099339818</v>
      </c>
    </row>
    <row r="564" spans="1:12" x14ac:dyDescent="0.2">
      <c r="A564" s="10">
        <v>43371</v>
      </c>
      <c r="B564" s="8" t="s">
        <v>9</v>
      </c>
      <c r="C564">
        <v>1</v>
      </c>
      <c r="D564">
        <v>1</v>
      </c>
      <c r="E564" s="9">
        <v>90</v>
      </c>
      <c r="F564" s="9" t="s">
        <v>12</v>
      </c>
      <c r="G564" s="9" t="s">
        <v>10</v>
      </c>
      <c r="H564" s="8" t="s">
        <v>1072</v>
      </c>
      <c r="I564">
        <f t="shared" si="31"/>
        <v>90</v>
      </c>
      <c r="J564">
        <f t="shared" si="32"/>
        <v>40.823313300000002</v>
      </c>
      <c r="K564">
        <v>32.845999999999997</v>
      </c>
      <c r="L564" s="8">
        <f t="shared" si="33"/>
        <v>1340.8825486517999</v>
      </c>
    </row>
    <row r="565" spans="1:12" x14ac:dyDescent="0.2">
      <c r="A565" s="4">
        <v>43371</v>
      </c>
      <c r="B565" t="s">
        <v>201</v>
      </c>
      <c r="C565">
        <v>1</v>
      </c>
      <c r="D565">
        <v>1</v>
      </c>
      <c r="E565">
        <v>50</v>
      </c>
      <c r="F565" t="s">
        <v>198</v>
      </c>
      <c r="G565" t="s">
        <v>10</v>
      </c>
      <c r="H565" s="8" t="s">
        <v>1072</v>
      </c>
      <c r="I565">
        <f t="shared" si="31"/>
        <v>50</v>
      </c>
      <c r="J565">
        <f t="shared" si="32"/>
        <v>22.6796185</v>
      </c>
      <c r="K565">
        <v>32.845999999999997</v>
      </c>
      <c r="L565" s="8">
        <f t="shared" si="33"/>
        <v>744.93474925099997</v>
      </c>
    </row>
    <row r="566" spans="1:12" x14ac:dyDescent="0.2">
      <c r="A566" s="4">
        <v>43434</v>
      </c>
      <c r="B566" t="s">
        <v>525</v>
      </c>
      <c r="C566">
        <v>1</v>
      </c>
      <c r="D566">
        <v>1</v>
      </c>
      <c r="E566">
        <v>220.62</v>
      </c>
      <c r="F566" t="s">
        <v>397</v>
      </c>
      <c r="G566" t="s">
        <v>850</v>
      </c>
      <c r="H566" t="s">
        <v>1072</v>
      </c>
      <c r="I566">
        <f t="shared" ref="I566:I571" si="34">C566*D566*E566</f>
        <v>220.62</v>
      </c>
      <c r="J566">
        <f t="shared" si="32"/>
        <v>100.0715486694</v>
      </c>
      <c r="K566">
        <v>32.845999999999997</v>
      </c>
      <c r="L566">
        <f t="shared" si="33"/>
        <v>3286.9500875951121</v>
      </c>
    </row>
    <row r="567" spans="1:12" x14ac:dyDescent="0.2">
      <c r="A567" s="4">
        <v>43439</v>
      </c>
      <c r="B567" t="s">
        <v>525</v>
      </c>
      <c r="C567">
        <v>4</v>
      </c>
      <c r="D567">
        <v>1</v>
      </c>
      <c r="E567">
        <v>10</v>
      </c>
      <c r="F567" t="s">
        <v>588</v>
      </c>
      <c r="G567" t="s">
        <v>10</v>
      </c>
      <c r="H567" t="s">
        <v>1072</v>
      </c>
      <c r="I567">
        <f t="shared" si="34"/>
        <v>40</v>
      </c>
      <c r="J567">
        <f t="shared" si="32"/>
        <v>18.143694800000002</v>
      </c>
      <c r="K567">
        <v>32.845999999999997</v>
      </c>
      <c r="L567">
        <f t="shared" si="33"/>
        <v>595.94779940080002</v>
      </c>
    </row>
    <row r="568" spans="1:12" x14ac:dyDescent="0.2">
      <c r="A568" s="4">
        <v>43439</v>
      </c>
      <c r="B568" t="s">
        <v>525</v>
      </c>
      <c r="C568">
        <v>1</v>
      </c>
      <c r="D568">
        <v>1</v>
      </c>
      <c r="E568">
        <v>143.28</v>
      </c>
      <c r="F568" t="s">
        <v>397</v>
      </c>
      <c r="G568" t="s">
        <v>850</v>
      </c>
      <c r="H568" t="s">
        <v>1072</v>
      </c>
      <c r="I568">
        <f t="shared" si="34"/>
        <v>143.28</v>
      </c>
      <c r="J568">
        <f t="shared" si="32"/>
        <v>64.990714773600004</v>
      </c>
      <c r="K568">
        <v>32.845999999999997</v>
      </c>
      <c r="L568">
        <f t="shared" si="33"/>
        <v>2134.6850174536653</v>
      </c>
    </row>
    <row r="569" spans="1:12" x14ac:dyDescent="0.2">
      <c r="A569" s="4">
        <v>43371</v>
      </c>
      <c r="B569" t="s">
        <v>48</v>
      </c>
      <c r="C569">
        <v>1</v>
      </c>
      <c r="D569">
        <v>1</v>
      </c>
      <c r="E569" s="6">
        <v>25</v>
      </c>
      <c r="F569" t="s">
        <v>203</v>
      </c>
      <c r="G569" t="s">
        <v>803</v>
      </c>
      <c r="H569" s="8" t="s">
        <v>1067</v>
      </c>
      <c r="I569">
        <f t="shared" si="34"/>
        <v>25</v>
      </c>
      <c r="J569">
        <f t="shared" si="32"/>
        <v>11.33980925</v>
      </c>
      <c r="K569">
        <v>0.19400000000000001</v>
      </c>
      <c r="L569" s="8">
        <f t="shared" si="33"/>
        <v>2.1999229945000001</v>
      </c>
    </row>
    <row r="570" spans="1:12" x14ac:dyDescent="0.2">
      <c r="A570" s="4">
        <v>43434</v>
      </c>
      <c r="B570" t="s">
        <v>531</v>
      </c>
      <c r="C570">
        <v>4</v>
      </c>
      <c r="D570">
        <v>40</v>
      </c>
      <c r="E570">
        <f>4/16</f>
        <v>0.25</v>
      </c>
      <c r="F570" t="s">
        <v>536</v>
      </c>
      <c r="G570" s="6" t="s">
        <v>893</v>
      </c>
      <c r="H570" t="s">
        <v>1071</v>
      </c>
      <c r="I570">
        <f t="shared" si="34"/>
        <v>40</v>
      </c>
      <c r="J570">
        <f t="shared" si="32"/>
        <v>18.143694800000002</v>
      </c>
      <c r="K570">
        <v>3.5270000000000001</v>
      </c>
      <c r="L570">
        <f t="shared" si="33"/>
        <v>63.992811559600007</v>
      </c>
    </row>
    <row r="571" spans="1:12" x14ac:dyDescent="0.2">
      <c r="A571" s="4">
        <v>43434</v>
      </c>
      <c r="B571" t="s">
        <v>531</v>
      </c>
      <c r="C571">
        <v>2</v>
      </c>
      <c r="D571">
        <v>2</v>
      </c>
      <c r="E571">
        <v>5</v>
      </c>
      <c r="F571" t="s">
        <v>535</v>
      </c>
      <c r="G571" s="14" t="s">
        <v>1087</v>
      </c>
      <c r="H571" s="6" t="s">
        <v>1071</v>
      </c>
      <c r="I571">
        <f t="shared" si="34"/>
        <v>20</v>
      </c>
      <c r="J571">
        <f t="shared" si="32"/>
        <v>9.0718474000000011</v>
      </c>
      <c r="K571">
        <v>0</v>
      </c>
      <c r="L571">
        <f t="shared" si="33"/>
        <v>0</v>
      </c>
    </row>
    <row r="572" spans="1:12" x14ac:dyDescent="0.2">
      <c r="A572" s="4">
        <v>43434</v>
      </c>
      <c r="B572" t="s">
        <v>531</v>
      </c>
      <c r="C572">
        <v>2</v>
      </c>
      <c r="D572">
        <v>210</v>
      </c>
      <c r="E572" t="s">
        <v>1017</v>
      </c>
      <c r="F572" t="s">
        <v>409</v>
      </c>
      <c r="G572" s="14" t="s">
        <v>1086</v>
      </c>
      <c r="H572" s="9" t="s">
        <v>1071</v>
      </c>
      <c r="I572">
        <v>0</v>
      </c>
      <c r="J572">
        <f t="shared" si="32"/>
        <v>0</v>
      </c>
      <c r="K572">
        <v>2.2999999999999998</v>
      </c>
      <c r="L572">
        <f t="shared" si="33"/>
        <v>0</v>
      </c>
    </row>
    <row r="573" spans="1:12" x14ac:dyDescent="0.2">
      <c r="A573" s="4">
        <v>43434</v>
      </c>
      <c r="B573" t="s">
        <v>531</v>
      </c>
      <c r="C573">
        <v>4</v>
      </c>
      <c r="D573">
        <v>48</v>
      </c>
      <c r="E573">
        <v>0.18124999999999999</v>
      </c>
      <c r="F573" t="s">
        <v>417</v>
      </c>
      <c r="G573" s="6" t="s">
        <v>895</v>
      </c>
      <c r="H573" t="s">
        <v>1071</v>
      </c>
      <c r="I573">
        <f t="shared" ref="I573:I604" si="35">C573*D573*E573</f>
        <v>34.799999999999997</v>
      </c>
      <c r="J573">
        <f t="shared" si="32"/>
        <v>15.785014475999999</v>
      </c>
      <c r="K573">
        <v>6.87</v>
      </c>
      <c r="L573">
        <f t="shared" si="33"/>
        <v>108.44304945012</v>
      </c>
    </row>
    <row r="574" spans="1:12" x14ac:dyDescent="0.2">
      <c r="A574" s="4">
        <v>43372</v>
      </c>
      <c r="B574" t="s">
        <v>48</v>
      </c>
      <c r="C574">
        <v>2</v>
      </c>
      <c r="D574">
        <v>1</v>
      </c>
      <c r="E574">
        <v>6</v>
      </c>
      <c r="F574" t="s">
        <v>84</v>
      </c>
      <c r="G574" t="s">
        <v>84</v>
      </c>
      <c r="H574" s="8" t="s">
        <v>1067</v>
      </c>
      <c r="I574">
        <f t="shared" si="35"/>
        <v>12</v>
      </c>
      <c r="J574">
        <f t="shared" si="32"/>
        <v>5.4431084400000005</v>
      </c>
      <c r="K574">
        <v>0.59899999999999998</v>
      </c>
      <c r="L574" s="8">
        <f t="shared" si="33"/>
        <v>3.26042195556</v>
      </c>
    </row>
    <row r="575" spans="1:12" x14ac:dyDescent="0.2">
      <c r="A575" s="4">
        <v>43371</v>
      </c>
      <c r="B575" t="s">
        <v>48</v>
      </c>
      <c r="C575">
        <v>6</v>
      </c>
      <c r="D575">
        <v>1</v>
      </c>
      <c r="E575" s="6">
        <v>6</v>
      </c>
      <c r="F575" t="s">
        <v>84</v>
      </c>
      <c r="G575" t="s">
        <v>84</v>
      </c>
      <c r="H575" s="8" t="s">
        <v>1067</v>
      </c>
      <c r="I575">
        <f t="shared" si="35"/>
        <v>36</v>
      </c>
      <c r="J575">
        <f t="shared" si="32"/>
        <v>16.329325319999999</v>
      </c>
      <c r="K575">
        <v>0.59899999999999998</v>
      </c>
      <c r="L575" s="8">
        <f t="shared" si="33"/>
        <v>9.7812658666799983</v>
      </c>
    </row>
    <row r="576" spans="1:12" x14ac:dyDescent="0.2">
      <c r="A576" s="4">
        <v>43374</v>
      </c>
      <c r="B576" t="s">
        <v>48</v>
      </c>
      <c r="C576">
        <v>2</v>
      </c>
      <c r="D576">
        <v>1</v>
      </c>
      <c r="E576">
        <v>6</v>
      </c>
      <c r="F576" t="s">
        <v>84</v>
      </c>
      <c r="G576" t="s">
        <v>84</v>
      </c>
      <c r="H576" s="8" t="s">
        <v>1067</v>
      </c>
      <c r="I576">
        <f t="shared" si="35"/>
        <v>12</v>
      </c>
      <c r="J576">
        <f t="shared" si="32"/>
        <v>5.4431084400000005</v>
      </c>
      <c r="K576">
        <v>0.59899999999999998</v>
      </c>
      <c r="L576" s="8">
        <f t="shared" si="33"/>
        <v>3.26042195556</v>
      </c>
    </row>
    <row r="577" spans="1:12" x14ac:dyDescent="0.2">
      <c r="A577" s="4">
        <v>43375</v>
      </c>
      <c r="B577" t="s">
        <v>48</v>
      </c>
      <c r="C577">
        <v>5</v>
      </c>
      <c r="D577">
        <v>1</v>
      </c>
      <c r="E577">
        <v>6</v>
      </c>
      <c r="F577" t="s">
        <v>84</v>
      </c>
      <c r="G577" t="s">
        <v>84</v>
      </c>
      <c r="H577" s="8" t="s">
        <v>1067</v>
      </c>
      <c r="I577">
        <f t="shared" si="35"/>
        <v>30</v>
      </c>
      <c r="J577">
        <f t="shared" si="32"/>
        <v>13.607771100000001</v>
      </c>
      <c r="K577">
        <v>0.59899999999999998</v>
      </c>
      <c r="L577" s="8">
        <f t="shared" si="33"/>
        <v>8.151054888900001</v>
      </c>
    </row>
    <row r="578" spans="1:12" x14ac:dyDescent="0.2">
      <c r="A578" s="4">
        <v>43377</v>
      </c>
      <c r="B578" t="s">
        <v>48</v>
      </c>
      <c r="C578" s="28">
        <v>5</v>
      </c>
      <c r="D578">
        <v>1</v>
      </c>
      <c r="E578">
        <v>6</v>
      </c>
      <c r="F578" t="s">
        <v>252</v>
      </c>
      <c r="G578" t="s">
        <v>252</v>
      </c>
      <c r="H578" s="8" t="s">
        <v>1067</v>
      </c>
      <c r="I578">
        <f t="shared" si="35"/>
        <v>30</v>
      </c>
      <c r="J578">
        <f t="shared" si="32"/>
        <v>13.607771100000001</v>
      </c>
      <c r="K578">
        <v>0.59899999999999998</v>
      </c>
      <c r="L578" s="8">
        <f t="shared" si="33"/>
        <v>8.151054888900001</v>
      </c>
    </row>
    <row r="579" spans="1:12" x14ac:dyDescent="0.2">
      <c r="A579" s="4">
        <v>43376</v>
      </c>
      <c r="B579" t="s">
        <v>48</v>
      </c>
      <c r="C579">
        <v>1</v>
      </c>
      <c r="D579">
        <v>1</v>
      </c>
      <c r="E579">
        <v>30</v>
      </c>
      <c r="F579" t="s">
        <v>237</v>
      </c>
      <c r="G579" t="s">
        <v>237</v>
      </c>
      <c r="H579" s="8" t="s">
        <v>1067</v>
      </c>
      <c r="I579">
        <f t="shared" si="35"/>
        <v>30</v>
      </c>
      <c r="J579">
        <f t="shared" ref="J579:J642" si="36">CONVERT(I579,"lbm","kg")</f>
        <v>13.607771100000001</v>
      </c>
      <c r="K579">
        <v>0.13400000000000001</v>
      </c>
      <c r="L579" s="8">
        <f t="shared" ref="L579:L642" si="37">J579*K579</f>
        <v>1.8234413274000003</v>
      </c>
    </row>
    <row r="580" spans="1:12" x14ac:dyDescent="0.2">
      <c r="A580" s="4">
        <v>43434</v>
      </c>
      <c r="B580" t="s">
        <v>538</v>
      </c>
      <c r="C580">
        <v>1</v>
      </c>
      <c r="D580">
        <v>1</v>
      </c>
      <c r="E580">
        <v>25</v>
      </c>
      <c r="F580" t="s">
        <v>551</v>
      </c>
      <c r="G580" s="6" t="s">
        <v>868</v>
      </c>
      <c r="H580" t="s">
        <v>1071</v>
      </c>
      <c r="I580">
        <f t="shared" si="35"/>
        <v>25</v>
      </c>
      <c r="J580">
        <f t="shared" si="36"/>
        <v>11.33980925</v>
      </c>
      <c r="K580">
        <v>1.28</v>
      </c>
      <c r="L580">
        <f t="shared" si="37"/>
        <v>14.514955840000001</v>
      </c>
    </row>
    <row r="581" spans="1:12" x14ac:dyDescent="0.2">
      <c r="A581" s="4">
        <v>43439</v>
      </c>
      <c r="B581" t="s">
        <v>531</v>
      </c>
      <c r="C581">
        <v>1</v>
      </c>
      <c r="D581">
        <v>10</v>
      </c>
      <c r="E581">
        <v>1</v>
      </c>
      <c r="F581" t="s">
        <v>410</v>
      </c>
      <c r="G581" s="6" t="s">
        <v>868</v>
      </c>
      <c r="H581" t="s">
        <v>1071</v>
      </c>
      <c r="I581">
        <f t="shared" si="35"/>
        <v>10</v>
      </c>
      <c r="J581">
        <f t="shared" si="36"/>
        <v>4.5359237000000006</v>
      </c>
      <c r="K581">
        <v>1.28</v>
      </c>
      <c r="L581">
        <f t="shared" si="37"/>
        <v>5.8059823360000005</v>
      </c>
    </row>
    <row r="582" spans="1:12" x14ac:dyDescent="0.2">
      <c r="A582" s="4">
        <v>43371</v>
      </c>
      <c r="B582" t="s">
        <v>48</v>
      </c>
      <c r="C582">
        <v>10</v>
      </c>
      <c r="D582">
        <v>1</v>
      </c>
      <c r="E582" s="6">
        <v>12</v>
      </c>
      <c r="F582" t="s">
        <v>204</v>
      </c>
      <c r="G582" t="s">
        <v>204</v>
      </c>
      <c r="H582" s="8" t="s">
        <v>1067</v>
      </c>
      <c r="I582">
        <f t="shared" si="35"/>
        <v>120</v>
      </c>
      <c r="J582">
        <f t="shared" si="36"/>
        <v>54.431084400000003</v>
      </c>
      <c r="K582">
        <v>0.79700000000000004</v>
      </c>
      <c r="L582" s="8">
        <f t="shared" si="37"/>
        <v>43.381574266800001</v>
      </c>
    </row>
    <row r="583" spans="1:12" x14ac:dyDescent="0.2">
      <c r="A583" s="4">
        <v>43374</v>
      </c>
      <c r="B583" t="s">
        <v>48</v>
      </c>
      <c r="C583">
        <v>10</v>
      </c>
      <c r="D583">
        <v>1</v>
      </c>
      <c r="E583">
        <v>12</v>
      </c>
      <c r="F583" t="s">
        <v>204</v>
      </c>
      <c r="G583" t="s">
        <v>204</v>
      </c>
      <c r="H583" s="8" t="s">
        <v>1067</v>
      </c>
      <c r="I583">
        <f t="shared" si="35"/>
        <v>120</v>
      </c>
      <c r="J583">
        <f t="shared" si="36"/>
        <v>54.431084400000003</v>
      </c>
      <c r="K583">
        <v>0.79700000000000004</v>
      </c>
      <c r="L583" s="8">
        <f t="shared" si="37"/>
        <v>43.381574266800001</v>
      </c>
    </row>
    <row r="584" spans="1:12" x14ac:dyDescent="0.2">
      <c r="A584" s="4">
        <v>43375</v>
      </c>
      <c r="B584" t="s">
        <v>48</v>
      </c>
      <c r="C584">
        <v>10</v>
      </c>
      <c r="D584">
        <v>1</v>
      </c>
      <c r="E584">
        <v>12</v>
      </c>
      <c r="F584" t="s">
        <v>204</v>
      </c>
      <c r="G584" t="s">
        <v>204</v>
      </c>
      <c r="H584" s="8" t="s">
        <v>1067</v>
      </c>
      <c r="I584">
        <f t="shared" si="35"/>
        <v>120</v>
      </c>
      <c r="J584">
        <f t="shared" si="36"/>
        <v>54.431084400000003</v>
      </c>
      <c r="K584">
        <v>0.79700000000000004</v>
      </c>
      <c r="L584" s="8">
        <f t="shared" si="37"/>
        <v>43.381574266800001</v>
      </c>
    </row>
    <row r="585" spans="1:12" x14ac:dyDescent="0.2">
      <c r="A585" s="4">
        <v>43376</v>
      </c>
      <c r="B585" t="s">
        <v>48</v>
      </c>
      <c r="C585">
        <v>6</v>
      </c>
      <c r="D585">
        <v>1</v>
      </c>
      <c r="E585">
        <v>12</v>
      </c>
      <c r="F585" t="s">
        <v>204</v>
      </c>
      <c r="G585" t="s">
        <v>204</v>
      </c>
      <c r="H585" s="8" t="s">
        <v>1067</v>
      </c>
      <c r="I585">
        <f t="shared" si="35"/>
        <v>72</v>
      </c>
      <c r="J585">
        <f t="shared" si="36"/>
        <v>32.658650639999998</v>
      </c>
      <c r="K585">
        <v>0.79700000000000004</v>
      </c>
      <c r="L585" s="8">
        <f t="shared" si="37"/>
        <v>26.028944560079999</v>
      </c>
    </row>
    <row r="586" spans="1:12" x14ac:dyDescent="0.2">
      <c r="A586" s="4">
        <v>43377</v>
      </c>
      <c r="B586" t="s">
        <v>48</v>
      </c>
      <c r="C586" s="28">
        <v>7</v>
      </c>
      <c r="D586">
        <v>1</v>
      </c>
      <c r="E586">
        <v>12</v>
      </c>
      <c r="F586" t="s">
        <v>253</v>
      </c>
      <c r="G586" t="s">
        <v>784</v>
      </c>
      <c r="H586" s="8" t="s">
        <v>1067</v>
      </c>
      <c r="I586">
        <f t="shared" si="35"/>
        <v>84</v>
      </c>
      <c r="J586">
        <f t="shared" si="36"/>
        <v>38.101759080000001</v>
      </c>
      <c r="K586">
        <v>0.79700000000000004</v>
      </c>
      <c r="L586" s="8">
        <f t="shared" si="37"/>
        <v>30.367101986760002</v>
      </c>
    </row>
    <row r="587" spans="1:12" x14ac:dyDescent="0.2">
      <c r="A587" s="4">
        <v>43372</v>
      </c>
      <c r="B587" t="s">
        <v>48</v>
      </c>
      <c r="C587">
        <v>10</v>
      </c>
      <c r="D587">
        <v>1</v>
      </c>
      <c r="E587">
        <v>12</v>
      </c>
      <c r="F587" t="s">
        <v>86</v>
      </c>
      <c r="G587" t="s">
        <v>86</v>
      </c>
      <c r="H587" s="8" t="s">
        <v>1067</v>
      </c>
      <c r="I587">
        <f t="shared" si="35"/>
        <v>120</v>
      </c>
      <c r="J587">
        <f t="shared" si="36"/>
        <v>54.431084400000003</v>
      </c>
      <c r="K587">
        <v>0.79700000000000004</v>
      </c>
      <c r="L587" s="8">
        <f t="shared" si="37"/>
        <v>43.381574266800001</v>
      </c>
    </row>
    <row r="588" spans="1:12" x14ac:dyDescent="0.2">
      <c r="A588" s="4">
        <v>43374</v>
      </c>
      <c r="B588" t="s">
        <v>48</v>
      </c>
      <c r="C588">
        <v>2</v>
      </c>
      <c r="D588">
        <v>1</v>
      </c>
      <c r="E588">
        <v>20</v>
      </c>
      <c r="F588" t="s">
        <v>64</v>
      </c>
      <c r="G588" t="s">
        <v>64</v>
      </c>
      <c r="H588" s="8" t="s">
        <v>1067</v>
      </c>
      <c r="I588">
        <f t="shared" si="35"/>
        <v>40</v>
      </c>
      <c r="J588">
        <f t="shared" si="36"/>
        <v>18.143694800000002</v>
      </c>
      <c r="K588">
        <v>0.49</v>
      </c>
      <c r="L588" s="8">
        <f t="shared" si="37"/>
        <v>8.8904104520000011</v>
      </c>
    </row>
    <row r="589" spans="1:12" x14ac:dyDescent="0.2">
      <c r="A589" s="4">
        <v>43376</v>
      </c>
      <c r="B589" t="s">
        <v>48</v>
      </c>
      <c r="C589">
        <v>2</v>
      </c>
      <c r="D589">
        <v>1</v>
      </c>
      <c r="E589">
        <v>20</v>
      </c>
      <c r="F589" t="s">
        <v>245</v>
      </c>
      <c r="G589" t="s">
        <v>245</v>
      </c>
      <c r="H589" s="8" t="s">
        <v>1067</v>
      </c>
      <c r="I589">
        <f t="shared" si="35"/>
        <v>40</v>
      </c>
      <c r="J589">
        <f t="shared" si="36"/>
        <v>18.143694800000002</v>
      </c>
      <c r="K589">
        <v>0.49</v>
      </c>
      <c r="L589" s="8">
        <f t="shared" si="37"/>
        <v>8.8904104520000011</v>
      </c>
    </row>
    <row r="590" spans="1:12" x14ac:dyDescent="0.2">
      <c r="A590" s="4">
        <v>43439</v>
      </c>
      <c r="B590" t="s">
        <v>531</v>
      </c>
      <c r="C590">
        <v>2</v>
      </c>
      <c r="D590">
        <v>12</v>
      </c>
      <c r="E590">
        <f>6*(3.5/16)</f>
        <v>1.3125</v>
      </c>
      <c r="F590" t="s">
        <v>589</v>
      </c>
      <c r="G590" s="6" t="s">
        <v>880</v>
      </c>
      <c r="H590" t="s">
        <v>1071</v>
      </c>
      <c r="I590">
        <f t="shared" si="35"/>
        <v>31.5</v>
      </c>
      <c r="J590">
        <f t="shared" si="36"/>
        <v>14.288159655000001</v>
      </c>
      <c r="K590">
        <v>1.28</v>
      </c>
      <c r="L590">
        <f t="shared" si="37"/>
        <v>18.288844358400002</v>
      </c>
    </row>
    <row r="591" spans="1:12" x14ac:dyDescent="0.2">
      <c r="A591" s="4">
        <v>43434</v>
      </c>
      <c r="B591" t="s">
        <v>517</v>
      </c>
      <c r="C591">
        <v>2</v>
      </c>
      <c r="D591">
        <v>36</v>
      </c>
      <c r="E591">
        <v>1</v>
      </c>
      <c r="F591" t="s">
        <v>382</v>
      </c>
      <c r="G591" t="s">
        <v>845</v>
      </c>
      <c r="H591" t="s">
        <v>1073</v>
      </c>
      <c r="I591">
        <f t="shared" si="35"/>
        <v>72</v>
      </c>
      <c r="J591">
        <f t="shared" si="36"/>
        <v>32.658650639999998</v>
      </c>
      <c r="K591">
        <v>11.52</v>
      </c>
      <c r="L591">
        <f t="shared" si="37"/>
        <v>376.22765537279997</v>
      </c>
    </row>
    <row r="592" spans="1:12" x14ac:dyDescent="0.2">
      <c r="A592" s="4">
        <v>43376</v>
      </c>
      <c r="B592" t="s">
        <v>48</v>
      </c>
      <c r="C592">
        <v>2</v>
      </c>
      <c r="D592">
        <v>1</v>
      </c>
      <c r="E592">
        <v>45</v>
      </c>
      <c r="F592" t="s">
        <v>238</v>
      </c>
      <c r="G592" t="s">
        <v>753</v>
      </c>
      <c r="H592" s="8" t="s">
        <v>1067</v>
      </c>
      <c r="I592">
        <f t="shared" si="35"/>
        <v>90</v>
      </c>
      <c r="J592">
        <f t="shared" si="36"/>
        <v>40.823313300000002</v>
      </c>
      <c r="K592">
        <v>0.219</v>
      </c>
      <c r="L592" s="8">
        <f t="shared" si="37"/>
        <v>8.9403056127000013</v>
      </c>
    </row>
    <row r="593" spans="1:12" x14ac:dyDescent="0.2">
      <c r="A593" s="4">
        <v>43434</v>
      </c>
      <c r="B593" t="s">
        <v>538</v>
      </c>
      <c r="C593">
        <v>4</v>
      </c>
      <c r="D593">
        <v>1</v>
      </c>
      <c r="E593">
        <v>35</v>
      </c>
      <c r="F593" t="s">
        <v>441</v>
      </c>
      <c r="G593" t="s">
        <v>905</v>
      </c>
      <c r="H593" t="s">
        <v>1071</v>
      </c>
      <c r="I593">
        <f t="shared" si="35"/>
        <v>140</v>
      </c>
      <c r="J593">
        <f t="shared" si="36"/>
        <v>63.502931800000006</v>
      </c>
      <c r="K593">
        <v>2.6459999999999999</v>
      </c>
      <c r="L593">
        <f t="shared" si="37"/>
        <v>168.02875754280001</v>
      </c>
    </row>
    <row r="594" spans="1:12" x14ac:dyDescent="0.2">
      <c r="A594" s="4">
        <v>43372</v>
      </c>
      <c r="B594" t="s">
        <v>48</v>
      </c>
      <c r="C594">
        <v>5</v>
      </c>
      <c r="D594">
        <v>1</v>
      </c>
      <c r="E594">
        <v>27</v>
      </c>
      <c r="F594" t="s">
        <v>102</v>
      </c>
      <c r="G594" t="s">
        <v>102</v>
      </c>
      <c r="H594" s="8" t="s">
        <v>1067</v>
      </c>
      <c r="I594">
        <f t="shared" si="35"/>
        <v>135</v>
      </c>
      <c r="J594">
        <f t="shared" si="36"/>
        <v>61.23496995</v>
      </c>
      <c r="K594">
        <v>0.49</v>
      </c>
      <c r="L594" s="8">
        <f t="shared" si="37"/>
        <v>30.005135275499999</v>
      </c>
    </row>
    <row r="595" spans="1:12" x14ac:dyDescent="0.2">
      <c r="A595" s="4">
        <v>43371</v>
      </c>
      <c r="B595" t="s">
        <v>48</v>
      </c>
      <c r="C595">
        <v>7</v>
      </c>
      <c r="D595">
        <v>1</v>
      </c>
      <c r="E595">
        <v>27</v>
      </c>
      <c r="F595" t="s">
        <v>102</v>
      </c>
      <c r="G595" t="s">
        <v>102</v>
      </c>
      <c r="H595" s="8" t="s">
        <v>1067</v>
      </c>
      <c r="I595">
        <f t="shared" si="35"/>
        <v>189</v>
      </c>
      <c r="J595">
        <f t="shared" si="36"/>
        <v>85.728957930000007</v>
      </c>
      <c r="K595">
        <v>0.49</v>
      </c>
      <c r="L595" s="8">
        <f t="shared" si="37"/>
        <v>42.007189385700002</v>
      </c>
    </row>
    <row r="596" spans="1:12" x14ac:dyDescent="0.2">
      <c r="A596" s="4">
        <v>43374</v>
      </c>
      <c r="B596" t="s">
        <v>48</v>
      </c>
      <c r="C596">
        <v>7</v>
      </c>
      <c r="D596">
        <v>1</v>
      </c>
      <c r="E596">
        <v>27</v>
      </c>
      <c r="F596" t="s">
        <v>102</v>
      </c>
      <c r="G596" t="s">
        <v>102</v>
      </c>
      <c r="H596" s="8" t="s">
        <v>1067</v>
      </c>
      <c r="I596">
        <f t="shared" si="35"/>
        <v>189</v>
      </c>
      <c r="J596">
        <f t="shared" si="36"/>
        <v>85.728957930000007</v>
      </c>
      <c r="K596">
        <v>0.49</v>
      </c>
      <c r="L596" s="8">
        <f t="shared" si="37"/>
        <v>42.007189385700002</v>
      </c>
    </row>
    <row r="597" spans="1:12" x14ac:dyDescent="0.2">
      <c r="A597" s="4">
        <v>43376</v>
      </c>
      <c r="B597" t="s">
        <v>48</v>
      </c>
      <c r="C597">
        <v>3</v>
      </c>
      <c r="D597">
        <v>1</v>
      </c>
      <c r="E597">
        <v>27</v>
      </c>
      <c r="F597" t="s">
        <v>102</v>
      </c>
      <c r="G597" t="s">
        <v>102</v>
      </c>
      <c r="H597" s="8" t="s">
        <v>1067</v>
      </c>
      <c r="I597">
        <f t="shared" si="35"/>
        <v>81</v>
      </c>
      <c r="J597">
        <f t="shared" si="36"/>
        <v>36.74098197</v>
      </c>
      <c r="K597">
        <v>0.49</v>
      </c>
      <c r="L597" s="8">
        <f t="shared" si="37"/>
        <v>18.003081165299999</v>
      </c>
    </row>
    <row r="598" spans="1:12" x14ac:dyDescent="0.2">
      <c r="A598" s="4">
        <v>43377</v>
      </c>
      <c r="B598" t="s">
        <v>48</v>
      </c>
      <c r="C598" s="28">
        <v>7</v>
      </c>
      <c r="D598">
        <v>1</v>
      </c>
      <c r="E598">
        <v>27</v>
      </c>
      <c r="F598" t="s">
        <v>258</v>
      </c>
      <c r="G598" t="s">
        <v>788</v>
      </c>
      <c r="H598" s="8" t="s">
        <v>1067</v>
      </c>
      <c r="I598">
        <f t="shared" si="35"/>
        <v>189</v>
      </c>
      <c r="J598">
        <f t="shared" si="36"/>
        <v>85.728957930000007</v>
      </c>
      <c r="K598">
        <v>0.49</v>
      </c>
      <c r="L598" s="8">
        <f t="shared" si="37"/>
        <v>42.007189385700002</v>
      </c>
    </row>
    <row r="599" spans="1:12" x14ac:dyDescent="0.2">
      <c r="A599" s="4">
        <v>43372</v>
      </c>
      <c r="B599" t="s">
        <v>48</v>
      </c>
      <c r="C599">
        <v>1</v>
      </c>
      <c r="D599">
        <v>1</v>
      </c>
      <c r="E599">
        <v>50</v>
      </c>
      <c r="F599" t="s">
        <v>87</v>
      </c>
      <c r="G599" t="s">
        <v>87</v>
      </c>
      <c r="H599" s="8" t="s">
        <v>1067</v>
      </c>
      <c r="I599">
        <f t="shared" si="35"/>
        <v>50</v>
      </c>
      <c r="J599">
        <f t="shared" si="36"/>
        <v>22.6796185</v>
      </c>
      <c r="K599">
        <v>9.1999999999999998E-2</v>
      </c>
      <c r="L599" s="8">
        <f t="shared" si="37"/>
        <v>2.0865249019999998</v>
      </c>
    </row>
    <row r="600" spans="1:12" x14ac:dyDescent="0.2">
      <c r="A600" s="4">
        <v>43372</v>
      </c>
      <c r="B600" t="s">
        <v>48</v>
      </c>
      <c r="C600">
        <v>2</v>
      </c>
      <c r="D600">
        <v>1</v>
      </c>
      <c r="E600">
        <v>20</v>
      </c>
      <c r="F600" t="s">
        <v>87</v>
      </c>
      <c r="G600" t="s">
        <v>87</v>
      </c>
      <c r="H600" s="8" t="s">
        <v>1067</v>
      </c>
      <c r="I600">
        <f t="shared" si="35"/>
        <v>40</v>
      </c>
      <c r="J600">
        <f t="shared" si="36"/>
        <v>18.143694800000002</v>
      </c>
      <c r="K600">
        <v>9.1999999999999998E-2</v>
      </c>
      <c r="L600" s="8">
        <f t="shared" si="37"/>
        <v>1.6692199216000001</v>
      </c>
    </row>
    <row r="601" spans="1:12" x14ac:dyDescent="0.2">
      <c r="A601" s="4">
        <v>43371</v>
      </c>
      <c r="B601" t="s">
        <v>48</v>
      </c>
      <c r="C601">
        <v>1</v>
      </c>
      <c r="D601">
        <v>1</v>
      </c>
      <c r="E601" s="6">
        <v>50</v>
      </c>
      <c r="F601" t="s">
        <v>87</v>
      </c>
      <c r="G601" t="s">
        <v>87</v>
      </c>
      <c r="H601" s="8" t="s">
        <v>1067</v>
      </c>
      <c r="I601">
        <f t="shared" si="35"/>
        <v>50</v>
      </c>
      <c r="J601">
        <f t="shared" si="36"/>
        <v>22.6796185</v>
      </c>
      <c r="K601">
        <v>9.1999999999999998E-2</v>
      </c>
      <c r="L601" s="8">
        <f t="shared" si="37"/>
        <v>2.0865249019999998</v>
      </c>
    </row>
    <row r="602" spans="1:12" x14ac:dyDescent="0.2">
      <c r="A602" s="4">
        <v>43371</v>
      </c>
      <c r="B602" t="s">
        <v>48</v>
      </c>
      <c r="C602">
        <v>2</v>
      </c>
      <c r="D602">
        <v>1</v>
      </c>
      <c r="E602">
        <v>20</v>
      </c>
      <c r="F602" t="s">
        <v>87</v>
      </c>
      <c r="G602" t="s">
        <v>87</v>
      </c>
      <c r="H602" s="8" t="s">
        <v>1067</v>
      </c>
      <c r="I602">
        <f t="shared" si="35"/>
        <v>40</v>
      </c>
      <c r="J602">
        <f t="shared" si="36"/>
        <v>18.143694800000002</v>
      </c>
      <c r="K602">
        <v>9.1999999999999998E-2</v>
      </c>
      <c r="L602" s="8">
        <f t="shared" si="37"/>
        <v>1.6692199216000001</v>
      </c>
    </row>
    <row r="603" spans="1:12" x14ac:dyDescent="0.2">
      <c r="A603" s="4">
        <v>43372</v>
      </c>
      <c r="B603" t="s">
        <v>48</v>
      </c>
      <c r="C603">
        <v>3</v>
      </c>
      <c r="D603">
        <v>1</v>
      </c>
      <c r="E603">
        <v>20</v>
      </c>
      <c r="F603" t="s">
        <v>219</v>
      </c>
      <c r="G603" t="s">
        <v>87</v>
      </c>
      <c r="H603" s="8" t="s">
        <v>1067</v>
      </c>
      <c r="I603">
        <f t="shared" si="35"/>
        <v>60</v>
      </c>
      <c r="J603">
        <f t="shared" si="36"/>
        <v>27.215542200000002</v>
      </c>
      <c r="K603">
        <v>9.1999999999999998E-2</v>
      </c>
      <c r="L603" s="8">
        <f t="shared" si="37"/>
        <v>2.5038298824000003</v>
      </c>
    </row>
    <row r="604" spans="1:12" x14ac:dyDescent="0.2">
      <c r="A604" s="4">
        <v>43374</v>
      </c>
      <c r="B604" t="s">
        <v>48</v>
      </c>
      <c r="C604">
        <v>2</v>
      </c>
      <c r="D604">
        <v>1</v>
      </c>
      <c r="E604">
        <v>50</v>
      </c>
      <c r="F604" t="s">
        <v>87</v>
      </c>
      <c r="G604" t="s">
        <v>87</v>
      </c>
      <c r="H604" s="8" t="s">
        <v>1067</v>
      </c>
      <c r="I604">
        <f t="shared" si="35"/>
        <v>100</v>
      </c>
      <c r="J604">
        <f t="shared" si="36"/>
        <v>45.359237</v>
      </c>
      <c r="K604">
        <v>9.1999999999999998E-2</v>
      </c>
      <c r="L604" s="8">
        <f t="shared" si="37"/>
        <v>4.1730498039999997</v>
      </c>
    </row>
    <row r="605" spans="1:12" x14ac:dyDescent="0.2">
      <c r="A605" s="4">
        <v>43374</v>
      </c>
      <c r="B605" t="s">
        <v>48</v>
      </c>
      <c r="C605">
        <v>1</v>
      </c>
      <c r="D605">
        <v>1</v>
      </c>
      <c r="E605">
        <v>20</v>
      </c>
      <c r="F605" t="s">
        <v>87</v>
      </c>
      <c r="G605" t="s">
        <v>87</v>
      </c>
      <c r="H605" s="8" t="s">
        <v>1067</v>
      </c>
      <c r="I605">
        <f t="shared" ref="I605:I636" si="38">C605*D605*E605</f>
        <v>20</v>
      </c>
      <c r="J605">
        <f t="shared" si="36"/>
        <v>9.0718474000000011</v>
      </c>
      <c r="K605">
        <v>9.1999999999999998E-2</v>
      </c>
      <c r="L605" s="8">
        <f t="shared" si="37"/>
        <v>0.83460996080000005</v>
      </c>
    </row>
    <row r="606" spans="1:12" x14ac:dyDescent="0.2">
      <c r="A606" s="4">
        <v>43375</v>
      </c>
      <c r="B606" t="s">
        <v>48</v>
      </c>
      <c r="C606">
        <v>2</v>
      </c>
      <c r="D606">
        <v>1</v>
      </c>
      <c r="E606">
        <v>50</v>
      </c>
      <c r="F606" t="s">
        <v>87</v>
      </c>
      <c r="G606" t="s">
        <v>87</v>
      </c>
      <c r="H606" s="8" t="s">
        <v>1067</v>
      </c>
      <c r="I606">
        <f t="shared" si="38"/>
        <v>100</v>
      </c>
      <c r="J606">
        <f t="shared" si="36"/>
        <v>45.359237</v>
      </c>
      <c r="K606">
        <v>9.1999999999999998E-2</v>
      </c>
      <c r="L606" s="8">
        <f t="shared" si="37"/>
        <v>4.1730498039999997</v>
      </c>
    </row>
    <row r="607" spans="1:12" x14ac:dyDescent="0.2">
      <c r="A607" s="4">
        <v>43376</v>
      </c>
      <c r="B607" t="s">
        <v>48</v>
      </c>
      <c r="C607">
        <v>1</v>
      </c>
      <c r="D607">
        <v>1</v>
      </c>
      <c r="E607">
        <v>50</v>
      </c>
      <c r="F607" t="s">
        <v>87</v>
      </c>
      <c r="G607" t="s">
        <v>87</v>
      </c>
      <c r="H607" s="8" t="s">
        <v>1067</v>
      </c>
      <c r="I607">
        <f t="shared" si="38"/>
        <v>50</v>
      </c>
      <c r="J607">
        <f t="shared" si="36"/>
        <v>22.6796185</v>
      </c>
      <c r="K607">
        <v>9.1999999999999998E-2</v>
      </c>
      <c r="L607" s="8">
        <f t="shared" si="37"/>
        <v>2.0865249019999998</v>
      </c>
    </row>
    <row r="608" spans="1:12" x14ac:dyDescent="0.2">
      <c r="A608" s="4">
        <v>43376</v>
      </c>
      <c r="B608" t="s">
        <v>48</v>
      </c>
      <c r="C608">
        <v>1</v>
      </c>
      <c r="D608">
        <v>1</v>
      </c>
      <c r="E608">
        <v>20</v>
      </c>
      <c r="F608" t="s">
        <v>246</v>
      </c>
      <c r="G608" t="s">
        <v>87</v>
      </c>
      <c r="H608" s="8" t="s">
        <v>1067</v>
      </c>
      <c r="I608">
        <f t="shared" si="38"/>
        <v>20</v>
      </c>
      <c r="J608">
        <f t="shared" si="36"/>
        <v>9.0718474000000011</v>
      </c>
      <c r="K608">
        <v>9.1999999999999998E-2</v>
      </c>
      <c r="L608" s="8">
        <f t="shared" si="37"/>
        <v>0.83460996080000005</v>
      </c>
    </row>
    <row r="609" spans="1:12" x14ac:dyDescent="0.2">
      <c r="A609" s="4">
        <v>43377</v>
      </c>
      <c r="B609" t="s">
        <v>48</v>
      </c>
      <c r="C609" s="28">
        <v>1</v>
      </c>
      <c r="D609">
        <v>1</v>
      </c>
      <c r="E609">
        <v>20</v>
      </c>
      <c r="F609" t="s">
        <v>269</v>
      </c>
      <c r="G609" t="s">
        <v>299</v>
      </c>
      <c r="H609" s="8" t="s">
        <v>1067</v>
      </c>
      <c r="I609">
        <f t="shared" si="38"/>
        <v>20</v>
      </c>
      <c r="J609">
        <f t="shared" si="36"/>
        <v>9.0718474000000011</v>
      </c>
      <c r="K609">
        <v>9.1999999999999998E-2</v>
      </c>
      <c r="L609" s="8">
        <f t="shared" si="37"/>
        <v>0.83460996080000005</v>
      </c>
    </row>
    <row r="610" spans="1:12" x14ac:dyDescent="0.2">
      <c r="A610" s="4">
        <v>43372</v>
      </c>
      <c r="B610" t="s">
        <v>48</v>
      </c>
      <c r="C610">
        <v>1</v>
      </c>
      <c r="D610">
        <v>1</v>
      </c>
      <c r="E610">
        <v>20</v>
      </c>
      <c r="F610" t="s">
        <v>224</v>
      </c>
      <c r="G610" t="s">
        <v>761</v>
      </c>
      <c r="H610" s="8" t="s">
        <v>1067</v>
      </c>
      <c r="I610">
        <f t="shared" si="38"/>
        <v>20</v>
      </c>
      <c r="J610">
        <f t="shared" si="36"/>
        <v>9.0718474000000011</v>
      </c>
      <c r="K610">
        <v>9.1999999999999998E-2</v>
      </c>
      <c r="L610" s="8">
        <f t="shared" si="37"/>
        <v>0.83460996080000005</v>
      </c>
    </row>
    <row r="611" spans="1:12" x14ac:dyDescent="0.2">
      <c r="A611" s="4">
        <v>43376</v>
      </c>
      <c r="B611" t="s">
        <v>48</v>
      </c>
      <c r="C611">
        <v>1</v>
      </c>
      <c r="D611">
        <v>1</v>
      </c>
      <c r="E611">
        <v>20</v>
      </c>
      <c r="F611" t="s">
        <v>224</v>
      </c>
      <c r="G611" t="s">
        <v>808</v>
      </c>
      <c r="H611" s="8" t="s">
        <v>1067</v>
      </c>
      <c r="I611">
        <f t="shared" si="38"/>
        <v>20</v>
      </c>
      <c r="J611">
        <f t="shared" si="36"/>
        <v>9.0718474000000011</v>
      </c>
      <c r="K611">
        <f>(0.092*0.5)+(0.219*0.5)</f>
        <v>0.1555</v>
      </c>
      <c r="L611" s="8">
        <f t="shared" si="37"/>
        <v>1.4106722707000001</v>
      </c>
    </row>
    <row r="612" spans="1:12" x14ac:dyDescent="0.2">
      <c r="A612" s="4">
        <v>43372</v>
      </c>
      <c r="B612" t="s">
        <v>48</v>
      </c>
      <c r="C612">
        <v>8</v>
      </c>
      <c r="D612">
        <v>1</v>
      </c>
      <c r="E612">
        <v>12</v>
      </c>
      <c r="F612" t="s">
        <v>220</v>
      </c>
      <c r="G612" t="s">
        <v>220</v>
      </c>
      <c r="H612" s="8" t="s">
        <v>1067</v>
      </c>
      <c r="I612">
        <f t="shared" si="38"/>
        <v>96</v>
      </c>
      <c r="J612">
        <f t="shared" si="36"/>
        <v>43.544867520000004</v>
      </c>
      <c r="K612">
        <v>0.93400000000000005</v>
      </c>
      <c r="L612" s="8">
        <f t="shared" si="37"/>
        <v>40.670906263680003</v>
      </c>
    </row>
    <row r="613" spans="1:12" x14ac:dyDescent="0.2">
      <c r="A613" s="4">
        <v>43374</v>
      </c>
      <c r="B613" t="s">
        <v>48</v>
      </c>
      <c r="C613">
        <v>5</v>
      </c>
      <c r="D613">
        <v>1</v>
      </c>
      <c r="E613">
        <v>12</v>
      </c>
      <c r="F613" t="s">
        <v>220</v>
      </c>
      <c r="G613" t="s">
        <v>220</v>
      </c>
      <c r="H613" s="8" t="s">
        <v>1067</v>
      </c>
      <c r="I613">
        <f t="shared" si="38"/>
        <v>60</v>
      </c>
      <c r="J613">
        <f t="shared" si="36"/>
        <v>27.215542200000002</v>
      </c>
      <c r="K613">
        <v>0.93400000000000005</v>
      </c>
      <c r="L613" s="8">
        <f t="shared" si="37"/>
        <v>25.419316414800004</v>
      </c>
    </row>
    <row r="614" spans="1:12" x14ac:dyDescent="0.2">
      <c r="A614" s="4">
        <v>43376</v>
      </c>
      <c r="B614" t="s">
        <v>48</v>
      </c>
      <c r="C614">
        <v>3</v>
      </c>
      <c r="D614">
        <v>1</v>
      </c>
      <c r="E614">
        <v>12</v>
      </c>
      <c r="F614" t="s">
        <v>220</v>
      </c>
      <c r="G614" t="s">
        <v>220</v>
      </c>
      <c r="H614" s="8" t="s">
        <v>1067</v>
      </c>
      <c r="I614">
        <f t="shared" si="38"/>
        <v>36</v>
      </c>
      <c r="J614">
        <f t="shared" si="36"/>
        <v>16.329325319999999</v>
      </c>
      <c r="K614">
        <v>0.93400000000000005</v>
      </c>
      <c r="L614" s="8">
        <f t="shared" si="37"/>
        <v>15.25158984888</v>
      </c>
    </row>
    <row r="615" spans="1:12" x14ac:dyDescent="0.2">
      <c r="A615" s="4">
        <v>43377</v>
      </c>
      <c r="B615" t="s">
        <v>48</v>
      </c>
      <c r="C615" s="28">
        <v>2</v>
      </c>
      <c r="D615">
        <v>1</v>
      </c>
      <c r="E615">
        <f>120*1.3</f>
        <v>156</v>
      </c>
      <c r="F615" t="s">
        <v>270</v>
      </c>
      <c r="G615" t="s">
        <v>619</v>
      </c>
      <c r="H615" s="8" t="s">
        <v>1067</v>
      </c>
      <c r="I615">
        <f t="shared" si="38"/>
        <v>312</v>
      </c>
      <c r="J615">
        <f t="shared" si="36"/>
        <v>141.52081944</v>
      </c>
      <c r="K615">
        <v>0.93400000000000005</v>
      </c>
      <c r="L615" s="8">
        <f t="shared" si="37"/>
        <v>132.18044535696001</v>
      </c>
    </row>
    <row r="616" spans="1:12" x14ac:dyDescent="0.2">
      <c r="A616" s="4">
        <v>43371</v>
      </c>
      <c r="B616" t="s">
        <v>48</v>
      </c>
      <c r="C616">
        <v>1</v>
      </c>
      <c r="D616">
        <v>1</v>
      </c>
      <c r="E616">
        <v>36</v>
      </c>
      <c r="F616" t="s">
        <v>163</v>
      </c>
      <c r="G616" t="s">
        <v>163</v>
      </c>
      <c r="H616" s="8" t="s">
        <v>1067</v>
      </c>
      <c r="I616">
        <f t="shared" si="38"/>
        <v>36</v>
      </c>
      <c r="J616">
        <f t="shared" si="36"/>
        <v>16.329325319999999</v>
      </c>
      <c r="K616">
        <v>0.33100000000000002</v>
      </c>
      <c r="L616" s="8">
        <f t="shared" si="37"/>
        <v>5.4050066809199997</v>
      </c>
    </row>
    <row r="617" spans="1:12" x14ac:dyDescent="0.2">
      <c r="A617" s="4">
        <v>43372</v>
      </c>
      <c r="B617" t="s">
        <v>48</v>
      </c>
      <c r="C617">
        <v>3</v>
      </c>
      <c r="D617">
        <v>1</v>
      </c>
      <c r="E617">
        <v>20</v>
      </c>
      <c r="F617" t="s">
        <v>221</v>
      </c>
      <c r="G617" t="s">
        <v>163</v>
      </c>
      <c r="H617" s="8" t="s">
        <v>1067</v>
      </c>
      <c r="I617">
        <f t="shared" si="38"/>
        <v>60</v>
      </c>
      <c r="J617">
        <f t="shared" si="36"/>
        <v>27.215542200000002</v>
      </c>
      <c r="K617">
        <v>0.33100000000000002</v>
      </c>
      <c r="L617" s="8">
        <f t="shared" si="37"/>
        <v>9.0083444682000007</v>
      </c>
    </row>
    <row r="618" spans="1:12" x14ac:dyDescent="0.2">
      <c r="A618" s="4">
        <v>43434</v>
      </c>
      <c r="B618" t="s">
        <v>538</v>
      </c>
      <c r="C618">
        <v>2</v>
      </c>
      <c r="D618">
        <v>4</v>
      </c>
      <c r="E618">
        <v>30.3125</v>
      </c>
      <c r="F618" t="s">
        <v>470</v>
      </c>
      <c r="G618" s="6" t="s">
        <v>861</v>
      </c>
      <c r="H618" t="s">
        <v>1071</v>
      </c>
      <c r="I618">
        <f t="shared" si="38"/>
        <v>242.5</v>
      </c>
      <c r="J618">
        <f t="shared" si="36"/>
        <v>109.99614972500001</v>
      </c>
      <c r="K618">
        <v>1.61</v>
      </c>
      <c r="L618">
        <f t="shared" si="37"/>
        <v>177.09380105725003</v>
      </c>
    </row>
    <row r="619" spans="1:12" x14ac:dyDescent="0.2">
      <c r="A619" s="4">
        <v>43434</v>
      </c>
      <c r="B619" t="s">
        <v>538</v>
      </c>
      <c r="C619">
        <v>2</v>
      </c>
      <c r="D619">
        <v>4</v>
      </c>
      <c r="E619">
        <v>40.3125</v>
      </c>
      <c r="F619" t="s">
        <v>548</v>
      </c>
      <c r="G619" s="6" t="s">
        <v>861</v>
      </c>
      <c r="H619" t="s">
        <v>1071</v>
      </c>
      <c r="I619">
        <f t="shared" si="38"/>
        <v>322.5</v>
      </c>
      <c r="J619">
        <f t="shared" si="36"/>
        <v>146.28353932500002</v>
      </c>
      <c r="K619">
        <v>1.61</v>
      </c>
      <c r="L619">
        <f t="shared" si="37"/>
        <v>235.51649831325005</v>
      </c>
    </row>
    <row r="620" spans="1:12" x14ac:dyDescent="0.2">
      <c r="A620" s="4">
        <v>43437</v>
      </c>
      <c r="B620" t="s">
        <v>538</v>
      </c>
      <c r="C620">
        <v>1</v>
      </c>
      <c r="D620">
        <v>4</v>
      </c>
      <c r="E620">
        <v>1.8125</v>
      </c>
      <c r="F620" t="s">
        <v>575</v>
      </c>
      <c r="G620" s="6" t="s">
        <v>861</v>
      </c>
      <c r="H620" t="s">
        <v>1071</v>
      </c>
      <c r="I620">
        <f t="shared" si="38"/>
        <v>7.25</v>
      </c>
      <c r="J620">
        <f t="shared" si="36"/>
        <v>3.2885446825</v>
      </c>
      <c r="K620">
        <v>1.61</v>
      </c>
      <c r="L620">
        <f t="shared" si="37"/>
        <v>5.294556938825</v>
      </c>
    </row>
    <row r="621" spans="1:12" x14ac:dyDescent="0.2">
      <c r="A621" s="4">
        <v>43437</v>
      </c>
      <c r="B621" t="s">
        <v>538</v>
      </c>
      <c r="C621">
        <v>1</v>
      </c>
      <c r="D621">
        <v>4</v>
      </c>
      <c r="E621">
        <v>2.5</v>
      </c>
      <c r="F621" t="s">
        <v>436</v>
      </c>
      <c r="G621" s="6" t="s">
        <v>861</v>
      </c>
      <c r="H621" t="s">
        <v>1071</v>
      </c>
      <c r="I621">
        <f t="shared" si="38"/>
        <v>10</v>
      </c>
      <c r="J621">
        <f t="shared" si="36"/>
        <v>4.5359237000000006</v>
      </c>
      <c r="K621">
        <v>1.61</v>
      </c>
      <c r="L621">
        <f t="shared" si="37"/>
        <v>7.3028371570000017</v>
      </c>
    </row>
    <row r="622" spans="1:12" x14ac:dyDescent="0.2">
      <c r="A622" s="4">
        <v>43437</v>
      </c>
      <c r="B622" t="s">
        <v>538</v>
      </c>
      <c r="C622">
        <v>2</v>
      </c>
      <c r="D622">
        <v>4</v>
      </c>
      <c r="E622">
        <v>30.3125</v>
      </c>
      <c r="F622" t="s">
        <v>470</v>
      </c>
      <c r="G622" s="6" t="s">
        <v>861</v>
      </c>
      <c r="H622" t="s">
        <v>1071</v>
      </c>
      <c r="I622">
        <f t="shared" si="38"/>
        <v>242.5</v>
      </c>
      <c r="J622">
        <f t="shared" si="36"/>
        <v>109.99614972500001</v>
      </c>
      <c r="K622">
        <v>1.61</v>
      </c>
      <c r="L622">
        <f t="shared" si="37"/>
        <v>177.09380105725003</v>
      </c>
    </row>
    <row r="623" spans="1:12" x14ac:dyDescent="0.2">
      <c r="A623" s="4">
        <v>43437</v>
      </c>
      <c r="B623" t="s">
        <v>538</v>
      </c>
      <c r="C623">
        <v>2</v>
      </c>
      <c r="D623">
        <v>4</v>
      </c>
      <c r="E623">
        <v>30.3125</v>
      </c>
      <c r="F623" t="s">
        <v>580</v>
      </c>
      <c r="G623" s="6" t="s">
        <v>861</v>
      </c>
      <c r="H623" t="s">
        <v>1071</v>
      </c>
      <c r="I623">
        <f t="shared" si="38"/>
        <v>242.5</v>
      </c>
      <c r="J623">
        <f t="shared" si="36"/>
        <v>109.99614972500001</v>
      </c>
      <c r="K623">
        <v>1.61</v>
      </c>
      <c r="L623">
        <f t="shared" si="37"/>
        <v>177.09380105725003</v>
      </c>
    </row>
    <row r="624" spans="1:12" x14ac:dyDescent="0.2">
      <c r="A624" s="4">
        <v>43437</v>
      </c>
      <c r="B624" t="s">
        <v>538</v>
      </c>
      <c r="C624">
        <v>1</v>
      </c>
      <c r="D624">
        <v>4</v>
      </c>
      <c r="E624">
        <v>3.125</v>
      </c>
      <c r="F624" t="s">
        <v>453</v>
      </c>
      <c r="G624" s="6" t="s">
        <v>861</v>
      </c>
      <c r="H624" t="s">
        <v>1071</v>
      </c>
      <c r="I624">
        <f t="shared" si="38"/>
        <v>12.5</v>
      </c>
      <c r="J624">
        <f t="shared" si="36"/>
        <v>5.669904625</v>
      </c>
      <c r="K624">
        <v>1.61</v>
      </c>
      <c r="L624">
        <f t="shared" si="37"/>
        <v>9.1285464462500006</v>
      </c>
    </row>
    <row r="625" spans="1:12" x14ac:dyDescent="0.2">
      <c r="A625" s="4">
        <v>43439</v>
      </c>
      <c r="B625" t="s">
        <v>538</v>
      </c>
      <c r="C625">
        <v>1</v>
      </c>
      <c r="D625">
        <v>4</v>
      </c>
      <c r="E625">
        <v>1.8125</v>
      </c>
      <c r="F625" t="s">
        <v>575</v>
      </c>
      <c r="G625" s="6" t="s">
        <v>861</v>
      </c>
      <c r="H625" t="s">
        <v>1071</v>
      </c>
      <c r="I625">
        <f t="shared" si="38"/>
        <v>7.25</v>
      </c>
      <c r="J625">
        <f t="shared" si="36"/>
        <v>3.2885446825</v>
      </c>
      <c r="K625">
        <v>1.61</v>
      </c>
      <c r="L625">
        <f t="shared" si="37"/>
        <v>5.294556938825</v>
      </c>
    </row>
    <row r="626" spans="1:12" x14ac:dyDescent="0.2">
      <c r="A626" s="4">
        <v>43439</v>
      </c>
      <c r="B626" t="s">
        <v>538</v>
      </c>
      <c r="C626">
        <v>3</v>
      </c>
      <c r="D626">
        <v>4</v>
      </c>
      <c r="E626">
        <v>2.5</v>
      </c>
      <c r="F626" t="s">
        <v>436</v>
      </c>
      <c r="G626" s="6" t="s">
        <v>861</v>
      </c>
      <c r="H626" t="s">
        <v>1071</v>
      </c>
      <c r="I626">
        <f t="shared" si="38"/>
        <v>30</v>
      </c>
      <c r="J626">
        <f t="shared" si="36"/>
        <v>13.607771100000001</v>
      </c>
      <c r="K626">
        <v>1.61</v>
      </c>
      <c r="L626">
        <f t="shared" si="37"/>
        <v>21.908511471000004</v>
      </c>
    </row>
    <row r="627" spans="1:12" x14ac:dyDescent="0.2">
      <c r="A627" s="4">
        <v>43439</v>
      </c>
      <c r="B627" t="s">
        <v>538</v>
      </c>
      <c r="C627">
        <v>3</v>
      </c>
      <c r="D627">
        <v>4</v>
      </c>
      <c r="E627">
        <v>30.3125</v>
      </c>
      <c r="F627" t="s">
        <v>470</v>
      </c>
      <c r="G627" s="6" t="s">
        <v>861</v>
      </c>
      <c r="H627" t="s">
        <v>1071</v>
      </c>
      <c r="I627">
        <f t="shared" si="38"/>
        <v>363.75</v>
      </c>
      <c r="J627">
        <f t="shared" si="36"/>
        <v>164.99422458750001</v>
      </c>
      <c r="K627">
        <v>1.61</v>
      </c>
      <c r="L627">
        <f t="shared" si="37"/>
        <v>265.64070158587504</v>
      </c>
    </row>
    <row r="628" spans="1:12" x14ac:dyDescent="0.2">
      <c r="A628" s="4">
        <v>43439</v>
      </c>
      <c r="B628" t="s">
        <v>538</v>
      </c>
      <c r="C628">
        <v>1</v>
      </c>
      <c r="D628">
        <v>4</v>
      </c>
      <c r="E628">
        <v>30.3125</v>
      </c>
      <c r="F628" t="s">
        <v>580</v>
      </c>
      <c r="G628" s="6" t="s">
        <v>861</v>
      </c>
      <c r="H628" t="s">
        <v>1071</v>
      </c>
      <c r="I628">
        <f t="shared" si="38"/>
        <v>121.25</v>
      </c>
      <c r="J628">
        <f t="shared" si="36"/>
        <v>54.998074862500005</v>
      </c>
      <c r="K628">
        <v>1.61</v>
      </c>
      <c r="L628">
        <f t="shared" si="37"/>
        <v>88.546900528625017</v>
      </c>
    </row>
    <row r="629" spans="1:12" x14ac:dyDescent="0.2">
      <c r="A629" s="4">
        <v>43439</v>
      </c>
      <c r="B629" t="s">
        <v>538</v>
      </c>
      <c r="C629">
        <v>4</v>
      </c>
      <c r="D629">
        <v>4</v>
      </c>
      <c r="E629">
        <v>40.3125</v>
      </c>
      <c r="F629" t="s">
        <v>548</v>
      </c>
      <c r="G629" s="6" t="s">
        <v>861</v>
      </c>
      <c r="H629" t="s">
        <v>1071</v>
      </c>
      <c r="I629">
        <f t="shared" si="38"/>
        <v>645</v>
      </c>
      <c r="J629">
        <f t="shared" si="36"/>
        <v>292.56707865000004</v>
      </c>
      <c r="K629">
        <v>1.61</v>
      </c>
      <c r="L629">
        <f t="shared" si="37"/>
        <v>471.03299662650011</v>
      </c>
    </row>
    <row r="630" spans="1:12" x14ac:dyDescent="0.2">
      <c r="A630" s="4">
        <v>43439</v>
      </c>
      <c r="B630" t="s">
        <v>538</v>
      </c>
      <c r="C630">
        <v>1</v>
      </c>
      <c r="D630">
        <v>4</v>
      </c>
      <c r="E630">
        <v>3.125</v>
      </c>
      <c r="F630" t="s">
        <v>453</v>
      </c>
      <c r="G630" s="6" t="s">
        <v>861</v>
      </c>
      <c r="H630" t="s">
        <v>1071</v>
      </c>
      <c r="I630">
        <f t="shared" si="38"/>
        <v>12.5</v>
      </c>
      <c r="J630">
        <f t="shared" si="36"/>
        <v>5.669904625</v>
      </c>
      <c r="K630">
        <v>1.61</v>
      </c>
      <c r="L630">
        <f t="shared" si="37"/>
        <v>9.1285464462500006</v>
      </c>
    </row>
    <row r="631" spans="1:12" x14ac:dyDescent="0.2">
      <c r="A631" s="4">
        <v>43434</v>
      </c>
      <c r="B631" t="s">
        <v>538</v>
      </c>
      <c r="C631">
        <v>2</v>
      </c>
      <c r="D631">
        <v>4</v>
      </c>
      <c r="E631">
        <v>30.0625</v>
      </c>
      <c r="F631" t="s">
        <v>545</v>
      </c>
      <c r="G631" s="6" t="s">
        <v>901</v>
      </c>
      <c r="H631" t="s">
        <v>1071</v>
      </c>
      <c r="I631">
        <f t="shared" si="38"/>
        <v>240.5</v>
      </c>
      <c r="J631">
        <f t="shared" si="36"/>
        <v>109.088964985</v>
      </c>
      <c r="K631">
        <v>1.61</v>
      </c>
      <c r="L631">
        <f t="shared" si="37"/>
        <v>175.63323362585001</v>
      </c>
    </row>
    <row r="632" spans="1:12" x14ac:dyDescent="0.2">
      <c r="A632" s="4">
        <v>43434</v>
      </c>
      <c r="B632" t="s">
        <v>538</v>
      </c>
      <c r="C632">
        <v>2</v>
      </c>
      <c r="D632">
        <v>4</v>
      </c>
      <c r="E632">
        <v>2.5</v>
      </c>
      <c r="F632" t="s">
        <v>436</v>
      </c>
      <c r="G632" s="6" t="s">
        <v>903</v>
      </c>
      <c r="H632" t="s">
        <v>1071</v>
      </c>
      <c r="I632">
        <f t="shared" si="38"/>
        <v>20</v>
      </c>
      <c r="J632">
        <f t="shared" si="36"/>
        <v>9.0718474000000011</v>
      </c>
      <c r="K632">
        <v>1.61</v>
      </c>
      <c r="L632">
        <f t="shared" si="37"/>
        <v>14.605674314000003</v>
      </c>
    </row>
    <row r="633" spans="1:12" x14ac:dyDescent="0.2">
      <c r="A633" s="4">
        <v>43434</v>
      </c>
      <c r="B633" t="s">
        <v>538</v>
      </c>
      <c r="C633">
        <v>4</v>
      </c>
      <c r="D633">
        <v>4</v>
      </c>
      <c r="E633">
        <v>3.125</v>
      </c>
      <c r="F633" t="s">
        <v>453</v>
      </c>
      <c r="G633" s="6" t="s">
        <v>910</v>
      </c>
      <c r="H633" t="s">
        <v>1071</v>
      </c>
      <c r="I633">
        <f t="shared" si="38"/>
        <v>50</v>
      </c>
      <c r="J633">
        <f t="shared" si="36"/>
        <v>22.6796185</v>
      </c>
      <c r="K633">
        <v>1.61</v>
      </c>
      <c r="L633">
        <f t="shared" si="37"/>
        <v>36.514185785000002</v>
      </c>
    </row>
    <row r="634" spans="1:12" x14ac:dyDescent="0.2">
      <c r="A634" s="4">
        <v>43434</v>
      </c>
      <c r="B634" t="s">
        <v>517</v>
      </c>
      <c r="C634">
        <v>2</v>
      </c>
      <c r="D634">
        <v>6</v>
      </c>
      <c r="E634">
        <v>1</v>
      </c>
      <c r="F634" t="s">
        <v>519</v>
      </c>
      <c r="G634" t="s">
        <v>847</v>
      </c>
      <c r="H634" t="s">
        <v>1073</v>
      </c>
      <c r="I634">
        <f t="shared" si="38"/>
        <v>12</v>
      </c>
      <c r="J634">
        <f t="shared" si="36"/>
        <v>5.4431084400000005</v>
      </c>
      <c r="K634">
        <v>9.9740000000000002</v>
      </c>
      <c r="L634">
        <f t="shared" si="37"/>
        <v>54.289563580560007</v>
      </c>
    </row>
    <row r="635" spans="1:12" x14ac:dyDescent="0.2">
      <c r="A635" s="4">
        <v>43434</v>
      </c>
      <c r="B635" t="s">
        <v>517</v>
      </c>
      <c r="C635">
        <v>2</v>
      </c>
      <c r="D635">
        <v>6</v>
      </c>
      <c r="E635">
        <v>3</v>
      </c>
      <c r="F635" t="s">
        <v>387</v>
      </c>
      <c r="G635" t="s">
        <v>847</v>
      </c>
      <c r="H635" t="s">
        <v>1073</v>
      </c>
      <c r="I635">
        <f t="shared" si="38"/>
        <v>36</v>
      </c>
      <c r="J635">
        <f t="shared" si="36"/>
        <v>16.329325319999999</v>
      </c>
      <c r="K635">
        <v>9.9740000000000002</v>
      </c>
      <c r="L635">
        <f t="shared" si="37"/>
        <v>162.86869074167998</v>
      </c>
    </row>
    <row r="636" spans="1:12" x14ac:dyDescent="0.2">
      <c r="A636" s="4">
        <v>43434</v>
      </c>
      <c r="B636" t="s">
        <v>517</v>
      </c>
      <c r="C636">
        <v>2</v>
      </c>
      <c r="D636">
        <v>4</v>
      </c>
      <c r="E636">
        <v>5</v>
      </c>
      <c r="F636" t="s">
        <v>389</v>
      </c>
      <c r="G636" t="s">
        <v>847</v>
      </c>
      <c r="H636" t="s">
        <v>1073</v>
      </c>
      <c r="I636">
        <f t="shared" si="38"/>
        <v>40</v>
      </c>
      <c r="J636">
        <f t="shared" si="36"/>
        <v>18.143694800000002</v>
      </c>
      <c r="K636">
        <v>9.9740000000000002</v>
      </c>
      <c r="L636">
        <f t="shared" si="37"/>
        <v>180.96521193520002</v>
      </c>
    </row>
    <row r="637" spans="1:12" x14ac:dyDescent="0.2">
      <c r="A637" s="4">
        <v>43434</v>
      </c>
      <c r="B637" t="s">
        <v>517</v>
      </c>
      <c r="C637">
        <v>15</v>
      </c>
      <c r="D637">
        <v>4</v>
      </c>
      <c r="E637">
        <v>5</v>
      </c>
      <c r="F637" t="s">
        <v>521</v>
      </c>
      <c r="G637" t="s">
        <v>847</v>
      </c>
      <c r="H637" t="s">
        <v>1073</v>
      </c>
      <c r="I637">
        <f t="shared" ref="I637:I668" si="39">C637*D637*E637</f>
        <v>300</v>
      </c>
      <c r="J637">
        <f t="shared" si="36"/>
        <v>136.07771100000002</v>
      </c>
      <c r="K637">
        <v>9.9740000000000002</v>
      </c>
      <c r="L637">
        <f t="shared" si="37"/>
        <v>1357.2390895140002</v>
      </c>
    </row>
    <row r="638" spans="1:12" x14ac:dyDescent="0.2">
      <c r="A638" s="4">
        <v>43434</v>
      </c>
      <c r="B638" t="s">
        <v>517</v>
      </c>
      <c r="C638">
        <v>1</v>
      </c>
      <c r="D638">
        <v>4</v>
      </c>
      <c r="E638">
        <v>5</v>
      </c>
      <c r="F638" t="s">
        <v>390</v>
      </c>
      <c r="G638" t="s">
        <v>847</v>
      </c>
      <c r="H638" t="s">
        <v>1073</v>
      </c>
      <c r="I638">
        <f t="shared" si="39"/>
        <v>20</v>
      </c>
      <c r="J638">
        <f t="shared" si="36"/>
        <v>9.0718474000000011</v>
      </c>
      <c r="K638">
        <v>9.9740000000000002</v>
      </c>
      <c r="L638">
        <f t="shared" si="37"/>
        <v>90.482605967600009</v>
      </c>
    </row>
    <row r="639" spans="1:12" x14ac:dyDescent="0.2">
      <c r="A639" s="4">
        <v>43434</v>
      </c>
      <c r="B639" t="s">
        <v>517</v>
      </c>
      <c r="C639">
        <v>4</v>
      </c>
      <c r="D639">
        <v>4</v>
      </c>
      <c r="E639">
        <v>5</v>
      </c>
      <c r="F639" t="s">
        <v>391</v>
      </c>
      <c r="G639" t="s">
        <v>847</v>
      </c>
      <c r="H639" t="s">
        <v>1073</v>
      </c>
      <c r="I639">
        <f t="shared" si="39"/>
        <v>80</v>
      </c>
      <c r="J639">
        <f t="shared" si="36"/>
        <v>36.287389600000004</v>
      </c>
      <c r="K639">
        <v>9.9740000000000002</v>
      </c>
      <c r="L639">
        <f t="shared" si="37"/>
        <v>361.93042387040003</v>
      </c>
    </row>
    <row r="640" spans="1:12" x14ac:dyDescent="0.2">
      <c r="A640" s="4">
        <v>43434</v>
      </c>
      <c r="B640" t="s">
        <v>517</v>
      </c>
      <c r="C640">
        <v>3</v>
      </c>
      <c r="D640">
        <v>4</v>
      </c>
      <c r="E640">
        <v>5</v>
      </c>
      <c r="F640" t="s">
        <v>522</v>
      </c>
      <c r="G640" t="s">
        <v>847</v>
      </c>
      <c r="H640" t="s">
        <v>1073</v>
      </c>
      <c r="I640">
        <f t="shared" si="39"/>
        <v>60</v>
      </c>
      <c r="J640">
        <f t="shared" si="36"/>
        <v>27.215542200000002</v>
      </c>
      <c r="K640">
        <v>9.9740000000000002</v>
      </c>
      <c r="L640">
        <f t="shared" si="37"/>
        <v>271.44781790280001</v>
      </c>
    </row>
    <row r="641" spans="1:12" x14ac:dyDescent="0.2">
      <c r="A641" s="4">
        <v>43434</v>
      </c>
      <c r="B641" t="s">
        <v>517</v>
      </c>
      <c r="C641">
        <v>2</v>
      </c>
      <c r="D641">
        <v>4</v>
      </c>
      <c r="E641">
        <v>2.5</v>
      </c>
      <c r="F641" t="s">
        <v>1008</v>
      </c>
      <c r="G641" t="s">
        <v>847</v>
      </c>
      <c r="H641" t="s">
        <v>1073</v>
      </c>
      <c r="I641">
        <f t="shared" si="39"/>
        <v>20</v>
      </c>
      <c r="J641">
        <f t="shared" si="36"/>
        <v>9.0718474000000011</v>
      </c>
      <c r="K641">
        <v>9.9740000000000002</v>
      </c>
      <c r="L641">
        <f t="shared" si="37"/>
        <v>90.482605967600009</v>
      </c>
    </row>
    <row r="642" spans="1:12" x14ac:dyDescent="0.2">
      <c r="A642" s="4">
        <v>43434</v>
      </c>
      <c r="B642" t="s">
        <v>517</v>
      </c>
      <c r="C642">
        <v>2</v>
      </c>
      <c r="D642">
        <v>4</v>
      </c>
      <c r="E642">
        <v>2.5</v>
      </c>
      <c r="F642" t="s">
        <v>1009</v>
      </c>
      <c r="G642" t="s">
        <v>847</v>
      </c>
      <c r="H642" t="s">
        <v>1073</v>
      </c>
      <c r="I642">
        <f t="shared" si="39"/>
        <v>20</v>
      </c>
      <c r="J642">
        <f t="shared" si="36"/>
        <v>9.0718474000000011</v>
      </c>
      <c r="K642">
        <v>9.9740000000000002</v>
      </c>
      <c r="L642">
        <f t="shared" si="37"/>
        <v>90.482605967600009</v>
      </c>
    </row>
    <row r="643" spans="1:12" x14ac:dyDescent="0.2">
      <c r="A643" s="4">
        <v>43434</v>
      </c>
      <c r="B643" t="s">
        <v>517</v>
      </c>
      <c r="C643">
        <v>2</v>
      </c>
      <c r="D643">
        <v>8</v>
      </c>
      <c r="E643">
        <v>1.25</v>
      </c>
      <c r="F643" t="s">
        <v>1010</v>
      </c>
      <c r="G643" t="s">
        <v>847</v>
      </c>
      <c r="H643" t="s">
        <v>1073</v>
      </c>
      <c r="I643">
        <f t="shared" si="39"/>
        <v>20</v>
      </c>
      <c r="J643">
        <f t="shared" ref="J643:J706" si="40">CONVERT(I643,"lbm","kg")</f>
        <v>9.0718474000000011</v>
      </c>
      <c r="K643">
        <v>9.9740000000000002</v>
      </c>
      <c r="L643">
        <f t="shared" ref="L643:L706" si="41">J643*K643</f>
        <v>90.482605967600009</v>
      </c>
    </row>
    <row r="644" spans="1:12" x14ac:dyDescent="0.2">
      <c r="A644" s="4">
        <v>43434</v>
      </c>
      <c r="B644" t="s">
        <v>517</v>
      </c>
      <c r="C644">
        <v>2</v>
      </c>
      <c r="D644">
        <v>4</v>
      </c>
      <c r="E644">
        <v>2.5</v>
      </c>
      <c r="F644" t="s">
        <v>1011</v>
      </c>
      <c r="G644" t="s">
        <v>847</v>
      </c>
      <c r="H644" t="s">
        <v>1073</v>
      </c>
      <c r="I644">
        <f t="shared" si="39"/>
        <v>20</v>
      </c>
      <c r="J644">
        <f t="shared" si="40"/>
        <v>9.0718474000000011</v>
      </c>
      <c r="K644">
        <v>9.9740000000000002</v>
      </c>
      <c r="L644">
        <f t="shared" si="41"/>
        <v>90.482605967600009</v>
      </c>
    </row>
    <row r="645" spans="1:12" x14ac:dyDescent="0.2">
      <c r="A645" s="4">
        <v>43434</v>
      </c>
      <c r="B645" t="s">
        <v>517</v>
      </c>
      <c r="C645">
        <v>1</v>
      </c>
      <c r="D645">
        <v>2</v>
      </c>
      <c r="E645">
        <v>5</v>
      </c>
      <c r="F645" t="s">
        <v>393</v>
      </c>
      <c r="G645" t="s">
        <v>847</v>
      </c>
      <c r="H645" t="s">
        <v>1073</v>
      </c>
      <c r="I645">
        <f t="shared" si="39"/>
        <v>10</v>
      </c>
      <c r="J645">
        <f t="shared" si="40"/>
        <v>4.5359237000000006</v>
      </c>
      <c r="K645">
        <v>9.9740000000000002</v>
      </c>
      <c r="L645">
        <f t="shared" si="41"/>
        <v>45.241302983800004</v>
      </c>
    </row>
    <row r="646" spans="1:12" x14ac:dyDescent="0.2">
      <c r="A646" s="4">
        <v>43434</v>
      </c>
      <c r="B646" t="s">
        <v>517</v>
      </c>
      <c r="C646">
        <v>1</v>
      </c>
      <c r="D646">
        <v>6</v>
      </c>
      <c r="E646">
        <v>2</v>
      </c>
      <c r="F646" t="s">
        <v>523</v>
      </c>
      <c r="G646" t="s">
        <v>847</v>
      </c>
      <c r="H646" t="s">
        <v>1073</v>
      </c>
      <c r="I646">
        <f t="shared" si="39"/>
        <v>12</v>
      </c>
      <c r="J646">
        <f t="shared" si="40"/>
        <v>5.4431084400000005</v>
      </c>
      <c r="K646">
        <v>9.9740000000000002</v>
      </c>
      <c r="L646">
        <f t="shared" si="41"/>
        <v>54.289563580560007</v>
      </c>
    </row>
    <row r="647" spans="1:12" x14ac:dyDescent="0.2">
      <c r="A647" s="4">
        <v>43434</v>
      </c>
      <c r="B647" t="s">
        <v>517</v>
      </c>
      <c r="C647">
        <v>1</v>
      </c>
      <c r="D647">
        <v>6</v>
      </c>
      <c r="E647">
        <v>3</v>
      </c>
      <c r="F647" t="s">
        <v>394</v>
      </c>
      <c r="G647" t="s">
        <v>847</v>
      </c>
      <c r="H647" t="s">
        <v>1073</v>
      </c>
      <c r="I647">
        <f t="shared" si="39"/>
        <v>18</v>
      </c>
      <c r="J647">
        <f t="shared" si="40"/>
        <v>8.1646626599999994</v>
      </c>
      <c r="K647">
        <v>9.9740000000000002</v>
      </c>
      <c r="L647">
        <f t="shared" si="41"/>
        <v>81.434345370839992</v>
      </c>
    </row>
    <row r="648" spans="1:12" x14ac:dyDescent="0.2">
      <c r="A648" s="4">
        <v>43437</v>
      </c>
      <c r="B648" t="s">
        <v>517</v>
      </c>
      <c r="C648">
        <v>4</v>
      </c>
      <c r="D648">
        <v>4</v>
      </c>
      <c r="E648">
        <v>5</v>
      </c>
      <c r="F648" t="s">
        <v>391</v>
      </c>
      <c r="G648" t="s">
        <v>847</v>
      </c>
      <c r="H648" t="s">
        <v>1073</v>
      </c>
      <c r="I648">
        <f t="shared" si="39"/>
        <v>80</v>
      </c>
      <c r="J648">
        <f t="shared" si="40"/>
        <v>36.287389600000004</v>
      </c>
      <c r="K648">
        <v>9.9740000000000002</v>
      </c>
      <c r="L648">
        <f t="shared" si="41"/>
        <v>361.93042387040003</v>
      </c>
    </row>
    <row r="649" spans="1:12" x14ac:dyDescent="0.2">
      <c r="A649" s="4">
        <v>43437</v>
      </c>
      <c r="B649" t="s">
        <v>517</v>
      </c>
      <c r="C649">
        <v>6</v>
      </c>
      <c r="D649">
        <v>4</v>
      </c>
      <c r="E649">
        <v>5</v>
      </c>
      <c r="F649" t="s">
        <v>392</v>
      </c>
      <c r="G649" t="s">
        <v>847</v>
      </c>
      <c r="H649" t="s">
        <v>1073</v>
      </c>
      <c r="I649">
        <f t="shared" si="39"/>
        <v>120</v>
      </c>
      <c r="J649">
        <f t="shared" si="40"/>
        <v>54.431084400000003</v>
      </c>
      <c r="K649">
        <v>9.9740000000000002</v>
      </c>
      <c r="L649">
        <f t="shared" si="41"/>
        <v>542.89563580560002</v>
      </c>
    </row>
    <row r="650" spans="1:12" x14ac:dyDescent="0.2">
      <c r="A650" s="4">
        <v>43437</v>
      </c>
      <c r="B650" t="s">
        <v>517</v>
      </c>
      <c r="C650">
        <v>3</v>
      </c>
      <c r="D650">
        <v>2</v>
      </c>
      <c r="E650">
        <v>5</v>
      </c>
      <c r="F650" t="s">
        <v>393</v>
      </c>
      <c r="G650" t="s">
        <v>847</v>
      </c>
      <c r="H650" t="s">
        <v>1073</v>
      </c>
      <c r="I650">
        <f t="shared" si="39"/>
        <v>30</v>
      </c>
      <c r="J650">
        <f t="shared" si="40"/>
        <v>13.607771100000001</v>
      </c>
      <c r="K650">
        <v>9.9740000000000002</v>
      </c>
      <c r="L650">
        <f t="shared" si="41"/>
        <v>135.72390895140001</v>
      </c>
    </row>
    <row r="651" spans="1:12" x14ac:dyDescent="0.2">
      <c r="A651" s="4">
        <v>43439</v>
      </c>
      <c r="B651" t="s">
        <v>517</v>
      </c>
      <c r="C651">
        <v>1</v>
      </c>
      <c r="D651">
        <v>10</v>
      </c>
      <c r="E651">
        <v>3</v>
      </c>
      <c r="F651" t="s">
        <v>587</v>
      </c>
      <c r="G651" t="s">
        <v>847</v>
      </c>
      <c r="H651" t="s">
        <v>1073</v>
      </c>
      <c r="I651">
        <f t="shared" si="39"/>
        <v>30</v>
      </c>
      <c r="J651">
        <f t="shared" si="40"/>
        <v>13.607771100000001</v>
      </c>
      <c r="K651">
        <v>9.9740000000000002</v>
      </c>
      <c r="L651">
        <f t="shared" si="41"/>
        <v>135.72390895140001</v>
      </c>
    </row>
    <row r="652" spans="1:12" x14ac:dyDescent="0.2">
      <c r="A652" s="4">
        <v>43439</v>
      </c>
      <c r="B652" t="s">
        <v>517</v>
      </c>
      <c r="C652">
        <v>2</v>
      </c>
      <c r="D652">
        <v>4</v>
      </c>
      <c r="E652">
        <v>5</v>
      </c>
      <c r="F652" t="s">
        <v>390</v>
      </c>
      <c r="G652" t="s">
        <v>847</v>
      </c>
      <c r="H652" t="s">
        <v>1073</v>
      </c>
      <c r="I652">
        <f t="shared" si="39"/>
        <v>40</v>
      </c>
      <c r="J652">
        <f t="shared" si="40"/>
        <v>18.143694800000002</v>
      </c>
      <c r="K652">
        <v>9.9740000000000002</v>
      </c>
      <c r="L652">
        <f t="shared" si="41"/>
        <v>180.96521193520002</v>
      </c>
    </row>
    <row r="653" spans="1:12" x14ac:dyDescent="0.2">
      <c r="A653" s="4">
        <v>43439</v>
      </c>
      <c r="B653" t="s">
        <v>517</v>
      </c>
      <c r="C653">
        <v>2</v>
      </c>
      <c r="D653">
        <v>4</v>
      </c>
      <c r="E653">
        <v>5</v>
      </c>
      <c r="F653" t="s">
        <v>391</v>
      </c>
      <c r="G653" t="s">
        <v>847</v>
      </c>
      <c r="H653" t="s">
        <v>1073</v>
      </c>
      <c r="I653">
        <f t="shared" si="39"/>
        <v>40</v>
      </c>
      <c r="J653">
        <f t="shared" si="40"/>
        <v>18.143694800000002</v>
      </c>
      <c r="K653">
        <v>9.9740000000000002</v>
      </c>
      <c r="L653">
        <f t="shared" si="41"/>
        <v>180.96521193520002</v>
      </c>
    </row>
    <row r="654" spans="1:12" x14ac:dyDescent="0.2">
      <c r="A654" s="4">
        <v>43439</v>
      </c>
      <c r="B654" t="s">
        <v>517</v>
      </c>
      <c r="C654">
        <v>5</v>
      </c>
      <c r="D654">
        <v>4</v>
      </c>
      <c r="E654">
        <v>5</v>
      </c>
      <c r="F654" t="s">
        <v>392</v>
      </c>
      <c r="G654" t="s">
        <v>847</v>
      </c>
      <c r="H654" t="s">
        <v>1073</v>
      </c>
      <c r="I654">
        <f t="shared" si="39"/>
        <v>100</v>
      </c>
      <c r="J654">
        <f t="shared" si="40"/>
        <v>45.359237</v>
      </c>
      <c r="K654">
        <v>9.9740000000000002</v>
      </c>
      <c r="L654">
        <f t="shared" si="41"/>
        <v>452.413029838</v>
      </c>
    </row>
    <row r="655" spans="1:12" x14ac:dyDescent="0.2">
      <c r="A655" s="4">
        <v>43439</v>
      </c>
      <c r="B655" t="s">
        <v>517</v>
      </c>
      <c r="C655">
        <v>1</v>
      </c>
      <c r="D655">
        <v>4</v>
      </c>
      <c r="E655">
        <v>2.5</v>
      </c>
      <c r="F655" t="s">
        <v>1008</v>
      </c>
      <c r="G655" t="s">
        <v>847</v>
      </c>
      <c r="H655" t="s">
        <v>1073</v>
      </c>
      <c r="I655">
        <f t="shared" si="39"/>
        <v>10</v>
      </c>
      <c r="J655">
        <f t="shared" si="40"/>
        <v>4.5359237000000006</v>
      </c>
      <c r="K655">
        <v>9.9740000000000002</v>
      </c>
      <c r="L655">
        <f t="shared" si="41"/>
        <v>45.241302983800004</v>
      </c>
    </row>
    <row r="656" spans="1:12" x14ac:dyDescent="0.2">
      <c r="A656" s="4">
        <v>43439</v>
      </c>
      <c r="B656" t="s">
        <v>517</v>
      </c>
      <c r="C656">
        <v>1</v>
      </c>
      <c r="D656">
        <v>8</v>
      </c>
      <c r="E656">
        <v>1.25</v>
      </c>
      <c r="F656" t="s">
        <v>1010</v>
      </c>
      <c r="G656" t="s">
        <v>847</v>
      </c>
      <c r="H656" t="s">
        <v>1073</v>
      </c>
      <c r="I656">
        <f t="shared" si="39"/>
        <v>10</v>
      </c>
      <c r="J656">
        <f t="shared" si="40"/>
        <v>4.5359237000000006</v>
      </c>
      <c r="K656">
        <v>9.9740000000000002</v>
      </c>
      <c r="L656">
        <f t="shared" si="41"/>
        <v>45.241302983800004</v>
      </c>
    </row>
    <row r="657" spans="1:12" x14ac:dyDescent="0.2">
      <c r="A657" s="4">
        <v>43439</v>
      </c>
      <c r="B657" t="s">
        <v>517</v>
      </c>
      <c r="C657">
        <v>2</v>
      </c>
      <c r="D657">
        <v>4</v>
      </c>
      <c r="E657">
        <v>2.5</v>
      </c>
      <c r="F657" t="s">
        <v>1011</v>
      </c>
      <c r="G657" t="s">
        <v>847</v>
      </c>
      <c r="H657" t="s">
        <v>1073</v>
      </c>
      <c r="I657">
        <f t="shared" si="39"/>
        <v>20</v>
      </c>
      <c r="J657">
        <f t="shared" si="40"/>
        <v>9.0718474000000011</v>
      </c>
      <c r="K657">
        <v>9.9740000000000002</v>
      </c>
      <c r="L657">
        <f t="shared" si="41"/>
        <v>90.482605967600009</v>
      </c>
    </row>
    <row r="658" spans="1:12" x14ac:dyDescent="0.2">
      <c r="A658" s="4">
        <v>43372</v>
      </c>
      <c r="B658" t="s">
        <v>48</v>
      </c>
      <c r="C658">
        <v>2</v>
      </c>
      <c r="D658">
        <v>1</v>
      </c>
      <c r="E658">
        <v>30</v>
      </c>
      <c r="F658" t="s">
        <v>183</v>
      </c>
      <c r="G658" t="s">
        <v>799</v>
      </c>
      <c r="H658" s="8" t="s">
        <v>1091</v>
      </c>
      <c r="I658">
        <f t="shared" si="39"/>
        <v>60</v>
      </c>
      <c r="J658">
        <f t="shared" si="40"/>
        <v>27.215542200000002</v>
      </c>
      <c r="K658">
        <v>9.9740000000000002</v>
      </c>
      <c r="L658" s="8">
        <f t="shared" si="41"/>
        <v>271.44781790280001</v>
      </c>
    </row>
    <row r="659" spans="1:12" x14ac:dyDescent="0.2">
      <c r="A659" s="10">
        <v>43371</v>
      </c>
      <c r="B659" s="9" t="s">
        <v>175</v>
      </c>
      <c r="C659">
        <v>1</v>
      </c>
      <c r="D659">
        <v>1</v>
      </c>
      <c r="E659" s="9">
        <v>160</v>
      </c>
      <c r="F659" s="9" t="s">
        <v>31</v>
      </c>
      <c r="G659" s="9" t="s">
        <v>755</v>
      </c>
      <c r="H659" s="8" t="s">
        <v>1072</v>
      </c>
      <c r="I659">
        <f t="shared" si="39"/>
        <v>160</v>
      </c>
      <c r="J659">
        <f t="shared" si="40"/>
        <v>72.574779200000009</v>
      </c>
      <c r="K659">
        <v>4.1879999999999997</v>
      </c>
      <c r="L659" s="8">
        <f t="shared" si="41"/>
        <v>303.94317528959999</v>
      </c>
    </row>
    <row r="660" spans="1:12" x14ac:dyDescent="0.2">
      <c r="A660" s="4">
        <v>43371</v>
      </c>
      <c r="B660" t="s">
        <v>196</v>
      </c>
      <c r="C660">
        <v>1</v>
      </c>
      <c r="D660">
        <v>1</v>
      </c>
      <c r="E660">
        <v>300</v>
      </c>
      <c r="F660" t="s">
        <v>197</v>
      </c>
      <c r="G660" t="s">
        <v>755</v>
      </c>
      <c r="H660" s="8" t="s">
        <v>1072</v>
      </c>
      <c r="I660">
        <f t="shared" si="39"/>
        <v>300</v>
      </c>
      <c r="J660">
        <f t="shared" si="40"/>
        <v>136.07771100000002</v>
      </c>
      <c r="K660">
        <v>4.1879999999999997</v>
      </c>
      <c r="L660" s="8">
        <f t="shared" si="41"/>
        <v>569.89345366800001</v>
      </c>
    </row>
    <row r="661" spans="1:12" x14ac:dyDescent="0.2">
      <c r="A661" s="4">
        <v>43371</v>
      </c>
      <c r="B661" t="s">
        <v>196</v>
      </c>
      <c r="C661">
        <v>1</v>
      </c>
      <c r="D661">
        <v>1</v>
      </c>
      <c r="E661">
        <v>300</v>
      </c>
      <c r="F661" t="s">
        <v>197</v>
      </c>
      <c r="G661" t="s">
        <v>755</v>
      </c>
      <c r="H661" s="8" t="s">
        <v>1072</v>
      </c>
      <c r="I661">
        <f t="shared" si="39"/>
        <v>300</v>
      </c>
      <c r="J661">
        <f t="shared" si="40"/>
        <v>136.07771100000002</v>
      </c>
      <c r="K661">
        <v>4.1879999999999997</v>
      </c>
      <c r="L661" s="8">
        <f t="shared" si="41"/>
        <v>569.89345366800001</v>
      </c>
    </row>
    <row r="662" spans="1:12" x14ac:dyDescent="0.2">
      <c r="A662" s="4">
        <v>43371</v>
      </c>
      <c r="B662" t="s">
        <v>196</v>
      </c>
      <c r="C662">
        <v>1</v>
      </c>
      <c r="D662">
        <v>1</v>
      </c>
      <c r="E662">
        <v>300</v>
      </c>
      <c r="F662" t="s">
        <v>51</v>
      </c>
      <c r="G662" t="s">
        <v>755</v>
      </c>
      <c r="H662" s="8" t="s">
        <v>1072</v>
      </c>
      <c r="I662">
        <f t="shared" si="39"/>
        <v>300</v>
      </c>
      <c r="J662">
        <f t="shared" si="40"/>
        <v>136.07771100000002</v>
      </c>
      <c r="K662">
        <v>4.1879999999999997</v>
      </c>
      <c r="L662" s="8">
        <f t="shared" si="41"/>
        <v>569.89345366800001</v>
      </c>
    </row>
    <row r="663" spans="1:12" x14ac:dyDescent="0.2">
      <c r="A663" s="4">
        <v>43371</v>
      </c>
      <c r="B663" t="s">
        <v>201</v>
      </c>
      <c r="C663">
        <v>1</v>
      </c>
      <c r="D663">
        <v>1</v>
      </c>
      <c r="E663">
        <v>120</v>
      </c>
      <c r="F663" t="s">
        <v>52</v>
      </c>
      <c r="G663" t="s">
        <v>755</v>
      </c>
      <c r="H663" s="8" t="s">
        <v>1072</v>
      </c>
      <c r="I663">
        <f t="shared" si="39"/>
        <v>120</v>
      </c>
      <c r="J663">
        <f t="shared" si="40"/>
        <v>54.431084400000003</v>
      </c>
      <c r="K663">
        <v>4.1879999999999997</v>
      </c>
      <c r="L663" s="8">
        <f t="shared" si="41"/>
        <v>227.95738146720001</v>
      </c>
    </row>
    <row r="664" spans="1:12" x14ac:dyDescent="0.2">
      <c r="A664" s="4">
        <v>43371</v>
      </c>
      <c r="B664" t="s">
        <v>201</v>
      </c>
      <c r="C664">
        <v>1</v>
      </c>
      <c r="D664">
        <v>1</v>
      </c>
      <c r="E664">
        <v>40</v>
      </c>
      <c r="F664" t="s">
        <v>197</v>
      </c>
      <c r="G664" t="s">
        <v>755</v>
      </c>
      <c r="H664" s="8" t="s">
        <v>1072</v>
      </c>
      <c r="I664">
        <f t="shared" si="39"/>
        <v>40</v>
      </c>
      <c r="J664">
        <f t="shared" si="40"/>
        <v>18.143694800000002</v>
      </c>
      <c r="K664">
        <v>4.1879999999999997</v>
      </c>
      <c r="L664" s="8">
        <f t="shared" si="41"/>
        <v>75.985793822399998</v>
      </c>
    </row>
    <row r="665" spans="1:12" x14ac:dyDescent="0.2">
      <c r="A665" s="4">
        <v>43374</v>
      </c>
      <c r="B665" t="s">
        <v>201</v>
      </c>
      <c r="C665">
        <v>1</v>
      </c>
      <c r="D665">
        <v>1</v>
      </c>
      <c r="E665">
        <v>300</v>
      </c>
      <c r="F665" t="s">
        <v>51</v>
      </c>
      <c r="G665" t="s">
        <v>755</v>
      </c>
      <c r="H665" s="8" t="s">
        <v>1072</v>
      </c>
      <c r="I665">
        <f t="shared" si="39"/>
        <v>300</v>
      </c>
      <c r="J665">
        <f t="shared" si="40"/>
        <v>136.07771100000002</v>
      </c>
      <c r="K665">
        <v>4.1879999999999997</v>
      </c>
      <c r="L665" s="8">
        <f t="shared" si="41"/>
        <v>569.89345366800001</v>
      </c>
    </row>
    <row r="666" spans="1:12" x14ac:dyDescent="0.2">
      <c r="A666" s="4">
        <v>43374</v>
      </c>
      <c r="B666" t="s">
        <v>201</v>
      </c>
      <c r="C666">
        <v>1</v>
      </c>
      <c r="D666">
        <v>1</v>
      </c>
      <c r="E666">
        <v>300</v>
      </c>
      <c r="F666" t="s">
        <v>199</v>
      </c>
      <c r="G666" t="s">
        <v>755</v>
      </c>
      <c r="H666" s="8" t="s">
        <v>1072</v>
      </c>
      <c r="I666">
        <f t="shared" si="39"/>
        <v>300</v>
      </c>
      <c r="J666">
        <f t="shared" si="40"/>
        <v>136.07771100000002</v>
      </c>
      <c r="K666">
        <v>4.1879999999999997</v>
      </c>
      <c r="L666" s="8">
        <f t="shared" si="41"/>
        <v>569.89345366800001</v>
      </c>
    </row>
    <row r="667" spans="1:12" x14ac:dyDescent="0.2">
      <c r="A667" s="4">
        <v>43374</v>
      </c>
      <c r="B667" t="s">
        <v>201</v>
      </c>
      <c r="C667">
        <v>1</v>
      </c>
      <c r="D667">
        <v>1</v>
      </c>
      <c r="E667">
        <v>20</v>
      </c>
      <c r="F667" t="s">
        <v>200</v>
      </c>
      <c r="G667" t="s">
        <v>755</v>
      </c>
      <c r="H667" s="8" t="s">
        <v>1072</v>
      </c>
      <c r="I667">
        <f t="shared" si="39"/>
        <v>20</v>
      </c>
      <c r="J667">
        <f t="shared" si="40"/>
        <v>9.0718474000000011</v>
      </c>
      <c r="K667">
        <v>4.1879999999999997</v>
      </c>
      <c r="L667" s="8">
        <f t="shared" si="41"/>
        <v>37.992896911199999</v>
      </c>
    </row>
    <row r="668" spans="1:12" x14ac:dyDescent="0.2">
      <c r="A668" s="4">
        <v>43374</v>
      </c>
      <c r="B668" t="s">
        <v>201</v>
      </c>
      <c r="C668">
        <v>1</v>
      </c>
      <c r="D668">
        <v>1</v>
      </c>
      <c r="E668">
        <v>160</v>
      </c>
      <c r="F668" t="s">
        <v>52</v>
      </c>
      <c r="G668" t="s">
        <v>755</v>
      </c>
      <c r="H668" s="8" t="s">
        <v>1072</v>
      </c>
      <c r="I668">
        <f t="shared" si="39"/>
        <v>160</v>
      </c>
      <c r="J668">
        <f t="shared" si="40"/>
        <v>72.574779200000009</v>
      </c>
      <c r="K668">
        <v>4.1879999999999997</v>
      </c>
      <c r="L668" s="8">
        <f t="shared" si="41"/>
        <v>303.94317528959999</v>
      </c>
    </row>
    <row r="669" spans="1:12" x14ac:dyDescent="0.2">
      <c r="A669" s="4">
        <v>43376</v>
      </c>
      <c r="B669" t="s">
        <v>201</v>
      </c>
      <c r="C669">
        <v>1</v>
      </c>
      <c r="D669">
        <v>1</v>
      </c>
      <c r="E669">
        <v>300</v>
      </c>
      <c r="F669" t="s">
        <v>51</v>
      </c>
      <c r="G669" t="s">
        <v>755</v>
      </c>
      <c r="H669" s="8" t="s">
        <v>1072</v>
      </c>
      <c r="I669">
        <f t="shared" ref="I669:I678" si="42">C669*D669*E669</f>
        <v>300</v>
      </c>
      <c r="J669">
        <f t="shared" si="40"/>
        <v>136.07771100000002</v>
      </c>
      <c r="K669">
        <v>4.1879999999999997</v>
      </c>
      <c r="L669" s="8">
        <f t="shared" si="41"/>
        <v>569.89345366800001</v>
      </c>
    </row>
    <row r="670" spans="1:12" x14ac:dyDescent="0.2">
      <c r="A670" s="4">
        <v>43376</v>
      </c>
      <c r="B670" t="s">
        <v>201</v>
      </c>
      <c r="C670">
        <v>1</v>
      </c>
      <c r="D670">
        <v>1</v>
      </c>
      <c r="E670">
        <v>300</v>
      </c>
      <c r="F670" t="s">
        <v>199</v>
      </c>
      <c r="G670" t="s">
        <v>755</v>
      </c>
      <c r="H670" s="8" t="s">
        <v>1072</v>
      </c>
      <c r="I670">
        <f t="shared" si="42"/>
        <v>300</v>
      </c>
      <c r="J670">
        <f t="shared" si="40"/>
        <v>136.07771100000002</v>
      </c>
      <c r="K670">
        <v>4.1879999999999997</v>
      </c>
      <c r="L670" s="8">
        <f t="shared" si="41"/>
        <v>569.89345366800001</v>
      </c>
    </row>
    <row r="671" spans="1:12" x14ac:dyDescent="0.2">
      <c r="A671" s="4">
        <v>43376</v>
      </c>
      <c r="B671" t="s">
        <v>201</v>
      </c>
      <c r="C671">
        <v>1</v>
      </c>
      <c r="D671">
        <v>1</v>
      </c>
      <c r="E671">
        <v>20</v>
      </c>
      <c r="F671" t="s">
        <v>200</v>
      </c>
      <c r="G671" t="s">
        <v>755</v>
      </c>
      <c r="H671" s="8" t="s">
        <v>1072</v>
      </c>
      <c r="I671">
        <f t="shared" si="42"/>
        <v>20</v>
      </c>
      <c r="J671">
        <f t="shared" si="40"/>
        <v>9.0718474000000011</v>
      </c>
      <c r="K671">
        <v>4.1879999999999997</v>
      </c>
      <c r="L671" s="8">
        <f t="shared" si="41"/>
        <v>37.992896911199999</v>
      </c>
    </row>
    <row r="672" spans="1:12" x14ac:dyDescent="0.2">
      <c r="A672" s="4">
        <v>43376</v>
      </c>
      <c r="B672" t="s">
        <v>201</v>
      </c>
      <c r="C672">
        <v>1</v>
      </c>
      <c r="D672">
        <v>1</v>
      </c>
      <c r="E672">
        <v>160</v>
      </c>
      <c r="F672" t="s">
        <v>52</v>
      </c>
      <c r="G672" t="s">
        <v>755</v>
      </c>
      <c r="H672" s="8" t="s">
        <v>1072</v>
      </c>
      <c r="I672">
        <f t="shared" si="42"/>
        <v>160</v>
      </c>
      <c r="J672">
        <f t="shared" si="40"/>
        <v>72.574779200000009</v>
      </c>
      <c r="K672">
        <v>4.1879999999999997</v>
      </c>
      <c r="L672" s="8">
        <f t="shared" si="41"/>
        <v>303.94317528959999</v>
      </c>
    </row>
    <row r="673" spans="1:12" x14ac:dyDescent="0.2">
      <c r="A673" s="4">
        <v>43376</v>
      </c>
      <c r="B673" t="s">
        <v>201</v>
      </c>
      <c r="C673">
        <v>1</v>
      </c>
      <c r="D673">
        <v>1</v>
      </c>
      <c r="E673">
        <v>300</v>
      </c>
      <c r="F673" t="s">
        <v>51</v>
      </c>
      <c r="G673" t="s">
        <v>755</v>
      </c>
      <c r="H673" s="8" t="s">
        <v>1072</v>
      </c>
      <c r="I673">
        <f t="shared" si="42"/>
        <v>300</v>
      </c>
      <c r="J673">
        <f t="shared" si="40"/>
        <v>136.07771100000002</v>
      </c>
      <c r="K673">
        <v>4.1879999999999997</v>
      </c>
      <c r="L673" s="8">
        <f t="shared" si="41"/>
        <v>569.89345366800001</v>
      </c>
    </row>
    <row r="674" spans="1:12" x14ac:dyDescent="0.2">
      <c r="A674" s="4">
        <v>43434</v>
      </c>
      <c r="B674" t="s">
        <v>538</v>
      </c>
      <c r="C674">
        <v>8</v>
      </c>
      <c r="D674">
        <v>6</v>
      </c>
      <c r="E674">
        <v>10</v>
      </c>
      <c r="F674" t="s">
        <v>539</v>
      </c>
      <c r="G674" t="s">
        <v>896</v>
      </c>
      <c r="H674" s="6" t="s">
        <v>1071</v>
      </c>
      <c r="I674">
        <f t="shared" si="42"/>
        <v>480</v>
      </c>
      <c r="J674">
        <f t="shared" si="40"/>
        <v>217.72433760000001</v>
      </c>
      <c r="K674">
        <v>0.49099999999999999</v>
      </c>
      <c r="L674">
        <f t="shared" si="41"/>
        <v>106.9026497616</v>
      </c>
    </row>
    <row r="675" spans="1:12" x14ac:dyDescent="0.2">
      <c r="A675" s="4">
        <v>43439</v>
      </c>
      <c r="B675" t="s">
        <v>538</v>
      </c>
      <c r="C675">
        <v>3</v>
      </c>
      <c r="D675">
        <v>6</v>
      </c>
      <c r="E675">
        <v>10</v>
      </c>
      <c r="F675" t="s">
        <v>539</v>
      </c>
      <c r="G675" t="s">
        <v>896</v>
      </c>
      <c r="H675" s="6" t="s">
        <v>1071</v>
      </c>
      <c r="I675">
        <f t="shared" si="42"/>
        <v>180</v>
      </c>
      <c r="J675">
        <f t="shared" si="40"/>
        <v>81.646626600000005</v>
      </c>
      <c r="K675">
        <v>0.49099999999999999</v>
      </c>
      <c r="L675">
        <f t="shared" si="41"/>
        <v>40.088493660600001</v>
      </c>
    </row>
    <row r="676" spans="1:12" x14ac:dyDescent="0.2">
      <c r="A676" s="4">
        <v>43434</v>
      </c>
      <c r="B676" t="s">
        <v>531</v>
      </c>
      <c r="C676">
        <v>11</v>
      </c>
      <c r="D676">
        <v>100</v>
      </c>
      <c r="E676">
        <f>2.6/16</f>
        <v>0.16250000000000001</v>
      </c>
      <c r="F676" t="s">
        <v>532</v>
      </c>
      <c r="G676" s="6" t="s">
        <v>853</v>
      </c>
      <c r="H676" s="6" t="s">
        <v>1071</v>
      </c>
      <c r="I676">
        <f t="shared" si="42"/>
        <v>178.75</v>
      </c>
      <c r="J676">
        <f t="shared" si="40"/>
        <v>81.079636137500003</v>
      </c>
      <c r="K676">
        <v>1.2</v>
      </c>
      <c r="L676">
        <f t="shared" si="41"/>
        <v>97.295563365000007</v>
      </c>
    </row>
    <row r="677" spans="1:12" x14ac:dyDescent="0.2">
      <c r="A677" s="4">
        <v>43372</v>
      </c>
      <c r="B677" t="s">
        <v>48</v>
      </c>
      <c r="C677">
        <v>2</v>
      </c>
      <c r="D677">
        <v>1</v>
      </c>
      <c r="E677">
        <f>30*(2.8/16)</f>
        <v>5.25</v>
      </c>
      <c r="F677" t="s">
        <v>88</v>
      </c>
      <c r="G677" t="s">
        <v>88</v>
      </c>
      <c r="H677" s="8" t="s">
        <v>1067</v>
      </c>
      <c r="I677">
        <f t="shared" si="42"/>
        <v>10.5</v>
      </c>
      <c r="J677">
        <f t="shared" si="40"/>
        <v>4.7627198850000001</v>
      </c>
      <c r="K677">
        <v>0.26100000000000001</v>
      </c>
      <c r="L677" s="8">
        <f t="shared" si="41"/>
        <v>1.2430698899850001</v>
      </c>
    </row>
    <row r="678" spans="1:12" x14ac:dyDescent="0.2">
      <c r="A678" s="4">
        <v>43371</v>
      </c>
      <c r="B678" t="s">
        <v>48</v>
      </c>
      <c r="C678">
        <v>1</v>
      </c>
      <c r="D678">
        <v>1</v>
      </c>
      <c r="E678">
        <f>30*(2.8/16)</f>
        <v>5.25</v>
      </c>
      <c r="F678" t="s">
        <v>88</v>
      </c>
      <c r="G678" t="s">
        <v>88</v>
      </c>
      <c r="H678" s="8" t="s">
        <v>1067</v>
      </c>
      <c r="I678">
        <f t="shared" si="42"/>
        <v>5.25</v>
      </c>
      <c r="J678">
        <f t="shared" si="40"/>
        <v>2.3813599425</v>
      </c>
      <c r="K678">
        <v>0.26100000000000001</v>
      </c>
      <c r="L678" s="8">
        <f t="shared" si="41"/>
        <v>0.62153494499250006</v>
      </c>
    </row>
    <row r="679" spans="1:12" x14ac:dyDescent="0.2">
      <c r="A679" s="4">
        <v>43439</v>
      </c>
      <c r="B679" t="s">
        <v>538</v>
      </c>
      <c r="C679">
        <v>1</v>
      </c>
      <c r="D679">
        <v>6</v>
      </c>
      <c r="E679" t="s">
        <v>422</v>
      </c>
      <c r="F679" t="s">
        <v>423</v>
      </c>
      <c r="G679" s="14" t="s">
        <v>919</v>
      </c>
      <c r="H679" s="6" t="s">
        <v>1071</v>
      </c>
      <c r="I679">
        <v>0</v>
      </c>
      <c r="J679">
        <f t="shared" si="40"/>
        <v>0</v>
      </c>
      <c r="K679">
        <v>33.646999999999998</v>
      </c>
      <c r="L679">
        <f t="shared" si="41"/>
        <v>0</v>
      </c>
    </row>
    <row r="680" spans="1:12" x14ac:dyDescent="0.2">
      <c r="A680" s="4">
        <v>43371</v>
      </c>
      <c r="B680" t="s">
        <v>48</v>
      </c>
      <c r="C680">
        <v>2</v>
      </c>
      <c r="D680">
        <v>1</v>
      </c>
      <c r="E680">
        <v>10</v>
      </c>
      <c r="F680" t="s">
        <v>213</v>
      </c>
      <c r="G680" t="s">
        <v>213</v>
      </c>
      <c r="H680" s="8" t="s">
        <v>1067</v>
      </c>
      <c r="I680">
        <f t="shared" ref="I680:I700" si="43">C680*D680*E680</f>
        <v>20</v>
      </c>
      <c r="J680">
        <f t="shared" si="40"/>
        <v>9.0718474000000011</v>
      </c>
      <c r="K680">
        <v>0.20599999999999999</v>
      </c>
      <c r="L680" s="8">
        <f t="shared" si="41"/>
        <v>1.8688005644000001</v>
      </c>
    </row>
    <row r="681" spans="1:12" x14ac:dyDescent="0.2">
      <c r="A681" s="4">
        <v>43377</v>
      </c>
      <c r="B681" t="s">
        <v>48</v>
      </c>
      <c r="C681" s="28">
        <v>3</v>
      </c>
      <c r="D681">
        <v>1</v>
      </c>
      <c r="E681">
        <v>10</v>
      </c>
      <c r="F681" t="s">
        <v>271</v>
      </c>
      <c r="G681" t="s">
        <v>794</v>
      </c>
      <c r="H681" s="8" t="s">
        <v>1067</v>
      </c>
      <c r="I681">
        <f t="shared" si="43"/>
        <v>30</v>
      </c>
      <c r="J681">
        <f t="shared" si="40"/>
        <v>13.607771100000001</v>
      </c>
      <c r="K681">
        <v>0.20599999999999999</v>
      </c>
      <c r="L681" s="8">
        <f t="shared" si="41"/>
        <v>2.8032008465999998</v>
      </c>
    </row>
    <row r="682" spans="1:12" x14ac:dyDescent="0.2">
      <c r="A682" s="4">
        <v>43434</v>
      </c>
      <c r="B682" t="s">
        <v>538</v>
      </c>
      <c r="C682">
        <v>4</v>
      </c>
      <c r="D682">
        <v>2</v>
      </c>
      <c r="E682">
        <f>1.5*9.59</f>
        <v>14.385</v>
      </c>
      <c r="F682" t="s">
        <v>563</v>
      </c>
      <c r="G682" s="6" t="s">
        <v>980</v>
      </c>
      <c r="H682" s="9" t="s">
        <v>1071</v>
      </c>
      <c r="I682">
        <f t="shared" si="43"/>
        <v>115.08</v>
      </c>
      <c r="J682">
        <f t="shared" si="40"/>
        <v>52.199409939600002</v>
      </c>
      <c r="K682">
        <v>3.33</v>
      </c>
      <c r="L682">
        <f t="shared" si="41"/>
        <v>173.82403509886802</v>
      </c>
    </row>
    <row r="683" spans="1:12" x14ac:dyDescent="0.2">
      <c r="A683" s="4">
        <v>43437</v>
      </c>
      <c r="B683" t="s">
        <v>538</v>
      </c>
      <c r="C683">
        <v>1</v>
      </c>
      <c r="D683">
        <v>6</v>
      </c>
      <c r="E683">
        <v>7.125</v>
      </c>
      <c r="F683" t="s">
        <v>1007</v>
      </c>
      <c r="G683" s="6" t="s">
        <v>980</v>
      </c>
      <c r="H683" s="9" t="s">
        <v>1071</v>
      </c>
      <c r="I683">
        <f t="shared" si="43"/>
        <v>42.75</v>
      </c>
      <c r="J683">
        <f t="shared" si="40"/>
        <v>19.391073817500001</v>
      </c>
      <c r="K683">
        <v>3.33</v>
      </c>
      <c r="L683">
        <f t="shared" si="41"/>
        <v>64.572275812275009</v>
      </c>
    </row>
    <row r="684" spans="1:12" x14ac:dyDescent="0.2">
      <c r="A684" s="4">
        <v>43439</v>
      </c>
      <c r="B684" t="s">
        <v>538</v>
      </c>
      <c r="C684">
        <v>2</v>
      </c>
      <c r="D684">
        <v>6</v>
      </c>
      <c r="E684">
        <v>7.125</v>
      </c>
      <c r="F684" t="s">
        <v>1007</v>
      </c>
      <c r="G684" s="6" t="s">
        <v>980</v>
      </c>
      <c r="H684" s="9" t="s">
        <v>1071</v>
      </c>
      <c r="I684">
        <f t="shared" si="43"/>
        <v>85.5</v>
      </c>
      <c r="J684">
        <f t="shared" si="40"/>
        <v>38.782147635000001</v>
      </c>
      <c r="K684">
        <v>3.33</v>
      </c>
      <c r="L684">
        <f t="shared" si="41"/>
        <v>129.14455162455002</v>
      </c>
    </row>
    <row r="685" spans="1:12" x14ac:dyDescent="0.2">
      <c r="A685" s="4">
        <v>43434</v>
      </c>
      <c r="B685" t="s">
        <v>538</v>
      </c>
      <c r="C685">
        <v>2</v>
      </c>
      <c r="D685">
        <v>2</v>
      </c>
      <c r="E685">
        <f>105/16</f>
        <v>6.5625</v>
      </c>
      <c r="F685" t="s">
        <v>561</v>
      </c>
      <c r="G685" s="6" t="s">
        <v>980</v>
      </c>
      <c r="H685" s="9" t="s">
        <v>1071</v>
      </c>
      <c r="I685">
        <f t="shared" si="43"/>
        <v>26.25</v>
      </c>
      <c r="J685">
        <f t="shared" si="40"/>
        <v>11.9067997125</v>
      </c>
      <c r="K685">
        <v>3.33</v>
      </c>
      <c r="L685">
        <f t="shared" si="41"/>
        <v>39.649643042625001</v>
      </c>
    </row>
    <row r="686" spans="1:12" x14ac:dyDescent="0.2">
      <c r="A686" s="4">
        <v>43439</v>
      </c>
      <c r="B686" t="s">
        <v>538</v>
      </c>
      <c r="C686">
        <v>1</v>
      </c>
      <c r="D686">
        <v>4</v>
      </c>
      <c r="E686">
        <f>105/16</f>
        <v>6.5625</v>
      </c>
      <c r="F686" t="s">
        <v>456</v>
      </c>
      <c r="G686" s="6" t="s">
        <v>980</v>
      </c>
      <c r="H686" s="9" t="s">
        <v>1071</v>
      </c>
      <c r="I686">
        <f t="shared" si="43"/>
        <v>26.25</v>
      </c>
      <c r="J686">
        <f t="shared" si="40"/>
        <v>11.9067997125</v>
      </c>
      <c r="K686">
        <v>3.33</v>
      </c>
      <c r="L686">
        <f t="shared" si="41"/>
        <v>39.649643042625001</v>
      </c>
    </row>
    <row r="687" spans="1:12" x14ac:dyDescent="0.2">
      <c r="A687" s="4">
        <v>43434</v>
      </c>
      <c r="B687" t="s">
        <v>538</v>
      </c>
      <c r="C687">
        <v>1</v>
      </c>
      <c r="D687">
        <v>6</v>
      </c>
      <c r="E687">
        <v>5</v>
      </c>
      <c r="F687" t="s">
        <v>549</v>
      </c>
      <c r="G687" s="6" t="s">
        <v>980</v>
      </c>
      <c r="H687" s="9" t="s">
        <v>1071</v>
      </c>
      <c r="I687">
        <f t="shared" si="43"/>
        <v>30</v>
      </c>
      <c r="J687">
        <f t="shared" si="40"/>
        <v>13.607771100000001</v>
      </c>
      <c r="K687">
        <v>3.33</v>
      </c>
      <c r="L687">
        <f t="shared" si="41"/>
        <v>45.313877763000001</v>
      </c>
    </row>
    <row r="688" spans="1:12" x14ac:dyDescent="0.2">
      <c r="A688" s="4">
        <v>43437</v>
      </c>
      <c r="B688" t="s">
        <v>538</v>
      </c>
      <c r="C688">
        <v>1</v>
      </c>
      <c r="D688">
        <v>4</v>
      </c>
      <c r="E688">
        <f>1.13*10.16</f>
        <v>11.480799999999999</v>
      </c>
      <c r="F688" t="s">
        <v>572</v>
      </c>
      <c r="G688" s="6" t="s">
        <v>980</v>
      </c>
      <c r="H688" s="9" t="s">
        <v>1071</v>
      </c>
      <c r="I688">
        <f t="shared" si="43"/>
        <v>45.923199999999994</v>
      </c>
      <c r="J688">
        <f t="shared" si="40"/>
        <v>20.830413125983998</v>
      </c>
      <c r="K688">
        <v>3.33</v>
      </c>
      <c r="L688">
        <f t="shared" si="41"/>
        <v>69.365275709526713</v>
      </c>
    </row>
    <row r="689" spans="1:12" x14ac:dyDescent="0.2">
      <c r="A689" s="4">
        <v>43437</v>
      </c>
      <c r="B689" t="s">
        <v>538</v>
      </c>
      <c r="C689">
        <v>1</v>
      </c>
      <c r="D689">
        <v>12</v>
      </c>
      <c r="E689">
        <v>1.5625</v>
      </c>
      <c r="F689" t="s">
        <v>449</v>
      </c>
      <c r="G689" s="6" t="s">
        <v>980</v>
      </c>
      <c r="H689" s="9" t="s">
        <v>1071</v>
      </c>
      <c r="I689">
        <f t="shared" si="43"/>
        <v>18.75</v>
      </c>
      <c r="J689">
        <f t="shared" si="40"/>
        <v>8.5048569375000014</v>
      </c>
      <c r="K689">
        <v>3.33</v>
      </c>
      <c r="L689">
        <f t="shared" si="41"/>
        <v>28.321173601875007</v>
      </c>
    </row>
    <row r="690" spans="1:12" x14ac:dyDescent="0.2">
      <c r="A690" s="4">
        <v>43437</v>
      </c>
      <c r="B690" t="s">
        <v>538</v>
      </c>
      <c r="C690">
        <v>1</v>
      </c>
      <c r="D690">
        <v>4</v>
      </c>
      <c r="E690">
        <f>1.13*10.16</f>
        <v>11.480799999999999</v>
      </c>
      <c r="F690" t="s">
        <v>584</v>
      </c>
      <c r="G690" s="6" t="s">
        <v>980</v>
      </c>
      <c r="H690" s="9" t="s">
        <v>1071</v>
      </c>
      <c r="I690">
        <f t="shared" si="43"/>
        <v>45.923199999999994</v>
      </c>
      <c r="J690">
        <f t="shared" si="40"/>
        <v>20.830413125983998</v>
      </c>
      <c r="K690">
        <v>3.33</v>
      </c>
      <c r="L690">
        <f t="shared" si="41"/>
        <v>69.365275709526713</v>
      </c>
    </row>
    <row r="691" spans="1:12" x14ac:dyDescent="0.2">
      <c r="A691" s="4">
        <v>43437</v>
      </c>
      <c r="B691" t="s">
        <v>538</v>
      </c>
      <c r="C691">
        <v>2</v>
      </c>
      <c r="D691">
        <v>4</v>
      </c>
      <c r="E691">
        <f>1.13*11.68</f>
        <v>13.198399999999998</v>
      </c>
      <c r="F691" t="s">
        <v>585</v>
      </c>
      <c r="G691" s="6" t="s">
        <v>980</v>
      </c>
      <c r="H691" s="9" t="s">
        <v>1071</v>
      </c>
      <c r="I691">
        <f t="shared" si="43"/>
        <v>105.58719999999998</v>
      </c>
      <c r="J691">
        <f t="shared" si="40"/>
        <v>47.893548289663997</v>
      </c>
      <c r="K691">
        <v>3.33</v>
      </c>
      <c r="L691">
        <f t="shared" si="41"/>
        <v>159.48551580458113</v>
      </c>
    </row>
    <row r="692" spans="1:12" x14ac:dyDescent="0.2">
      <c r="A692" s="4">
        <v>43439</v>
      </c>
      <c r="B692" t="s">
        <v>538</v>
      </c>
      <c r="C692">
        <v>1</v>
      </c>
      <c r="D692">
        <v>24</v>
      </c>
      <c r="E692">
        <v>0.3125</v>
      </c>
      <c r="F692" t="s">
        <v>585</v>
      </c>
      <c r="G692" s="6" t="s">
        <v>980</v>
      </c>
      <c r="H692" s="9" t="s">
        <v>1071</v>
      </c>
      <c r="I692">
        <f t="shared" si="43"/>
        <v>7.5</v>
      </c>
      <c r="J692">
        <f t="shared" si="40"/>
        <v>3.4019427750000002</v>
      </c>
      <c r="K692">
        <v>3.33</v>
      </c>
      <c r="L692">
        <f t="shared" si="41"/>
        <v>11.32846944075</v>
      </c>
    </row>
    <row r="693" spans="1:12" x14ac:dyDescent="0.2">
      <c r="A693" s="4">
        <v>43439</v>
      </c>
      <c r="B693" t="s">
        <v>538</v>
      </c>
      <c r="C693">
        <v>1</v>
      </c>
      <c r="D693">
        <v>24</v>
      </c>
      <c r="E693">
        <f>6/16</f>
        <v>0.375</v>
      </c>
      <c r="F693" t="s">
        <v>594</v>
      </c>
      <c r="G693" s="6" t="s">
        <v>980</v>
      </c>
      <c r="H693" s="9" t="s">
        <v>1071</v>
      </c>
      <c r="I693">
        <f t="shared" si="43"/>
        <v>9</v>
      </c>
      <c r="J693">
        <f t="shared" si="40"/>
        <v>4.0823313299999997</v>
      </c>
      <c r="K693">
        <v>3.33</v>
      </c>
      <c r="L693">
        <f t="shared" si="41"/>
        <v>13.594163328899999</v>
      </c>
    </row>
    <row r="694" spans="1:12" x14ac:dyDescent="0.2">
      <c r="A694" s="4">
        <v>43439</v>
      </c>
      <c r="B694" t="s">
        <v>538</v>
      </c>
      <c r="C694">
        <v>1</v>
      </c>
      <c r="D694">
        <v>12</v>
      </c>
      <c r="E694">
        <v>1.5625</v>
      </c>
      <c r="F694" t="s">
        <v>449</v>
      </c>
      <c r="G694" s="6" t="s">
        <v>980</v>
      </c>
      <c r="H694" s="9" t="s">
        <v>1071</v>
      </c>
      <c r="I694">
        <f t="shared" si="43"/>
        <v>18.75</v>
      </c>
      <c r="J694">
        <f t="shared" si="40"/>
        <v>8.5048569375000014</v>
      </c>
      <c r="K694">
        <v>3.33</v>
      </c>
      <c r="L694">
        <f t="shared" si="41"/>
        <v>28.321173601875007</v>
      </c>
    </row>
    <row r="695" spans="1:12" x14ac:dyDescent="0.2">
      <c r="A695" s="4">
        <v>43439</v>
      </c>
      <c r="B695" t="s">
        <v>538</v>
      </c>
      <c r="C695">
        <v>1</v>
      </c>
      <c r="D695">
        <v>12</v>
      </c>
      <c r="E695">
        <v>10.4375</v>
      </c>
      <c r="F695" t="s">
        <v>460</v>
      </c>
      <c r="G695" s="6" t="s">
        <v>980</v>
      </c>
      <c r="H695" s="9" t="s">
        <v>1071</v>
      </c>
      <c r="I695">
        <f t="shared" si="43"/>
        <v>125.25</v>
      </c>
      <c r="J695">
        <f t="shared" si="40"/>
        <v>56.812444342500001</v>
      </c>
      <c r="K695">
        <v>3.33</v>
      </c>
      <c r="L695">
        <f t="shared" si="41"/>
        <v>189.18543966052502</v>
      </c>
    </row>
    <row r="696" spans="1:12" x14ac:dyDescent="0.2">
      <c r="A696" s="4">
        <v>43434</v>
      </c>
      <c r="B696" t="s">
        <v>538</v>
      </c>
      <c r="C696">
        <v>4</v>
      </c>
      <c r="D696">
        <v>4</v>
      </c>
      <c r="E696">
        <v>7.79</v>
      </c>
      <c r="F696" t="s">
        <v>543</v>
      </c>
      <c r="G696" s="6" t="s">
        <v>1089</v>
      </c>
      <c r="H696" s="9" t="s">
        <v>1073</v>
      </c>
      <c r="I696">
        <f t="shared" si="43"/>
        <v>124.64</v>
      </c>
      <c r="J696">
        <f t="shared" si="40"/>
        <v>56.535752996799999</v>
      </c>
      <c r="K696">
        <v>3.33</v>
      </c>
      <c r="L696">
        <f t="shared" si="41"/>
        <v>188.26405747934399</v>
      </c>
    </row>
    <row r="697" spans="1:12" x14ac:dyDescent="0.2">
      <c r="A697" s="4">
        <v>43439</v>
      </c>
      <c r="B697" t="s">
        <v>538</v>
      </c>
      <c r="C697">
        <v>3</v>
      </c>
      <c r="D697">
        <v>4</v>
      </c>
      <c r="E697">
        <v>7.79</v>
      </c>
      <c r="F697" t="s">
        <v>543</v>
      </c>
      <c r="G697" s="6" t="s">
        <v>1089</v>
      </c>
      <c r="H697" s="9" t="s">
        <v>1073</v>
      </c>
      <c r="I697">
        <f t="shared" si="43"/>
        <v>93.48</v>
      </c>
      <c r="J697">
        <f t="shared" si="40"/>
        <v>42.4018147476</v>
      </c>
      <c r="K697">
        <v>3.33</v>
      </c>
      <c r="L697">
        <f t="shared" si="41"/>
        <v>141.19804310950801</v>
      </c>
    </row>
    <row r="698" spans="1:12" x14ac:dyDescent="0.2">
      <c r="A698" s="4">
        <v>43437</v>
      </c>
      <c r="B698" t="s">
        <v>531</v>
      </c>
      <c r="C698">
        <v>3</v>
      </c>
      <c r="D698">
        <v>1</v>
      </c>
      <c r="E698">
        <v>30</v>
      </c>
      <c r="F698" t="s">
        <v>411</v>
      </c>
      <c r="G698" t="s">
        <v>849</v>
      </c>
      <c r="H698" s="6" t="s">
        <v>1071</v>
      </c>
      <c r="I698">
        <f t="shared" si="43"/>
        <v>90</v>
      </c>
      <c r="J698">
        <f t="shared" si="40"/>
        <v>40.823313300000002</v>
      </c>
      <c r="K698">
        <v>0.75700000000000001</v>
      </c>
      <c r="L698">
        <f t="shared" si="41"/>
        <v>30.903248168100003</v>
      </c>
    </row>
    <row r="699" spans="1:12" x14ac:dyDescent="0.2">
      <c r="A699" s="4">
        <v>43439</v>
      </c>
      <c r="B699" t="s">
        <v>531</v>
      </c>
      <c r="C699">
        <v>1</v>
      </c>
      <c r="D699">
        <v>1</v>
      </c>
      <c r="E699">
        <v>30</v>
      </c>
      <c r="F699" t="s">
        <v>411</v>
      </c>
      <c r="G699" t="s">
        <v>849</v>
      </c>
      <c r="H699" s="6" t="s">
        <v>1071</v>
      </c>
      <c r="I699">
        <f t="shared" si="43"/>
        <v>30</v>
      </c>
      <c r="J699">
        <f t="shared" si="40"/>
        <v>13.607771100000001</v>
      </c>
      <c r="K699">
        <v>0.75700000000000001</v>
      </c>
      <c r="L699">
        <f t="shared" si="41"/>
        <v>10.3010827227</v>
      </c>
    </row>
    <row r="700" spans="1:12" x14ac:dyDescent="0.2">
      <c r="A700" s="4">
        <v>43434</v>
      </c>
      <c r="B700" t="s">
        <v>525</v>
      </c>
      <c r="C700">
        <v>12</v>
      </c>
      <c r="D700">
        <v>1</v>
      </c>
      <c r="E700">
        <v>10</v>
      </c>
      <c r="F700" t="s">
        <v>526</v>
      </c>
      <c r="G700" s="9" t="s">
        <v>889</v>
      </c>
      <c r="H700" s="9" t="s">
        <v>1072</v>
      </c>
      <c r="I700">
        <f t="shared" si="43"/>
        <v>120</v>
      </c>
      <c r="J700">
        <f t="shared" si="40"/>
        <v>54.431084400000003</v>
      </c>
      <c r="K700">
        <v>32.845999999999997</v>
      </c>
      <c r="L700">
        <f t="shared" si="41"/>
        <v>1787.8433982023998</v>
      </c>
    </row>
    <row r="701" spans="1:12" x14ac:dyDescent="0.2">
      <c r="A701" s="4">
        <v>43439</v>
      </c>
      <c r="B701" t="s">
        <v>538</v>
      </c>
      <c r="C701">
        <v>1</v>
      </c>
      <c r="D701">
        <v>12</v>
      </c>
      <c r="E701" t="s">
        <v>407</v>
      </c>
      <c r="F701" t="s">
        <v>542</v>
      </c>
      <c r="G701" s="14" t="s">
        <v>916</v>
      </c>
      <c r="H701" t="s">
        <v>1071</v>
      </c>
      <c r="I701">
        <v>0</v>
      </c>
      <c r="J701">
        <f t="shared" si="40"/>
        <v>0</v>
      </c>
      <c r="K701">
        <v>0.55000000000000004</v>
      </c>
      <c r="L701">
        <f t="shared" si="41"/>
        <v>0</v>
      </c>
    </row>
    <row r="702" spans="1:12" x14ac:dyDescent="0.2">
      <c r="A702" s="4">
        <v>43437</v>
      </c>
      <c r="B702" t="s">
        <v>538</v>
      </c>
      <c r="C702">
        <v>1</v>
      </c>
      <c r="D702">
        <v>1</v>
      </c>
      <c r="E702">
        <v>25</v>
      </c>
      <c r="F702" t="s">
        <v>573</v>
      </c>
      <c r="G702" t="s">
        <v>916</v>
      </c>
      <c r="H702" s="9" t="s">
        <v>1071</v>
      </c>
      <c r="I702">
        <f>C702*D702*E702</f>
        <v>25</v>
      </c>
      <c r="J702">
        <f t="shared" si="40"/>
        <v>11.33980925</v>
      </c>
      <c r="K702">
        <v>0.55000000000000004</v>
      </c>
      <c r="L702">
        <f t="shared" si="41"/>
        <v>6.2368950875000007</v>
      </c>
    </row>
    <row r="703" spans="1:12" x14ac:dyDescent="0.2">
      <c r="A703" s="4">
        <v>43437</v>
      </c>
      <c r="B703" t="s">
        <v>538</v>
      </c>
      <c r="C703">
        <v>1</v>
      </c>
      <c r="D703">
        <v>6</v>
      </c>
      <c r="E703">
        <v>5</v>
      </c>
      <c r="F703" t="s">
        <v>579</v>
      </c>
      <c r="G703" s="6" t="s">
        <v>916</v>
      </c>
      <c r="H703" s="9" t="s">
        <v>1071</v>
      </c>
      <c r="I703">
        <f>C703*D703*E703</f>
        <v>30</v>
      </c>
      <c r="J703">
        <f t="shared" si="40"/>
        <v>13.607771100000001</v>
      </c>
      <c r="K703">
        <v>0.55000000000000004</v>
      </c>
      <c r="L703">
        <f t="shared" si="41"/>
        <v>7.4842741050000008</v>
      </c>
    </row>
    <row r="704" spans="1:12" x14ac:dyDescent="0.2">
      <c r="A704" s="4">
        <v>43439</v>
      </c>
      <c r="B704" t="s">
        <v>538</v>
      </c>
      <c r="C704">
        <v>1</v>
      </c>
      <c r="D704">
        <v>24</v>
      </c>
      <c r="E704">
        <v>1</v>
      </c>
      <c r="F704" t="s">
        <v>433</v>
      </c>
      <c r="G704" t="s">
        <v>900</v>
      </c>
      <c r="H704" s="9" t="s">
        <v>1071</v>
      </c>
      <c r="I704">
        <f>C704*D704*E704</f>
        <v>24</v>
      </c>
      <c r="J704">
        <f t="shared" si="40"/>
        <v>10.886216880000001</v>
      </c>
      <c r="K704">
        <v>0.76</v>
      </c>
      <c r="L704">
        <f t="shared" si="41"/>
        <v>8.2735248288000012</v>
      </c>
    </row>
    <row r="705" spans="1:12" x14ac:dyDescent="0.2">
      <c r="A705" s="4">
        <v>43434</v>
      </c>
      <c r="B705" t="s">
        <v>538</v>
      </c>
      <c r="C705">
        <v>2</v>
      </c>
      <c r="D705">
        <v>24</v>
      </c>
      <c r="E705">
        <v>1</v>
      </c>
      <c r="F705" t="s">
        <v>433</v>
      </c>
      <c r="G705" t="s">
        <v>900</v>
      </c>
      <c r="H705" s="9" t="s">
        <v>1071</v>
      </c>
      <c r="I705">
        <f>C705*D705*E705</f>
        <v>48</v>
      </c>
      <c r="J705">
        <f t="shared" si="40"/>
        <v>21.772433760000002</v>
      </c>
      <c r="K705">
        <v>0.76</v>
      </c>
      <c r="L705">
        <f t="shared" si="41"/>
        <v>16.547049657600002</v>
      </c>
    </row>
    <row r="706" spans="1:12" x14ac:dyDescent="0.2">
      <c r="A706" s="4">
        <v>43439</v>
      </c>
      <c r="B706" t="s">
        <v>538</v>
      </c>
      <c r="C706">
        <v>1</v>
      </c>
      <c r="D706">
        <v>500</v>
      </c>
      <c r="E706" t="s">
        <v>1088</v>
      </c>
      <c r="F706" t="s">
        <v>430</v>
      </c>
      <c r="G706" s="14" t="s">
        <v>881</v>
      </c>
      <c r="H706" s="9" t="s">
        <v>1071</v>
      </c>
      <c r="I706">
        <v>0</v>
      </c>
      <c r="J706">
        <f t="shared" si="40"/>
        <v>0</v>
      </c>
      <c r="K706">
        <v>2.5299999999999998</v>
      </c>
      <c r="L706">
        <f t="shared" si="41"/>
        <v>0</v>
      </c>
    </row>
    <row r="707" spans="1:12" x14ac:dyDescent="0.2">
      <c r="A707" s="4">
        <v>43439</v>
      </c>
      <c r="B707" t="s">
        <v>538</v>
      </c>
      <c r="C707">
        <v>1</v>
      </c>
      <c r="D707">
        <v>150</v>
      </c>
      <c r="E707">
        <v>3.125E-2</v>
      </c>
      <c r="F707" t="s">
        <v>442</v>
      </c>
      <c r="G707" s="6" t="s">
        <v>881</v>
      </c>
      <c r="H707" s="9" t="s">
        <v>1071</v>
      </c>
      <c r="I707">
        <f t="shared" ref="I707:I770" si="44">C707*D707*E707</f>
        <v>4.6875</v>
      </c>
      <c r="J707">
        <f t="shared" ref="J707:J770" si="45">CONVERT(I707,"lbm","kg")</f>
        <v>2.1262142343750003</v>
      </c>
      <c r="K707">
        <v>2.5299999999999998</v>
      </c>
      <c r="L707">
        <f t="shared" ref="L707:L770" si="46">J707*K707</f>
        <v>5.3793220129687507</v>
      </c>
    </row>
    <row r="708" spans="1:12" x14ac:dyDescent="0.2">
      <c r="A708" s="4">
        <v>43437</v>
      </c>
      <c r="B708" t="s">
        <v>538</v>
      </c>
      <c r="C708">
        <v>1</v>
      </c>
      <c r="D708">
        <v>1</v>
      </c>
      <c r="E708">
        <v>10</v>
      </c>
      <c r="F708" t="s">
        <v>454</v>
      </c>
      <c r="G708" t="s">
        <v>879</v>
      </c>
      <c r="H708" s="9" t="s">
        <v>1071</v>
      </c>
      <c r="I708">
        <f t="shared" si="44"/>
        <v>10</v>
      </c>
      <c r="J708">
        <f t="shared" si="45"/>
        <v>4.5359237000000006</v>
      </c>
      <c r="K708">
        <v>1.4179999999999999</v>
      </c>
      <c r="L708">
        <f t="shared" si="46"/>
        <v>6.4319398066000009</v>
      </c>
    </row>
    <row r="709" spans="1:12" x14ac:dyDescent="0.2">
      <c r="A709" s="4">
        <v>43434</v>
      </c>
      <c r="B709" t="s">
        <v>517</v>
      </c>
      <c r="C709">
        <v>1</v>
      </c>
      <c r="D709">
        <v>1</v>
      </c>
      <c r="E709">
        <v>2</v>
      </c>
      <c r="F709" t="s">
        <v>380</v>
      </c>
      <c r="G709" t="s">
        <v>841</v>
      </c>
      <c r="H709" s="9" t="s">
        <v>1073</v>
      </c>
      <c r="I709">
        <f t="shared" si="44"/>
        <v>2</v>
      </c>
      <c r="J709">
        <f t="shared" si="45"/>
        <v>0.90718474000000004</v>
      </c>
      <c r="K709">
        <v>5.32</v>
      </c>
      <c r="L709">
        <f t="shared" si="46"/>
        <v>4.8262228168000005</v>
      </c>
    </row>
    <row r="710" spans="1:12" x14ac:dyDescent="0.2">
      <c r="A710" s="4">
        <v>43439</v>
      </c>
      <c r="B710" t="s">
        <v>517</v>
      </c>
      <c r="C710">
        <v>1</v>
      </c>
      <c r="D710">
        <v>1</v>
      </c>
      <c r="E710">
        <v>2</v>
      </c>
      <c r="F710" t="s">
        <v>380</v>
      </c>
      <c r="G710" t="s">
        <v>841</v>
      </c>
      <c r="H710" s="9" t="s">
        <v>1073</v>
      </c>
      <c r="I710">
        <f t="shared" si="44"/>
        <v>2</v>
      </c>
      <c r="J710">
        <f t="shared" si="45"/>
        <v>0.90718474000000004</v>
      </c>
      <c r="K710">
        <v>5.32</v>
      </c>
      <c r="L710">
        <f t="shared" si="46"/>
        <v>4.8262228168000005</v>
      </c>
    </row>
    <row r="711" spans="1:12" x14ac:dyDescent="0.2">
      <c r="A711" s="4">
        <v>43372</v>
      </c>
      <c r="B711" t="s">
        <v>48</v>
      </c>
      <c r="C711">
        <v>2</v>
      </c>
      <c r="D711">
        <v>1</v>
      </c>
      <c r="E711">
        <f>10/9*50</f>
        <v>55.555555555555557</v>
      </c>
      <c r="F711" t="s">
        <v>89</v>
      </c>
      <c r="G711" t="s">
        <v>89</v>
      </c>
      <c r="H711" s="8" t="s">
        <v>1067</v>
      </c>
      <c r="I711">
        <f t="shared" si="44"/>
        <v>111.11111111111111</v>
      </c>
      <c r="J711">
        <f t="shared" si="45"/>
        <v>50.399152222222227</v>
      </c>
      <c r="K711">
        <v>0.40899999999999997</v>
      </c>
      <c r="L711" s="8">
        <f t="shared" si="46"/>
        <v>20.613253258888889</v>
      </c>
    </row>
    <row r="712" spans="1:12" x14ac:dyDescent="0.2">
      <c r="A712" s="4">
        <v>43371</v>
      </c>
      <c r="B712" t="s">
        <v>48</v>
      </c>
      <c r="C712">
        <v>2</v>
      </c>
      <c r="D712">
        <v>1</v>
      </c>
      <c r="E712">
        <f>10/9*50</f>
        <v>55.555555555555557</v>
      </c>
      <c r="F712" t="s">
        <v>89</v>
      </c>
      <c r="G712" t="s">
        <v>89</v>
      </c>
      <c r="H712" s="8" t="s">
        <v>1067</v>
      </c>
      <c r="I712">
        <f t="shared" si="44"/>
        <v>111.11111111111111</v>
      </c>
      <c r="J712">
        <f t="shared" si="45"/>
        <v>50.399152222222227</v>
      </c>
      <c r="K712">
        <v>0.40899999999999997</v>
      </c>
      <c r="L712" s="8">
        <f t="shared" si="46"/>
        <v>20.613253258888889</v>
      </c>
    </row>
    <row r="713" spans="1:12" x14ac:dyDescent="0.2">
      <c r="A713" s="4">
        <v>43374</v>
      </c>
      <c r="B713" t="s">
        <v>48</v>
      </c>
      <c r="C713">
        <v>1</v>
      </c>
      <c r="D713">
        <v>1</v>
      </c>
      <c r="E713">
        <f>10/9*50</f>
        <v>55.555555555555557</v>
      </c>
      <c r="F713" t="s">
        <v>89</v>
      </c>
      <c r="G713" t="s">
        <v>89</v>
      </c>
      <c r="H713" s="8" t="s">
        <v>1067</v>
      </c>
      <c r="I713">
        <f t="shared" si="44"/>
        <v>55.555555555555557</v>
      </c>
      <c r="J713">
        <f t="shared" si="45"/>
        <v>25.199576111111114</v>
      </c>
      <c r="K713">
        <v>0.40899999999999997</v>
      </c>
      <c r="L713" s="8">
        <f t="shared" si="46"/>
        <v>10.306626629444445</v>
      </c>
    </row>
    <row r="714" spans="1:12" x14ac:dyDescent="0.2">
      <c r="A714" s="4">
        <v>43377</v>
      </c>
      <c r="B714" t="s">
        <v>48</v>
      </c>
      <c r="C714" s="28">
        <v>1</v>
      </c>
      <c r="D714">
        <v>1</v>
      </c>
      <c r="E714">
        <f>10/9*50</f>
        <v>55.555555555555557</v>
      </c>
      <c r="F714" t="s">
        <v>254</v>
      </c>
      <c r="G714" t="s">
        <v>620</v>
      </c>
      <c r="H714" s="8" t="s">
        <v>1067</v>
      </c>
      <c r="I714">
        <f t="shared" si="44"/>
        <v>55.555555555555557</v>
      </c>
      <c r="J714">
        <f t="shared" si="45"/>
        <v>25.199576111111114</v>
      </c>
      <c r="K714">
        <v>0.40899999999999997</v>
      </c>
      <c r="L714" s="8">
        <f t="shared" si="46"/>
        <v>10.306626629444445</v>
      </c>
    </row>
    <row r="715" spans="1:12" x14ac:dyDescent="0.2">
      <c r="A715" s="4">
        <v>43439</v>
      </c>
      <c r="B715" t="s">
        <v>538</v>
      </c>
      <c r="C715">
        <v>2</v>
      </c>
      <c r="D715">
        <v>4</v>
      </c>
      <c r="E715">
        <v>8.35</v>
      </c>
      <c r="F715" t="s">
        <v>595</v>
      </c>
      <c r="G715" t="s">
        <v>89</v>
      </c>
      <c r="H715" s="9" t="s">
        <v>1071</v>
      </c>
      <c r="I715">
        <f t="shared" si="44"/>
        <v>66.8</v>
      </c>
      <c r="J715">
        <f t="shared" si="45"/>
        <v>30.299970316</v>
      </c>
      <c r="K715">
        <v>0.40899999999999997</v>
      </c>
      <c r="L715">
        <f t="shared" si="46"/>
        <v>12.392687859243999</v>
      </c>
    </row>
    <row r="716" spans="1:12" x14ac:dyDescent="0.2">
      <c r="A716" s="4">
        <v>43376</v>
      </c>
      <c r="B716" t="s">
        <v>48</v>
      </c>
      <c r="C716">
        <v>1</v>
      </c>
      <c r="D716">
        <v>1</v>
      </c>
      <c r="E716" s="27">
        <f>1/4</f>
        <v>0.25</v>
      </c>
      <c r="F716" t="s">
        <v>240</v>
      </c>
      <c r="G716" t="s">
        <v>95</v>
      </c>
      <c r="H716" s="8" t="s">
        <v>1067</v>
      </c>
      <c r="I716">
        <f t="shared" si="44"/>
        <v>0.25</v>
      </c>
      <c r="J716">
        <f t="shared" si="45"/>
        <v>0.11339809250000001</v>
      </c>
      <c r="K716">
        <v>0.87</v>
      </c>
      <c r="L716" s="8">
        <f t="shared" si="46"/>
        <v>9.8656340475000007E-2</v>
      </c>
    </row>
    <row r="717" spans="1:12" x14ac:dyDescent="0.2">
      <c r="A717" s="4">
        <v>43434</v>
      </c>
      <c r="B717" t="s">
        <v>517</v>
      </c>
      <c r="C717">
        <v>12</v>
      </c>
      <c r="D717">
        <v>2</v>
      </c>
      <c r="E717">
        <v>20</v>
      </c>
      <c r="F717" t="s">
        <v>381</v>
      </c>
      <c r="G717" t="s">
        <v>843</v>
      </c>
      <c r="H717" s="9" t="s">
        <v>1073</v>
      </c>
      <c r="I717">
        <f t="shared" si="44"/>
        <v>480</v>
      </c>
      <c r="J717">
        <f t="shared" si="45"/>
        <v>217.72433760000001</v>
      </c>
      <c r="K717">
        <v>3.754</v>
      </c>
      <c r="L717">
        <f t="shared" si="46"/>
        <v>817.33716335040003</v>
      </c>
    </row>
    <row r="718" spans="1:12" x14ac:dyDescent="0.2">
      <c r="A718" s="4">
        <v>43434</v>
      </c>
      <c r="B718" t="s">
        <v>517</v>
      </c>
      <c r="C718">
        <v>1</v>
      </c>
      <c r="D718">
        <v>15</v>
      </c>
      <c r="E718">
        <v>2</v>
      </c>
      <c r="F718" t="s">
        <v>385</v>
      </c>
      <c r="G718" t="s">
        <v>843</v>
      </c>
      <c r="H718" s="9" t="s">
        <v>1073</v>
      </c>
      <c r="I718">
        <f t="shared" si="44"/>
        <v>30</v>
      </c>
      <c r="J718">
        <f t="shared" si="45"/>
        <v>13.607771100000001</v>
      </c>
      <c r="K718">
        <v>3.754</v>
      </c>
      <c r="L718">
        <f t="shared" si="46"/>
        <v>51.083572709400002</v>
      </c>
    </row>
    <row r="719" spans="1:12" x14ac:dyDescent="0.2">
      <c r="A719" s="4">
        <v>43434</v>
      </c>
      <c r="B719" t="s">
        <v>517</v>
      </c>
      <c r="C719">
        <v>2</v>
      </c>
      <c r="D719">
        <v>15</v>
      </c>
      <c r="E719">
        <f>24/16</f>
        <v>1.5</v>
      </c>
      <c r="F719" t="s">
        <v>386</v>
      </c>
      <c r="G719" t="s">
        <v>843</v>
      </c>
      <c r="H719" s="9" t="s">
        <v>1073</v>
      </c>
      <c r="I719">
        <f t="shared" si="44"/>
        <v>45</v>
      </c>
      <c r="J719">
        <f t="shared" si="45"/>
        <v>20.411656650000001</v>
      </c>
      <c r="K719">
        <v>3.754</v>
      </c>
      <c r="L719">
        <f t="shared" si="46"/>
        <v>76.62535906410001</v>
      </c>
    </row>
    <row r="720" spans="1:12" x14ac:dyDescent="0.2">
      <c r="A720" s="4">
        <v>43437</v>
      </c>
      <c r="B720" t="s">
        <v>517</v>
      </c>
      <c r="C720">
        <v>13</v>
      </c>
      <c r="D720">
        <v>2</v>
      </c>
      <c r="E720">
        <v>20</v>
      </c>
      <c r="F720" t="s">
        <v>381</v>
      </c>
      <c r="G720" t="s">
        <v>843</v>
      </c>
      <c r="H720" s="9" t="s">
        <v>1073</v>
      </c>
      <c r="I720">
        <f t="shared" si="44"/>
        <v>520</v>
      </c>
      <c r="J720">
        <f t="shared" si="45"/>
        <v>235.8680324</v>
      </c>
      <c r="K720">
        <v>3.754</v>
      </c>
      <c r="L720">
        <f t="shared" si="46"/>
        <v>885.44859362960005</v>
      </c>
    </row>
    <row r="721" spans="1:12" x14ac:dyDescent="0.2">
      <c r="A721" s="4">
        <v>43437</v>
      </c>
      <c r="B721" t="s">
        <v>517</v>
      </c>
      <c r="C721">
        <v>2</v>
      </c>
      <c r="D721">
        <v>15</v>
      </c>
      <c r="E721">
        <v>2</v>
      </c>
      <c r="F721" t="s">
        <v>385</v>
      </c>
      <c r="G721" t="s">
        <v>843</v>
      </c>
      <c r="H721" s="9" t="s">
        <v>1073</v>
      </c>
      <c r="I721">
        <f t="shared" si="44"/>
        <v>60</v>
      </c>
      <c r="J721">
        <f t="shared" si="45"/>
        <v>27.215542200000002</v>
      </c>
      <c r="K721">
        <v>3.754</v>
      </c>
      <c r="L721">
        <f t="shared" si="46"/>
        <v>102.1671454188</v>
      </c>
    </row>
    <row r="722" spans="1:12" x14ac:dyDescent="0.2">
      <c r="A722" s="4">
        <v>43439</v>
      </c>
      <c r="B722" t="s">
        <v>517</v>
      </c>
      <c r="C722">
        <v>8</v>
      </c>
      <c r="D722">
        <v>2</v>
      </c>
      <c r="E722">
        <v>20</v>
      </c>
      <c r="F722" t="s">
        <v>381</v>
      </c>
      <c r="G722" t="s">
        <v>843</v>
      </c>
      <c r="H722" s="9" t="s">
        <v>1073</v>
      </c>
      <c r="I722">
        <f t="shared" si="44"/>
        <v>320</v>
      </c>
      <c r="J722">
        <f t="shared" si="45"/>
        <v>145.14955840000002</v>
      </c>
      <c r="K722">
        <v>3.754</v>
      </c>
      <c r="L722">
        <f t="shared" si="46"/>
        <v>544.89144223360006</v>
      </c>
    </row>
    <row r="723" spans="1:12" x14ac:dyDescent="0.2">
      <c r="A723" s="4">
        <v>43439</v>
      </c>
      <c r="B723" t="s">
        <v>517</v>
      </c>
      <c r="C723">
        <v>2</v>
      </c>
      <c r="D723">
        <v>15</v>
      </c>
      <c r="E723">
        <v>2</v>
      </c>
      <c r="F723" t="s">
        <v>385</v>
      </c>
      <c r="G723" t="s">
        <v>843</v>
      </c>
      <c r="H723" s="9" t="s">
        <v>1073</v>
      </c>
      <c r="I723">
        <f t="shared" si="44"/>
        <v>60</v>
      </c>
      <c r="J723">
        <f t="shared" si="45"/>
        <v>27.215542200000002</v>
      </c>
      <c r="K723">
        <v>3.754</v>
      </c>
      <c r="L723">
        <f t="shared" si="46"/>
        <v>102.1671454188</v>
      </c>
    </row>
    <row r="724" spans="1:12" x14ac:dyDescent="0.2">
      <c r="A724" s="4">
        <v>43439</v>
      </c>
      <c r="B724" t="s">
        <v>517</v>
      </c>
      <c r="C724">
        <v>4</v>
      </c>
      <c r="D724">
        <v>15</v>
      </c>
      <c r="E724">
        <f>24/16</f>
        <v>1.5</v>
      </c>
      <c r="F724" t="s">
        <v>386</v>
      </c>
      <c r="G724" t="s">
        <v>843</v>
      </c>
      <c r="H724" s="9" t="s">
        <v>1073</v>
      </c>
      <c r="I724">
        <f t="shared" si="44"/>
        <v>90</v>
      </c>
      <c r="J724">
        <f t="shared" si="45"/>
        <v>40.823313300000002</v>
      </c>
      <c r="K724">
        <v>3.754</v>
      </c>
      <c r="L724">
        <f t="shared" si="46"/>
        <v>153.25071812820002</v>
      </c>
    </row>
    <row r="725" spans="1:12" x14ac:dyDescent="0.2">
      <c r="A725" s="4">
        <v>43371</v>
      </c>
      <c r="B725" t="s">
        <v>48</v>
      </c>
      <c r="C725">
        <v>1</v>
      </c>
      <c r="D725">
        <v>1</v>
      </c>
      <c r="E725">
        <f>10/9*35</f>
        <v>38.888888888888893</v>
      </c>
      <c r="F725" t="s">
        <v>90</v>
      </c>
      <c r="G725" t="s">
        <v>90</v>
      </c>
      <c r="H725" s="8" t="s">
        <v>1067</v>
      </c>
      <c r="I725">
        <f t="shared" si="44"/>
        <v>38.888888888888893</v>
      </c>
      <c r="J725">
        <f t="shared" si="45"/>
        <v>17.63970327777778</v>
      </c>
      <c r="K725">
        <v>0.52600000000000002</v>
      </c>
      <c r="L725" s="8">
        <f t="shared" si="46"/>
        <v>9.2784839241111126</v>
      </c>
    </row>
    <row r="726" spans="1:12" x14ac:dyDescent="0.2">
      <c r="A726" s="4">
        <v>43371</v>
      </c>
      <c r="B726" t="s">
        <v>48</v>
      </c>
      <c r="C726">
        <v>1</v>
      </c>
      <c r="D726">
        <v>1</v>
      </c>
      <c r="E726">
        <f>10/9*35</f>
        <v>38.888888888888893</v>
      </c>
      <c r="F726" t="s">
        <v>90</v>
      </c>
      <c r="G726" t="s">
        <v>90</v>
      </c>
      <c r="H726" s="8" t="s">
        <v>1067</v>
      </c>
      <c r="I726">
        <f t="shared" si="44"/>
        <v>38.888888888888893</v>
      </c>
      <c r="J726">
        <f t="shared" si="45"/>
        <v>17.63970327777778</v>
      </c>
      <c r="K726">
        <v>0.52600000000000002</v>
      </c>
      <c r="L726" s="8">
        <f t="shared" si="46"/>
        <v>9.2784839241111126</v>
      </c>
    </row>
    <row r="727" spans="1:12" x14ac:dyDescent="0.2">
      <c r="A727" s="4">
        <v>43375</v>
      </c>
      <c r="B727" t="s">
        <v>48</v>
      </c>
      <c r="C727">
        <v>1</v>
      </c>
      <c r="D727">
        <v>1</v>
      </c>
      <c r="E727">
        <f>10/9*35</f>
        <v>38.888888888888893</v>
      </c>
      <c r="F727" t="s">
        <v>90</v>
      </c>
      <c r="G727" t="s">
        <v>90</v>
      </c>
      <c r="H727" s="8" t="s">
        <v>1067</v>
      </c>
      <c r="I727">
        <f t="shared" si="44"/>
        <v>38.888888888888893</v>
      </c>
      <c r="J727">
        <f t="shared" si="45"/>
        <v>17.63970327777778</v>
      </c>
      <c r="K727">
        <v>0.52600000000000002</v>
      </c>
      <c r="L727" s="8">
        <f t="shared" si="46"/>
        <v>9.2784839241111126</v>
      </c>
    </row>
    <row r="728" spans="1:12" x14ac:dyDescent="0.2">
      <c r="A728" s="4">
        <v>43376</v>
      </c>
      <c r="B728" t="s">
        <v>48</v>
      </c>
      <c r="C728">
        <v>2</v>
      </c>
      <c r="D728">
        <v>1</v>
      </c>
      <c r="E728">
        <f>10/9*35</f>
        <v>38.888888888888893</v>
      </c>
      <c r="F728" t="s">
        <v>90</v>
      </c>
      <c r="G728" t="s">
        <v>90</v>
      </c>
      <c r="H728" s="8" t="s">
        <v>1067</v>
      </c>
      <c r="I728">
        <f t="shared" si="44"/>
        <v>77.777777777777786</v>
      </c>
      <c r="J728">
        <f t="shared" si="45"/>
        <v>35.27940655555556</v>
      </c>
      <c r="K728">
        <v>0.52600000000000002</v>
      </c>
      <c r="L728" s="8">
        <f t="shared" si="46"/>
        <v>18.556967848222225</v>
      </c>
    </row>
    <row r="729" spans="1:12" x14ac:dyDescent="0.2">
      <c r="A729" s="4">
        <v>43377</v>
      </c>
      <c r="B729" t="s">
        <v>48</v>
      </c>
      <c r="C729" s="28">
        <v>1</v>
      </c>
      <c r="D729">
        <v>1</v>
      </c>
      <c r="E729">
        <f>10/9*35</f>
        <v>38.888888888888893</v>
      </c>
      <c r="F729" t="s">
        <v>255</v>
      </c>
      <c r="G729" t="s">
        <v>785</v>
      </c>
      <c r="H729" s="8" t="s">
        <v>1067</v>
      </c>
      <c r="I729">
        <f t="shared" si="44"/>
        <v>38.888888888888893</v>
      </c>
      <c r="J729">
        <f t="shared" si="45"/>
        <v>17.63970327777778</v>
      </c>
      <c r="K729">
        <v>0.52600000000000002</v>
      </c>
      <c r="L729" s="8">
        <f t="shared" si="46"/>
        <v>9.2784839241111126</v>
      </c>
    </row>
    <row r="730" spans="1:12" x14ac:dyDescent="0.2">
      <c r="A730" s="4">
        <v>43434</v>
      </c>
      <c r="B730" t="s">
        <v>527</v>
      </c>
      <c r="C730">
        <v>6</v>
      </c>
      <c r="D730">
        <v>1</v>
      </c>
      <c r="E730">
        <v>10</v>
      </c>
      <c r="F730" t="s">
        <v>528</v>
      </c>
      <c r="G730" t="s">
        <v>884</v>
      </c>
      <c r="H730" s="9" t="s">
        <v>1072</v>
      </c>
      <c r="I730">
        <f t="shared" si="44"/>
        <v>60</v>
      </c>
      <c r="J730">
        <f t="shared" si="45"/>
        <v>27.215542200000002</v>
      </c>
      <c r="K730">
        <v>3.0209999999999999</v>
      </c>
      <c r="L730">
        <f t="shared" si="46"/>
        <v>82.218152986199996</v>
      </c>
    </row>
    <row r="731" spans="1:12" x14ac:dyDescent="0.2">
      <c r="A731" s="4">
        <v>43434</v>
      </c>
      <c r="B731" t="s">
        <v>527</v>
      </c>
      <c r="C731">
        <v>8</v>
      </c>
      <c r="D731">
        <v>1</v>
      </c>
      <c r="E731">
        <v>10</v>
      </c>
      <c r="F731" t="s">
        <v>529</v>
      </c>
      <c r="G731" t="s">
        <v>884</v>
      </c>
      <c r="H731" s="9" t="s">
        <v>1072</v>
      </c>
      <c r="I731">
        <f t="shared" si="44"/>
        <v>80</v>
      </c>
      <c r="J731">
        <f t="shared" si="45"/>
        <v>36.287389600000004</v>
      </c>
      <c r="K731">
        <v>3.0209999999999999</v>
      </c>
      <c r="L731">
        <f t="shared" si="46"/>
        <v>109.6242039816</v>
      </c>
    </row>
    <row r="732" spans="1:12" x14ac:dyDescent="0.2">
      <c r="A732" s="4">
        <v>43437</v>
      </c>
      <c r="B732" t="s">
        <v>527</v>
      </c>
      <c r="C732">
        <v>10</v>
      </c>
      <c r="D732">
        <v>1</v>
      </c>
      <c r="E732">
        <v>10</v>
      </c>
      <c r="F732" t="s">
        <v>528</v>
      </c>
      <c r="G732" t="s">
        <v>884</v>
      </c>
      <c r="H732" s="9" t="s">
        <v>1072</v>
      </c>
      <c r="I732">
        <f t="shared" si="44"/>
        <v>100</v>
      </c>
      <c r="J732">
        <f t="shared" si="45"/>
        <v>45.359237</v>
      </c>
      <c r="K732">
        <v>3.0209999999999999</v>
      </c>
      <c r="L732">
        <f t="shared" si="46"/>
        <v>137.030254977</v>
      </c>
    </row>
    <row r="733" spans="1:12" x14ac:dyDescent="0.2">
      <c r="A733" s="4">
        <v>43437</v>
      </c>
      <c r="B733" t="s">
        <v>527</v>
      </c>
      <c r="C733">
        <v>5</v>
      </c>
      <c r="D733">
        <v>1</v>
      </c>
      <c r="E733">
        <v>10</v>
      </c>
      <c r="F733" t="s">
        <v>529</v>
      </c>
      <c r="G733" t="s">
        <v>884</v>
      </c>
      <c r="H733" s="9" t="s">
        <v>1072</v>
      </c>
      <c r="I733">
        <f t="shared" si="44"/>
        <v>50</v>
      </c>
      <c r="J733">
        <f t="shared" si="45"/>
        <v>22.6796185</v>
      </c>
      <c r="K733">
        <v>3.0209999999999999</v>
      </c>
      <c r="L733">
        <f t="shared" si="46"/>
        <v>68.515127488499999</v>
      </c>
    </row>
    <row r="734" spans="1:12" x14ac:dyDescent="0.2">
      <c r="A734" s="4">
        <v>43437</v>
      </c>
      <c r="B734" t="s">
        <v>527</v>
      </c>
      <c r="C734">
        <v>4</v>
      </c>
      <c r="D734">
        <v>1</v>
      </c>
      <c r="E734">
        <v>15</v>
      </c>
      <c r="F734" t="s">
        <v>1013</v>
      </c>
      <c r="G734" t="s">
        <v>884</v>
      </c>
      <c r="H734" s="9" t="s">
        <v>1072</v>
      </c>
      <c r="I734">
        <f t="shared" si="44"/>
        <v>60</v>
      </c>
      <c r="J734">
        <f t="shared" si="45"/>
        <v>27.215542200000002</v>
      </c>
      <c r="K734">
        <v>3.0209999999999999</v>
      </c>
      <c r="L734">
        <f t="shared" si="46"/>
        <v>82.218152986199996</v>
      </c>
    </row>
    <row r="735" spans="1:12" x14ac:dyDescent="0.2">
      <c r="A735" s="4">
        <v>43439</v>
      </c>
      <c r="B735" t="s">
        <v>527</v>
      </c>
      <c r="C735">
        <v>1</v>
      </c>
      <c r="D735">
        <v>1</v>
      </c>
      <c r="E735">
        <v>10</v>
      </c>
      <c r="F735" t="s">
        <v>528</v>
      </c>
      <c r="G735" t="s">
        <v>884</v>
      </c>
      <c r="H735" s="9" t="s">
        <v>1072</v>
      </c>
      <c r="I735">
        <f t="shared" si="44"/>
        <v>10</v>
      </c>
      <c r="J735">
        <f t="shared" si="45"/>
        <v>4.5359237000000006</v>
      </c>
      <c r="K735">
        <v>3.0209999999999999</v>
      </c>
      <c r="L735">
        <f t="shared" si="46"/>
        <v>13.703025497700001</v>
      </c>
    </row>
    <row r="736" spans="1:12" x14ac:dyDescent="0.2">
      <c r="A736" s="4">
        <v>43439</v>
      </c>
      <c r="B736" t="s">
        <v>527</v>
      </c>
      <c r="C736">
        <v>8</v>
      </c>
      <c r="D736">
        <v>1</v>
      </c>
      <c r="E736">
        <v>15</v>
      </c>
      <c r="F736" t="s">
        <v>1013</v>
      </c>
      <c r="G736" t="s">
        <v>884</v>
      </c>
      <c r="H736" s="9" t="s">
        <v>1072</v>
      </c>
      <c r="I736">
        <f t="shared" si="44"/>
        <v>120</v>
      </c>
      <c r="J736">
        <f t="shared" si="45"/>
        <v>54.431084400000003</v>
      </c>
      <c r="K736">
        <v>3.0209999999999999</v>
      </c>
      <c r="L736">
        <f t="shared" si="46"/>
        <v>164.43630597239999</v>
      </c>
    </row>
    <row r="737" spans="1:12" x14ac:dyDescent="0.2">
      <c r="A737" s="4">
        <v>43434</v>
      </c>
      <c r="B737" t="s">
        <v>538</v>
      </c>
      <c r="C737">
        <v>6</v>
      </c>
      <c r="D737">
        <v>1</v>
      </c>
      <c r="E737">
        <v>50</v>
      </c>
      <c r="F737" t="s">
        <v>431</v>
      </c>
      <c r="G737" t="s">
        <v>863</v>
      </c>
      <c r="H737" s="9" t="s">
        <v>1071</v>
      </c>
      <c r="I737">
        <f t="shared" si="44"/>
        <v>300</v>
      </c>
      <c r="J737">
        <f t="shared" si="45"/>
        <v>136.07771100000002</v>
      </c>
      <c r="K737">
        <v>0.35799999999999998</v>
      </c>
      <c r="L737">
        <f t="shared" si="46"/>
        <v>48.715820538000003</v>
      </c>
    </row>
    <row r="738" spans="1:12" x14ac:dyDescent="0.2">
      <c r="A738" s="4">
        <v>43434</v>
      </c>
      <c r="B738" t="s">
        <v>538</v>
      </c>
      <c r="C738">
        <v>4</v>
      </c>
      <c r="D738">
        <v>1</v>
      </c>
      <c r="E738">
        <v>25</v>
      </c>
      <c r="F738" t="s">
        <v>446</v>
      </c>
      <c r="G738" t="s">
        <v>863</v>
      </c>
      <c r="H738" s="9" t="s">
        <v>1071</v>
      </c>
      <c r="I738">
        <f t="shared" si="44"/>
        <v>100</v>
      </c>
      <c r="J738">
        <f t="shared" si="45"/>
        <v>45.359237</v>
      </c>
      <c r="K738">
        <v>0.35799999999999998</v>
      </c>
      <c r="L738">
        <f t="shared" si="46"/>
        <v>16.238606846</v>
      </c>
    </row>
    <row r="739" spans="1:12" x14ac:dyDescent="0.2">
      <c r="A739" s="4">
        <v>43437</v>
      </c>
      <c r="B739" t="s">
        <v>538</v>
      </c>
      <c r="C739">
        <v>1</v>
      </c>
      <c r="D739">
        <v>1</v>
      </c>
      <c r="E739">
        <v>50</v>
      </c>
      <c r="F739" t="s">
        <v>431</v>
      </c>
      <c r="G739" t="s">
        <v>863</v>
      </c>
      <c r="H739" s="9" t="s">
        <v>1071</v>
      </c>
      <c r="I739">
        <f t="shared" si="44"/>
        <v>50</v>
      </c>
      <c r="J739">
        <f t="shared" si="45"/>
        <v>22.6796185</v>
      </c>
      <c r="K739">
        <v>0.35799999999999998</v>
      </c>
      <c r="L739">
        <f t="shared" si="46"/>
        <v>8.1193034229999999</v>
      </c>
    </row>
    <row r="740" spans="1:12" x14ac:dyDescent="0.2">
      <c r="A740" s="4">
        <v>43439</v>
      </c>
      <c r="B740" t="s">
        <v>538</v>
      </c>
      <c r="C740">
        <v>5</v>
      </c>
      <c r="D740">
        <v>1</v>
      </c>
      <c r="E740">
        <v>50</v>
      </c>
      <c r="F740" t="s">
        <v>431</v>
      </c>
      <c r="G740" t="s">
        <v>863</v>
      </c>
      <c r="H740" s="9" t="s">
        <v>1071</v>
      </c>
      <c r="I740">
        <f t="shared" si="44"/>
        <v>250</v>
      </c>
      <c r="J740">
        <f t="shared" si="45"/>
        <v>113.3980925</v>
      </c>
      <c r="K740">
        <v>0.35799999999999998</v>
      </c>
      <c r="L740">
        <f t="shared" si="46"/>
        <v>40.596517114999997</v>
      </c>
    </row>
    <row r="741" spans="1:12" x14ac:dyDescent="0.2">
      <c r="A741" s="4">
        <v>43371</v>
      </c>
      <c r="B741" t="s">
        <v>48</v>
      </c>
      <c r="C741">
        <v>1</v>
      </c>
      <c r="D741">
        <v>1</v>
      </c>
      <c r="E741">
        <f>4*4.54</f>
        <v>18.16</v>
      </c>
      <c r="F741" t="s">
        <v>205</v>
      </c>
      <c r="G741" t="s">
        <v>205</v>
      </c>
      <c r="H741" s="8" t="s">
        <v>1067</v>
      </c>
      <c r="I741">
        <f t="shared" si="44"/>
        <v>18.16</v>
      </c>
      <c r="J741">
        <f t="shared" si="45"/>
        <v>8.2372374392000012</v>
      </c>
      <c r="K741">
        <v>0.74299999999999999</v>
      </c>
      <c r="L741" s="8">
        <f t="shared" si="46"/>
        <v>6.1202674173256009</v>
      </c>
    </row>
    <row r="742" spans="1:12" x14ac:dyDescent="0.2">
      <c r="A742" s="4">
        <v>43374</v>
      </c>
      <c r="B742" t="s">
        <v>48</v>
      </c>
      <c r="C742">
        <v>1</v>
      </c>
      <c r="D742">
        <v>1</v>
      </c>
      <c r="E742">
        <f>4*4.54</f>
        <v>18.16</v>
      </c>
      <c r="F742" t="s">
        <v>205</v>
      </c>
      <c r="G742" t="s">
        <v>205</v>
      </c>
      <c r="H742" s="8" t="s">
        <v>1067</v>
      </c>
      <c r="I742">
        <f t="shared" si="44"/>
        <v>18.16</v>
      </c>
      <c r="J742">
        <f t="shared" si="45"/>
        <v>8.2372374392000012</v>
      </c>
      <c r="K742">
        <v>0.74299999999999999</v>
      </c>
      <c r="L742" s="8">
        <f t="shared" si="46"/>
        <v>6.1202674173256009</v>
      </c>
    </row>
    <row r="743" spans="1:12" x14ac:dyDescent="0.2">
      <c r="A743" s="4">
        <v>43376</v>
      </c>
      <c r="B743" t="s">
        <v>48</v>
      </c>
      <c r="C743">
        <v>1</v>
      </c>
      <c r="D743">
        <v>1</v>
      </c>
      <c r="E743">
        <f>4*4.54</f>
        <v>18.16</v>
      </c>
      <c r="F743" t="s">
        <v>205</v>
      </c>
      <c r="G743" t="s">
        <v>205</v>
      </c>
      <c r="H743" s="8" t="s">
        <v>1067</v>
      </c>
      <c r="I743">
        <f t="shared" si="44"/>
        <v>18.16</v>
      </c>
      <c r="J743">
        <f t="shared" si="45"/>
        <v>8.2372374392000012</v>
      </c>
      <c r="K743">
        <v>0.74299999999999999</v>
      </c>
      <c r="L743" s="8">
        <f t="shared" si="46"/>
        <v>6.1202674173256009</v>
      </c>
    </row>
    <row r="744" spans="1:12" x14ac:dyDescent="0.2">
      <c r="A744" s="4">
        <v>43371</v>
      </c>
      <c r="B744" t="s">
        <v>48</v>
      </c>
      <c r="C744">
        <v>2</v>
      </c>
      <c r="D744">
        <v>1</v>
      </c>
      <c r="E744">
        <v>25</v>
      </c>
      <c r="F744" t="s">
        <v>215</v>
      </c>
      <c r="G744" t="s">
        <v>215</v>
      </c>
      <c r="H744" s="8" t="s">
        <v>1067</v>
      </c>
      <c r="I744">
        <f t="shared" si="44"/>
        <v>50</v>
      </c>
      <c r="J744">
        <f t="shared" si="45"/>
        <v>22.6796185</v>
      </c>
      <c r="K744">
        <v>0.95</v>
      </c>
      <c r="L744" s="8">
        <f t="shared" si="46"/>
        <v>21.545637575000001</v>
      </c>
    </row>
    <row r="745" spans="1:12" x14ac:dyDescent="0.2">
      <c r="A745" s="4">
        <v>43374</v>
      </c>
      <c r="B745" t="s">
        <v>48</v>
      </c>
      <c r="C745">
        <v>2</v>
      </c>
      <c r="D745">
        <v>1</v>
      </c>
      <c r="E745">
        <v>25</v>
      </c>
      <c r="F745" t="s">
        <v>215</v>
      </c>
      <c r="G745" t="s">
        <v>215</v>
      </c>
      <c r="H745" s="8" t="s">
        <v>1067</v>
      </c>
      <c r="I745">
        <f t="shared" si="44"/>
        <v>50</v>
      </c>
      <c r="J745">
        <f t="shared" si="45"/>
        <v>22.6796185</v>
      </c>
      <c r="K745">
        <v>0.95</v>
      </c>
      <c r="L745" s="8">
        <f t="shared" si="46"/>
        <v>21.545637575000001</v>
      </c>
    </row>
    <row r="746" spans="1:12" x14ac:dyDescent="0.2">
      <c r="A746" s="4">
        <v>43371</v>
      </c>
      <c r="B746" t="s">
        <v>48</v>
      </c>
      <c r="C746">
        <v>5</v>
      </c>
      <c r="D746">
        <v>1</v>
      </c>
      <c r="E746">
        <v>18</v>
      </c>
      <c r="F746" t="s">
        <v>92</v>
      </c>
      <c r="G746" t="s">
        <v>764</v>
      </c>
      <c r="H746" s="8" t="s">
        <v>1067</v>
      </c>
      <c r="I746">
        <f t="shared" si="44"/>
        <v>90</v>
      </c>
      <c r="J746">
        <f t="shared" si="45"/>
        <v>40.823313300000002</v>
      </c>
      <c r="K746">
        <v>0.47799999999999998</v>
      </c>
      <c r="L746" s="8">
        <f t="shared" si="46"/>
        <v>19.513543757400001</v>
      </c>
    </row>
    <row r="747" spans="1:12" x14ac:dyDescent="0.2">
      <c r="A747" s="4">
        <v>43374</v>
      </c>
      <c r="B747" t="s">
        <v>48</v>
      </c>
      <c r="C747">
        <v>8</v>
      </c>
      <c r="D747">
        <v>1</v>
      </c>
      <c r="E747">
        <v>18</v>
      </c>
      <c r="F747" t="s">
        <v>92</v>
      </c>
      <c r="G747" t="s">
        <v>764</v>
      </c>
      <c r="H747" s="8" t="s">
        <v>1067</v>
      </c>
      <c r="I747">
        <f t="shared" si="44"/>
        <v>144</v>
      </c>
      <c r="J747">
        <f t="shared" si="45"/>
        <v>65.317301279999995</v>
      </c>
      <c r="K747">
        <v>0.47799999999999998</v>
      </c>
      <c r="L747" s="8">
        <f t="shared" si="46"/>
        <v>31.221670011839997</v>
      </c>
    </row>
    <row r="748" spans="1:12" x14ac:dyDescent="0.2">
      <c r="A748" s="4">
        <v>43377</v>
      </c>
      <c r="B748" t="s">
        <v>48</v>
      </c>
      <c r="C748" s="28">
        <v>4</v>
      </c>
      <c r="D748">
        <v>1</v>
      </c>
      <c r="E748">
        <v>18</v>
      </c>
      <c r="F748" t="s">
        <v>256</v>
      </c>
      <c r="G748" t="s">
        <v>786</v>
      </c>
      <c r="H748" s="8" t="s">
        <v>1067</v>
      </c>
      <c r="I748">
        <f t="shared" si="44"/>
        <v>72</v>
      </c>
      <c r="J748">
        <f t="shared" si="45"/>
        <v>32.658650639999998</v>
      </c>
      <c r="K748">
        <v>0.47799999999999998</v>
      </c>
      <c r="L748" s="8">
        <f t="shared" si="46"/>
        <v>15.610835005919999</v>
      </c>
    </row>
    <row r="749" spans="1:12" x14ac:dyDescent="0.2">
      <c r="A749" s="4">
        <v>43434</v>
      </c>
      <c r="B749" t="s">
        <v>538</v>
      </c>
      <c r="C749">
        <v>2</v>
      </c>
      <c r="D749">
        <v>8</v>
      </c>
      <c r="E749">
        <v>5</v>
      </c>
      <c r="F749" t="s">
        <v>542</v>
      </c>
      <c r="G749" s="6" t="s">
        <v>899</v>
      </c>
      <c r="H749" s="9" t="s">
        <v>1071</v>
      </c>
      <c r="I749">
        <f t="shared" si="44"/>
        <v>80</v>
      </c>
      <c r="J749">
        <f t="shared" si="45"/>
        <v>36.287389600000004</v>
      </c>
      <c r="K749">
        <v>0.55000000000000004</v>
      </c>
      <c r="L749">
        <f t="shared" si="46"/>
        <v>19.958064280000006</v>
      </c>
    </row>
    <row r="750" spans="1:12" x14ac:dyDescent="0.2">
      <c r="A750" s="4">
        <v>43371</v>
      </c>
      <c r="B750" t="s">
        <v>48</v>
      </c>
      <c r="C750">
        <v>1</v>
      </c>
      <c r="D750">
        <v>1</v>
      </c>
      <c r="E750">
        <v>1</v>
      </c>
      <c r="F750" t="s">
        <v>207</v>
      </c>
      <c r="G750" t="s">
        <v>782</v>
      </c>
      <c r="H750" s="8" t="s">
        <v>1067</v>
      </c>
      <c r="I750">
        <f t="shared" si="44"/>
        <v>1</v>
      </c>
      <c r="J750">
        <f t="shared" si="45"/>
        <v>0.45359237000000002</v>
      </c>
      <c r="K750">
        <v>0.221</v>
      </c>
      <c r="L750" s="8">
        <f t="shared" si="46"/>
        <v>0.10024391377000001</v>
      </c>
    </row>
    <row r="751" spans="1:12" x14ac:dyDescent="0.2">
      <c r="A751" s="4">
        <v>43371</v>
      </c>
      <c r="B751" t="s">
        <v>48</v>
      </c>
      <c r="C751">
        <v>1</v>
      </c>
      <c r="D751">
        <v>1</v>
      </c>
      <c r="E751">
        <v>1</v>
      </c>
      <c r="F751" t="s">
        <v>208</v>
      </c>
      <c r="G751" t="s">
        <v>782</v>
      </c>
      <c r="H751" s="8" t="s">
        <v>1067</v>
      </c>
      <c r="I751">
        <f t="shared" si="44"/>
        <v>1</v>
      </c>
      <c r="J751">
        <f t="shared" si="45"/>
        <v>0.45359237000000002</v>
      </c>
      <c r="K751">
        <v>0.221</v>
      </c>
      <c r="L751" s="8">
        <f t="shared" si="46"/>
        <v>0.10024391377000001</v>
      </c>
    </row>
    <row r="752" spans="1:12" x14ac:dyDescent="0.2">
      <c r="A752" s="4">
        <v>43371</v>
      </c>
      <c r="B752" t="s">
        <v>48</v>
      </c>
      <c r="C752">
        <v>1</v>
      </c>
      <c r="D752">
        <v>1</v>
      </c>
      <c r="E752">
        <v>1</v>
      </c>
      <c r="F752" t="s">
        <v>209</v>
      </c>
      <c r="G752" t="s">
        <v>782</v>
      </c>
      <c r="H752" s="8" t="s">
        <v>1067</v>
      </c>
      <c r="I752">
        <f t="shared" si="44"/>
        <v>1</v>
      </c>
      <c r="J752">
        <f t="shared" si="45"/>
        <v>0.45359237000000002</v>
      </c>
      <c r="K752">
        <v>0.221</v>
      </c>
      <c r="L752" s="8">
        <f t="shared" si="46"/>
        <v>0.10024391377000001</v>
      </c>
    </row>
    <row r="753" spans="1:12" x14ac:dyDescent="0.2">
      <c r="A753" s="4">
        <v>43372</v>
      </c>
      <c r="B753" t="s">
        <v>48</v>
      </c>
      <c r="C753">
        <v>1</v>
      </c>
      <c r="D753">
        <v>1</v>
      </c>
      <c r="E753">
        <f>12/16</f>
        <v>0.75</v>
      </c>
      <c r="F753" t="s">
        <v>227</v>
      </c>
      <c r="G753" t="s">
        <v>782</v>
      </c>
      <c r="H753" s="8" t="s">
        <v>1067</v>
      </c>
      <c r="I753">
        <f t="shared" si="44"/>
        <v>0.75</v>
      </c>
      <c r="J753">
        <f t="shared" si="45"/>
        <v>0.34019427750000003</v>
      </c>
      <c r="K753">
        <v>0.221</v>
      </c>
      <c r="L753" s="8">
        <f t="shared" si="46"/>
        <v>7.5182935327500006E-2</v>
      </c>
    </row>
    <row r="754" spans="1:12" x14ac:dyDescent="0.2">
      <c r="A754" s="4">
        <v>43376</v>
      </c>
      <c r="B754" t="s">
        <v>48</v>
      </c>
      <c r="C754">
        <v>1</v>
      </c>
      <c r="D754">
        <v>1</v>
      </c>
      <c r="E754" s="27">
        <v>1</v>
      </c>
      <c r="F754" t="s">
        <v>241</v>
      </c>
      <c r="G754" t="s">
        <v>782</v>
      </c>
      <c r="H754" s="8" t="s">
        <v>1067</v>
      </c>
      <c r="I754">
        <f t="shared" si="44"/>
        <v>1</v>
      </c>
      <c r="J754">
        <f t="shared" si="45"/>
        <v>0.45359237000000002</v>
      </c>
      <c r="K754">
        <v>0.221</v>
      </c>
      <c r="L754" s="8">
        <f t="shared" si="46"/>
        <v>0.10024391377000001</v>
      </c>
    </row>
    <row r="755" spans="1:12" x14ac:dyDescent="0.2">
      <c r="A755" s="4">
        <v>43372</v>
      </c>
      <c r="B755" t="s">
        <v>48</v>
      </c>
      <c r="C755">
        <v>1</v>
      </c>
      <c r="D755">
        <v>1</v>
      </c>
      <c r="E755">
        <v>1</v>
      </c>
      <c r="F755" t="s">
        <v>98</v>
      </c>
      <c r="G755" t="s">
        <v>1085</v>
      </c>
      <c r="H755" s="8" t="s">
        <v>1067</v>
      </c>
      <c r="I755">
        <f t="shared" si="44"/>
        <v>1</v>
      </c>
      <c r="J755">
        <f t="shared" si="45"/>
        <v>0.45359237000000002</v>
      </c>
      <c r="K755">
        <v>0.221</v>
      </c>
      <c r="L755" s="8">
        <f t="shared" si="46"/>
        <v>0.10024391377000001</v>
      </c>
    </row>
    <row r="756" spans="1:12" x14ac:dyDescent="0.2">
      <c r="A756" s="4">
        <v>43437</v>
      </c>
      <c r="B756" t="s">
        <v>538</v>
      </c>
      <c r="C756">
        <v>1</v>
      </c>
      <c r="D756">
        <v>6</v>
      </c>
      <c r="E756">
        <v>5</v>
      </c>
      <c r="F756" t="s">
        <v>571</v>
      </c>
      <c r="G756" t="s">
        <v>878</v>
      </c>
      <c r="H756" s="9" t="s">
        <v>1071</v>
      </c>
      <c r="I756">
        <f t="shared" si="44"/>
        <v>30</v>
      </c>
      <c r="J756">
        <f t="shared" si="45"/>
        <v>13.607771100000001</v>
      </c>
      <c r="K756">
        <v>2.44</v>
      </c>
      <c r="L756">
        <f t="shared" si="46"/>
        <v>33.202961483999999</v>
      </c>
    </row>
    <row r="757" spans="1:12" x14ac:dyDescent="0.2">
      <c r="A757" s="4">
        <v>43439</v>
      </c>
      <c r="B757" t="s">
        <v>538</v>
      </c>
      <c r="C757">
        <v>1</v>
      </c>
      <c r="D757">
        <v>6</v>
      </c>
      <c r="E757">
        <v>5</v>
      </c>
      <c r="F757" t="s">
        <v>571</v>
      </c>
      <c r="G757" t="s">
        <v>878</v>
      </c>
      <c r="H757" s="9" t="s">
        <v>1071</v>
      </c>
      <c r="I757">
        <f t="shared" si="44"/>
        <v>30</v>
      </c>
      <c r="J757">
        <f t="shared" si="45"/>
        <v>13.607771100000001</v>
      </c>
      <c r="K757">
        <v>2.44</v>
      </c>
      <c r="L757">
        <f t="shared" si="46"/>
        <v>33.202961483999999</v>
      </c>
    </row>
    <row r="758" spans="1:12" x14ac:dyDescent="0.2">
      <c r="A758" s="4">
        <v>43372</v>
      </c>
      <c r="B758" t="s">
        <v>48</v>
      </c>
      <c r="C758">
        <v>5</v>
      </c>
      <c r="D758">
        <v>1</v>
      </c>
      <c r="E758">
        <v>32</v>
      </c>
      <c r="F758" t="s">
        <v>103</v>
      </c>
      <c r="G758" t="s">
        <v>103</v>
      </c>
      <c r="H758" s="8" t="s">
        <v>1067</v>
      </c>
      <c r="I758">
        <f t="shared" si="44"/>
        <v>160</v>
      </c>
      <c r="J758">
        <f t="shared" si="45"/>
        <v>72.574779200000009</v>
      </c>
      <c r="K758">
        <v>0.28399999999999997</v>
      </c>
      <c r="L758" s="8">
        <f t="shared" si="46"/>
        <v>20.611237292800002</v>
      </c>
    </row>
    <row r="759" spans="1:12" x14ac:dyDescent="0.2">
      <c r="A759" s="4">
        <v>43371</v>
      </c>
      <c r="B759" t="s">
        <v>48</v>
      </c>
      <c r="C759">
        <v>8</v>
      </c>
      <c r="D759">
        <v>1</v>
      </c>
      <c r="E759">
        <v>32</v>
      </c>
      <c r="F759" t="s">
        <v>103</v>
      </c>
      <c r="G759" t="s">
        <v>103</v>
      </c>
      <c r="H759" s="8" t="s">
        <v>1067</v>
      </c>
      <c r="I759">
        <f t="shared" si="44"/>
        <v>256</v>
      </c>
      <c r="J759">
        <f t="shared" si="45"/>
        <v>116.11964672000001</v>
      </c>
      <c r="K759">
        <v>0.28399999999999997</v>
      </c>
      <c r="L759" s="8">
        <f t="shared" si="46"/>
        <v>32.977979668479996</v>
      </c>
    </row>
    <row r="760" spans="1:12" x14ac:dyDescent="0.2">
      <c r="A760" s="4">
        <v>43374</v>
      </c>
      <c r="B760" t="s">
        <v>48</v>
      </c>
      <c r="C760">
        <v>8</v>
      </c>
      <c r="D760">
        <v>1</v>
      </c>
      <c r="E760">
        <v>32</v>
      </c>
      <c r="F760" t="s">
        <v>103</v>
      </c>
      <c r="G760" t="s">
        <v>103</v>
      </c>
      <c r="H760" s="8" t="s">
        <v>1067</v>
      </c>
      <c r="I760">
        <f t="shared" si="44"/>
        <v>256</v>
      </c>
      <c r="J760">
        <f t="shared" si="45"/>
        <v>116.11964672000001</v>
      </c>
      <c r="K760">
        <v>0.28399999999999997</v>
      </c>
      <c r="L760" s="8">
        <f t="shared" si="46"/>
        <v>32.977979668479996</v>
      </c>
    </row>
    <row r="761" spans="1:12" x14ac:dyDescent="0.2">
      <c r="A761" s="4">
        <v>43376</v>
      </c>
      <c r="B761" t="s">
        <v>48</v>
      </c>
      <c r="C761">
        <v>7</v>
      </c>
      <c r="D761">
        <v>1</v>
      </c>
      <c r="E761">
        <v>32</v>
      </c>
      <c r="F761" t="s">
        <v>103</v>
      </c>
      <c r="G761" t="s">
        <v>103</v>
      </c>
      <c r="H761" s="8" t="s">
        <v>1067</v>
      </c>
      <c r="I761">
        <f t="shared" si="44"/>
        <v>224</v>
      </c>
      <c r="J761">
        <f t="shared" si="45"/>
        <v>101.60469088000001</v>
      </c>
      <c r="K761">
        <v>0.28399999999999997</v>
      </c>
      <c r="L761" s="8">
        <f t="shared" si="46"/>
        <v>28.855732209919999</v>
      </c>
    </row>
    <row r="762" spans="1:12" x14ac:dyDescent="0.2">
      <c r="A762" s="4">
        <v>43377</v>
      </c>
      <c r="B762" t="s">
        <v>48</v>
      </c>
      <c r="C762" s="28">
        <v>8</v>
      </c>
      <c r="D762">
        <v>1</v>
      </c>
      <c r="E762">
        <v>32</v>
      </c>
      <c r="F762" t="s">
        <v>259</v>
      </c>
      <c r="G762" t="s">
        <v>789</v>
      </c>
      <c r="H762" s="8" t="s">
        <v>1067</v>
      </c>
      <c r="I762">
        <f t="shared" si="44"/>
        <v>256</v>
      </c>
      <c r="J762">
        <f t="shared" si="45"/>
        <v>116.11964672000001</v>
      </c>
      <c r="K762">
        <v>0.28399999999999997</v>
      </c>
      <c r="L762" s="8">
        <f t="shared" si="46"/>
        <v>32.977979668479996</v>
      </c>
    </row>
    <row r="763" spans="1:12" x14ac:dyDescent="0.2">
      <c r="A763" s="4">
        <v>43434</v>
      </c>
      <c r="B763" t="s">
        <v>517</v>
      </c>
      <c r="C763">
        <v>4</v>
      </c>
      <c r="D763">
        <v>1</v>
      </c>
      <c r="E763">
        <f t="shared" ref="E763:E770" si="47">3*8.6</f>
        <v>25.799999999999997</v>
      </c>
      <c r="F763" t="s">
        <v>518</v>
      </c>
      <c r="G763" s="6" t="s">
        <v>888</v>
      </c>
      <c r="H763" s="9" t="s">
        <v>1073</v>
      </c>
      <c r="I763">
        <f t="shared" si="44"/>
        <v>103.19999999999999</v>
      </c>
      <c r="J763">
        <f t="shared" si="45"/>
        <v>46.810732584</v>
      </c>
      <c r="K763" s="6">
        <v>3.84</v>
      </c>
      <c r="L763">
        <f t="shared" si="46"/>
        <v>179.75321312256</v>
      </c>
    </row>
    <row r="764" spans="1:12" x14ac:dyDescent="0.2">
      <c r="A764" s="4">
        <v>43434</v>
      </c>
      <c r="B764" t="s">
        <v>517</v>
      </c>
      <c r="C764">
        <v>4</v>
      </c>
      <c r="D764">
        <v>1</v>
      </c>
      <c r="E764">
        <f t="shared" si="47"/>
        <v>25.799999999999997</v>
      </c>
      <c r="F764" t="s">
        <v>468</v>
      </c>
      <c r="G764" s="6" t="s">
        <v>888</v>
      </c>
      <c r="H764" s="9" t="s">
        <v>1073</v>
      </c>
      <c r="I764">
        <f t="shared" si="44"/>
        <v>103.19999999999999</v>
      </c>
      <c r="J764">
        <f t="shared" si="45"/>
        <v>46.810732584</v>
      </c>
      <c r="K764" s="6">
        <v>3.84</v>
      </c>
      <c r="L764">
        <f t="shared" si="46"/>
        <v>179.75321312256</v>
      </c>
    </row>
    <row r="765" spans="1:12" x14ac:dyDescent="0.2">
      <c r="A765" s="4">
        <v>43434</v>
      </c>
      <c r="B765" t="s">
        <v>517</v>
      </c>
      <c r="C765">
        <v>4</v>
      </c>
      <c r="D765">
        <v>1</v>
      </c>
      <c r="E765">
        <f t="shared" si="47"/>
        <v>25.799999999999997</v>
      </c>
      <c r="F765" t="s">
        <v>524</v>
      </c>
      <c r="G765" s="6" t="s">
        <v>888</v>
      </c>
      <c r="H765" s="9" t="s">
        <v>1073</v>
      </c>
      <c r="I765">
        <f t="shared" si="44"/>
        <v>103.19999999999999</v>
      </c>
      <c r="J765">
        <f t="shared" si="45"/>
        <v>46.810732584</v>
      </c>
      <c r="K765" s="6">
        <v>3.84</v>
      </c>
      <c r="L765">
        <f t="shared" si="46"/>
        <v>179.75321312256</v>
      </c>
    </row>
    <row r="766" spans="1:12" x14ac:dyDescent="0.2">
      <c r="A766" s="4">
        <v>43439</v>
      </c>
      <c r="B766" t="s">
        <v>517</v>
      </c>
      <c r="C766">
        <v>2</v>
      </c>
      <c r="D766">
        <v>1</v>
      </c>
      <c r="E766">
        <f t="shared" si="47"/>
        <v>25.799999999999997</v>
      </c>
      <c r="F766" t="s">
        <v>600</v>
      </c>
      <c r="G766" s="6" t="s">
        <v>888</v>
      </c>
      <c r="H766" s="9" t="s">
        <v>1073</v>
      </c>
      <c r="I766">
        <f t="shared" si="44"/>
        <v>51.599999999999994</v>
      </c>
      <c r="J766">
        <f t="shared" si="45"/>
        <v>23.405366292</v>
      </c>
      <c r="K766" s="6">
        <v>3.84</v>
      </c>
      <c r="L766">
        <f t="shared" si="46"/>
        <v>89.876606561279999</v>
      </c>
    </row>
    <row r="767" spans="1:12" x14ac:dyDescent="0.2">
      <c r="A767" s="4">
        <v>43439</v>
      </c>
      <c r="B767" t="s">
        <v>517</v>
      </c>
      <c r="C767">
        <v>2</v>
      </c>
      <c r="D767">
        <v>1</v>
      </c>
      <c r="E767">
        <f t="shared" si="47"/>
        <v>25.799999999999997</v>
      </c>
      <c r="F767" t="s">
        <v>466</v>
      </c>
      <c r="G767" s="6" t="s">
        <v>888</v>
      </c>
      <c r="H767" s="9" t="s">
        <v>1073</v>
      </c>
      <c r="I767">
        <f t="shared" si="44"/>
        <v>51.599999999999994</v>
      </c>
      <c r="J767">
        <f t="shared" si="45"/>
        <v>23.405366292</v>
      </c>
      <c r="K767" s="6">
        <v>3.84</v>
      </c>
      <c r="L767">
        <f t="shared" si="46"/>
        <v>89.876606561279999</v>
      </c>
    </row>
    <row r="768" spans="1:12" x14ac:dyDescent="0.2">
      <c r="A768" s="4">
        <v>43439</v>
      </c>
      <c r="B768" t="s">
        <v>517</v>
      </c>
      <c r="C768">
        <v>3</v>
      </c>
      <c r="D768">
        <v>1</v>
      </c>
      <c r="E768">
        <f t="shared" si="47"/>
        <v>25.799999999999997</v>
      </c>
      <c r="F768" t="s">
        <v>467</v>
      </c>
      <c r="G768" s="6" t="s">
        <v>888</v>
      </c>
      <c r="H768" s="9" t="s">
        <v>1073</v>
      </c>
      <c r="I768">
        <f t="shared" si="44"/>
        <v>77.399999999999991</v>
      </c>
      <c r="J768">
        <f t="shared" si="45"/>
        <v>35.108049437999995</v>
      </c>
      <c r="K768" s="6">
        <v>3.84</v>
      </c>
      <c r="L768">
        <f t="shared" si="46"/>
        <v>134.81490984191998</v>
      </c>
    </row>
    <row r="769" spans="1:12" x14ac:dyDescent="0.2">
      <c r="A769" s="4">
        <v>43439</v>
      </c>
      <c r="B769" t="s">
        <v>517</v>
      </c>
      <c r="C769">
        <v>3</v>
      </c>
      <c r="D769">
        <v>1</v>
      </c>
      <c r="E769">
        <f t="shared" si="47"/>
        <v>25.799999999999997</v>
      </c>
      <c r="F769" t="s">
        <v>468</v>
      </c>
      <c r="G769" s="6" t="s">
        <v>888</v>
      </c>
      <c r="H769" s="9" t="s">
        <v>1073</v>
      </c>
      <c r="I769">
        <f t="shared" si="44"/>
        <v>77.399999999999991</v>
      </c>
      <c r="J769">
        <f t="shared" si="45"/>
        <v>35.108049437999995</v>
      </c>
      <c r="K769" s="6">
        <v>3.84</v>
      </c>
      <c r="L769">
        <f t="shared" si="46"/>
        <v>134.81490984191998</v>
      </c>
    </row>
    <row r="770" spans="1:12" x14ac:dyDescent="0.2">
      <c r="A770" s="4">
        <v>43439</v>
      </c>
      <c r="B770" t="s">
        <v>517</v>
      </c>
      <c r="C770">
        <v>3</v>
      </c>
      <c r="D770">
        <v>1</v>
      </c>
      <c r="E770">
        <f t="shared" si="47"/>
        <v>25.799999999999997</v>
      </c>
      <c r="F770" t="s">
        <v>469</v>
      </c>
      <c r="G770" s="6" t="s">
        <v>888</v>
      </c>
      <c r="H770" s="9" t="s">
        <v>1073</v>
      </c>
      <c r="I770">
        <f t="shared" si="44"/>
        <v>77.399999999999991</v>
      </c>
      <c r="J770">
        <f t="shared" si="45"/>
        <v>35.108049437999995</v>
      </c>
      <c r="K770" s="6">
        <v>3.84</v>
      </c>
      <c r="L770">
        <f t="shared" si="46"/>
        <v>134.81490984191998</v>
      </c>
    </row>
    <row r="771" spans="1:12" x14ac:dyDescent="0.2">
      <c r="A771" s="4">
        <v>43434</v>
      </c>
      <c r="B771" t="s">
        <v>538</v>
      </c>
      <c r="C771">
        <v>1</v>
      </c>
      <c r="D771">
        <v>6</v>
      </c>
      <c r="E771">
        <v>4</v>
      </c>
      <c r="F771" t="s">
        <v>438</v>
      </c>
      <c r="G771" s="6" t="s">
        <v>866</v>
      </c>
      <c r="H771" s="9" t="s">
        <v>1071</v>
      </c>
      <c r="I771">
        <f t="shared" ref="I771:I834" si="48">C771*D771*E771</f>
        <v>24</v>
      </c>
      <c r="J771">
        <f t="shared" ref="J771:J834" si="49">CONVERT(I771,"lbm","kg")</f>
        <v>10.886216880000001</v>
      </c>
      <c r="K771" s="6">
        <v>3.25</v>
      </c>
      <c r="L771">
        <f t="shared" ref="L771:L834" si="50">J771*K771</f>
        <v>35.380204860000006</v>
      </c>
    </row>
    <row r="772" spans="1:12" x14ac:dyDescent="0.2">
      <c r="A772" s="4">
        <v>43439</v>
      </c>
      <c r="B772" t="s">
        <v>538</v>
      </c>
      <c r="C772">
        <v>1</v>
      </c>
      <c r="D772">
        <v>6</v>
      </c>
      <c r="E772">
        <v>4</v>
      </c>
      <c r="F772" t="s">
        <v>438</v>
      </c>
      <c r="G772" s="6" t="s">
        <v>866</v>
      </c>
      <c r="H772" s="9" t="s">
        <v>1071</v>
      </c>
      <c r="I772">
        <f t="shared" si="48"/>
        <v>24</v>
      </c>
      <c r="J772">
        <f t="shared" si="49"/>
        <v>10.886216880000001</v>
      </c>
      <c r="K772" s="6">
        <v>3.25</v>
      </c>
      <c r="L772">
        <f t="shared" si="50"/>
        <v>35.380204860000006</v>
      </c>
    </row>
    <row r="773" spans="1:12" x14ac:dyDescent="0.2">
      <c r="A773" s="10">
        <v>43371</v>
      </c>
      <c r="B773" s="9" t="s">
        <v>175</v>
      </c>
      <c r="C773">
        <v>1</v>
      </c>
      <c r="D773">
        <v>1</v>
      </c>
      <c r="E773" s="9">
        <v>52.2</v>
      </c>
      <c r="F773" s="9" t="s">
        <v>176</v>
      </c>
      <c r="G773" s="9" t="s">
        <v>756</v>
      </c>
      <c r="H773" s="8" t="s">
        <v>1072</v>
      </c>
      <c r="I773">
        <f t="shared" si="48"/>
        <v>52.2</v>
      </c>
      <c r="J773">
        <f t="shared" si="49"/>
        <v>23.677521714000004</v>
      </c>
      <c r="K773">
        <v>34.744999999999997</v>
      </c>
      <c r="L773" s="8">
        <f t="shared" si="50"/>
        <v>822.67549195293009</v>
      </c>
    </row>
    <row r="774" spans="1:12" x14ac:dyDescent="0.2">
      <c r="A774" s="10">
        <v>43371</v>
      </c>
      <c r="B774" s="9" t="s">
        <v>175</v>
      </c>
      <c r="C774">
        <v>1</v>
      </c>
      <c r="D774">
        <v>1</v>
      </c>
      <c r="E774" s="9">
        <v>70.489999999999995</v>
      </c>
      <c r="F774" s="9" t="s">
        <v>178</v>
      </c>
      <c r="G774" s="9" t="s">
        <v>756</v>
      </c>
      <c r="H774" s="8" t="s">
        <v>1072</v>
      </c>
      <c r="I774">
        <f t="shared" si="48"/>
        <v>70.489999999999995</v>
      </c>
      <c r="J774">
        <f t="shared" si="49"/>
        <v>31.973726161299997</v>
      </c>
      <c r="K774">
        <v>34.744999999999997</v>
      </c>
      <c r="L774" s="8">
        <f t="shared" si="50"/>
        <v>1110.9271154743683</v>
      </c>
    </row>
    <row r="775" spans="1:12" x14ac:dyDescent="0.2">
      <c r="A775" s="4">
        <v>43372</v>
      </c>
      <c r="B775" t="s">
        <v>48</v>
      </c>
      <c r="C775">
        <v>1</v>
      </c>
      <c r="D775">
        <v>1</v>
      </c>
      <c r="E775">
        <f>12*2.12</f>
        <v>25.44</v>
      </c>
      <c r="F775" t="s">
        <v>185</v>
      </c>
      <c r="G775" t="s">
        <v>185</v>
      </c>
      <c r="H775" s="8" t="s">
        <v>1067</v>
      </c>
      <c r="I775">
        <f t="shared" si="48"/>
        <v>25.44</v>
      </c>
      <c r="J775">
        <f t="shared" si="49"/>
        <v>11.539389892800003</v>
      </c>
      <c r="K775">
        <v>0.33200000000000002</v>
      </c>
      <c r="L775" s="8">
        <f t="shared" si="50"/>
        <v>3.8310774444096012</v>
      </c>
    </row>
    <row r="776" spans="1:12" x14ac:dyDescent="0.2">
      <c r="A776" s="4">
        <v>43371</v>
      </c>
      <c r="B776" t="s">
        <v>48</v>
      </c>
      <c r="C776">
        <v>1</v>
      </c>
      <c r="D776">
        <v>1</v>
      </c>
      <c r="E776">
        <f>12*2.12</f>
        <v>25.44</v>
      </c>
      <c r="F776" t="s">
        <v>185</v>
      </c>
      <c r="G776" t="s">
        <v>185</v>
      </c>
      <c r="H776" s="8" t="s">
        <v>1067</v>
      </c>
      <c r="I776">
        <f t="shared" si="48"/>
        <v>25.44</v>
      </c>
      <c r="J776">
        <f t="shared" si="49"/>
        <v>11.539389892800003</v>
      </c>
      <c r="K776">
        <v>0.33200000000000002</v>
      </c>
      <c r="L776" s="8">
        <f t="shared" si="50"/>
        <v>3.8310774444096012</v>
      </c>
    </row>
    <row r="777" spans="1:12" x14ac:dyDescent="0.2">
      <c r="A777" s="4">
        <v>43371</v>
      </c>
      <c r="B777" t="s">
        <v>48</v>
      </c>
      <c r="C777">
        <v>2</v>
      </c>
      <c r="D777">
        <v>1</v>
      </c>
      <c r="E777">
        <v>10</v>
      </c>
      <c r="F777" t="s">
        <v>186</v>
      </c>
      <c r="G777" t="s">
        <v>768</v>
      </c>
      <c r="H777" s="8" t="s">
        <v>1067</v>
      </c>
      <c r="I777">
        <f t="shared" si="48"/>
        <v>20</v>
      </c>
      <c r="J777">
        <f t="shared" si="49"/>
        <v>9.0718474000000011</v>
      </c>
      <c r="K777">
        <v>0.22</v>
      </c>
      <c r="L777" s="8">
        <f t="shared" si="50"/>
        <v>1.9958064280000003</v>
      </c>
    </row>
    <row r="778" spans="1:12" x14ac:dyDescent="0.2">
      <c r="A778" s="4">
        <v>43372</v>
      </c>
      <c r="B778" t="s">
        <v>48</v>
      </c>
      <c r="C778">
        <v>1</v>
      </c>
      <c r="D778">
        <v>1</v>
      </c>
      <c r="E778">
        <v>10</v>
      </c>
      <c r="F778" t="s">
        <v>186</v>
      </c>
      <c r="G778" t="s">
        <v>768</v>
      </c>
      <c r="H778" s="8" t="s">
        <v>1067</v>
      </c>
      <c r="I778">
        <f t="shared" si="48"/>
        <v>10</v>
      </c>
      <c r="J778">
        <f t="shared" si="49"/>
        <v>4.5359237000000006</v>
      </c>
      <c r="K778">
        <v>0.22</v>
      </c>
      <c r="L778" s="8">
        <f t="shared" si="50"/>
        <v>0.99790321400000015</v>
      </c>
    </row>
    <row r="779" spans="1:12" x14ac:dyDescent="0.2">
      <c r="A779" s="4">
        <v>43377</v>
      </c>
      <c r="B779" t="s">
        <v>48</v>
      </c>
      <c r="C779" s="28">
        <v>2</v>
      </c>
      <c r="D779">
        <v>1</v>
      </c>
      <c r="E779">
        <v>10</v>
      </c>
      <c r="F779" t="s">
        <v>257</v>
      </c>
      <c r="G779" t="s">
        <v>787</v>
      </c>
      <c r="H779" s="8" t="s">
        <v>1067</v>
      </c>
      <c r="I779">
        <f t="shared" si="48"/>
        <v>20</v>
      </c>
      <c r="J779">
        <f t="shared" si="49"/>
        <v>9.0718474000000011</v>
      </c>
      <c r="K779">
        <v>0.22</v>
      </c>
      <c r="L779" s="8">
        <f t="shared" si="50"/>
        <v>1.9958064280000003</v>
      </c>
    </row>
    <row r="780" spans="1:12" x14ac:dyDescent="0.2">
      <c r="A780" s="4">
        <v>43372</v>
      </c>
      <c r="B780" t="s">
        <v>48</v>
      </c>
      <c r="C780">
        <v>3</v>
      </c>
      <c r="D780">
        <v>1</v>
      </c>
      <c r="E780">
        <v>48</v>
      </c>
      <c r="F780" t="s">
        <v>71</v>
      </c>
      <c r="G780" t="s">
        <v>787</v>
      </c>
      <c r="H780" s="8" t="s">
        <v>1067</v>
      </c>
      <c r="I780">
        <f t="shared" si="48"/>
        <v>144</v>
      </c>
      <c r="J780">
        <f t="shared" si="49"/>
        <v>65.317301279999995</v>
      </c>
      <c r="K780">
        <v>0.158</v>
      </c>
      <c r="L780" s="8">
        <f t="shared" si="50"/>
        <v>10.320133602239999</v>
      </c>
    </row>
    <row r="781" spans="1:12" x14ac:dyDescent="0.2">
      <c r="A781" s="4">
        <v>43371</v>
      </c>
      <c r="B781" t="s">
        <v>48</v>
      </c>
      <c r="C781">
        <v>4</v>
      </c>
      <c r="D781">
        <v>1</v>
      </c>
      <c r="E781">
        <v>48</v>
      </c>
      <c r="F781" t="s">
        <v>71</v>
      </c>
      <c r="G781" t="s">
        <v>787</v>
      </c>
      <c r="H781" s="8" t="s">
        <v>1067</v>
      </c>
      <c r="I781">
        <f t="shared" si="48"/>
        <v>192</v>
      </c>
      <c r="J781">
        <f t="shared" si="49"/>
        <v>87.089735040000008</v>
      </c>
      <c r="K781">
        <v>0.158</v>
      </c>
      <c r="L781" s="8">
        <f t="shared" si="50"/>
        <v>13.760178136320002</v>
      </c>
    </row>
    <row r="782" spans="1:12" x14ac:dyDescent="0.2">
      <c r="A782" s="4">
        <v>43376</v>
      </c>
      <c r="B782" t="s">
        <v>48</v>
      </c>
      <c r="C782">
        <v>3</v>
      </c>
      <c r="D782">
        <v>1</v>
      </c>
      <c r="E782">
        <v>48</v>
      </c>
      <c r="F782" t="s">
        <v>71</v>
      </c>
      <c r="G782" t="s">
        <v>787</v>
      </c>
      <c r="H782" s="8" t="s">
        <v>1067</v>
      </c>
      <c r="I782">
        <f t="shared" si="48"/>
        <v>144</v>
      </c>
      <c r="J782">
        <f t="shared" si="49"/>
        <v>65.317301279999995</v>
      </c>
      <c r="K782">
        <v>0.158</v>
      </c>
      <c r="L782" s="8">
        <f t="shared" si="50"/>
        <v>10.320133602239999</v>
      </c>
    </row>
    <row r="783" spans="1:12" x14ac:dyDescent="0.2">
      <c r="A783" s="4">
        <v>43377</v>
      </c>
      <c r="B783" t="s">
        <v>48</v>
      </c>
      <c r="C783" s="28">
        <v>2</v>
      </c>
      <c r="D783">
        <v>1</v>
      </c>
      <c r="E783">
        <v>48</v>
      </c>
      <c r="F783" t="s">
        <v>274</v>
      </c>
      <c r="G783" t="s">
        <v>787</v>
      </c>
      <c r="H783" s="8" t="s">
        <v>1067</v>
      </c>
      <c r="I783">
        <f t="shared" si="48"/>
        <v>96</v>
      </c>
      <c r="J783">
        <f t="shared" si="49"/>
        <v>43.544867520000004</v>
      </c>
      <c r="K783">
        <v>0.158</v>
      </c>
      <c r="L783" s="8">
        <f t="shared" si="50"/>
        <v>6.8800890681600011</v>
      </c>
    </row>
    <row r="784" spans="1:12" x14ac:dyDescent="0.2">
      <c r="A784" s="4">
        <v>43372</v>
      </c>
      <c r="B784" t="s">
        <v>48</v>
      </c>
      <c r="C784">
        <v>1</v>
      </c>
      <c r="D784">
        <v>1</v>
      </c>
      <c r="E784">
        <v>10</v>
      </c>
      <c r="F784" t="s">
        <v>186</v>
      </c>
      <c r="G784" t="s">
        <v>800</v>
      </c>
      <c r="H784" s="8" t="s">
        <v>1067</v>
      </c>
      <c r="I784">
        <f t="shared" si="48"/>
        <v>10</v>
      </c>
      <c r="J784">
        <f t="shared" si="49"/>
        <v>4.5359237000000006</v>
      </c>
      <c r="K784">
        <v>0.22</v>
      </c>
      <c r="L784" s="8">
        <f t="shared" si="50"/>
        <v>0.99790321400000015</v>
      </c>
    </row>
    <row r="785" spans="1:12" x14ac:dyDescent="0.2">
      <c r="A785" s="4">
        <v>43371</v>
      </c>
      <c r="B785" t="s">
        <v>48</v>
      </c>
      <c r="C785">
        <v>1</v>
      </c>
      <c r="D785">
        <v>1</v>
      </c>
      <c r="E785">
        <f>12*2.135</f>
        <v>25.619999999999997</v>
      </c>
      <c r="F785" t="s">
        <v>101</v>
      </c>
      <c r="G785" t="s">
        <v>101</v>
      </c>
      <c r="H785" s="8" t="s">
        <v>1067</v>
      </c>
      <c r="I785">
        <f t="shared" si="48"/>
        <v>25.619999999999997</v>
      </c>
      <c r="J785">
        <f t="shared" si="49"/>
        <v>11.621036519399999</v>
      </c>
      <c r="K785">
        <v>1.9430000000000001</v>
      </c>
      <c r="L785" s="8">
        <f t="shared" si="50"/>
        <v>22.579673957194199</v>
      </c>
    </row>
    <row r="786" spans="1:12" x14ac:dyDescent="0.2">
      <c r="A786" s="4">
        <v>43374</v>
      </c>
      <c r="B786" s="9" t="s">
        <v>38</v>
      </c>
      <c r="C786">
        <v>12</v>
      </c>
      <c r="D786">
        <v>1</v>
      </c>
      <c r="E786">
        <f>8.6*5</f>
        <v>43</v>
      </c>
      <c r="F786" s="9" t="s">
        <v>39</v>
      </c>
      <c r="G786" s="9" t="s">
        <v>774</v>
      </c>
      <c r="H786" s="8" t="s">
        <v>1091</v>
      </c>
      <c r="I786">
        <f t="shared" si="48"/>
        <v>516</v>
      </c>
      <c r="J786">
        <f t="shared" si="49"/>
        <v>234.05366291999999</v>
      </c>
      <c r="K786">
        <v>1.23</v>
      </c>
      <c r="L786" s="8">
        <f t="shared" si="50"/>
        <v>287.88600539160001</v>
      </c>
    </row>
    <row r="787" spans="1:12" x14ac:dyDescent="0.2">
      <c r="A787" s="4">
        <v>43374</v>
      </c>
      <c r="B787" s="9" t="s">
        <v>38</v>
      </c>
      <c r="C787">
        <v>3</v>
      </c>
      <c r="D787">
        <v>1</v>
      </c>
      <c r="E787">
        <f>8.6*5</f>
        <v>43</v>
      </c>
      <c r="F787" s="9" t="s">
        <v>40</v>
      </c>
      <c r="G787" s="9" t="s">
        <v>774</v>
      </c>
      <c r="H787" s="8" t="s">
        <v>1091</v>
      </c>
      <c r="I787">
        <f t="shared" si="48"/>
        <v>129</v>
      </c>
      <c r="J787">
        <f t="shared" si="49"/>
        <v>58.513415729999998</v>
      </c>
      <c r="K787">
        <v>1.23</v>
      </c>
      <c r="L787" s="8">
        <f t="shared" si="50"/>
        <v>71.971501347900002</v>
      </c>
    </row>
    <row r="788" spans="1:12" x14ac:dyDescent="0.2">
      <c r="A788" s="4">
        <v>43374</v>
      </c>
      <c r="B788" s="9" t="s">
        <v>38</v>
      </c>
      <c r="C788">
        <v>5</v>
      </c>
      <c r="D788">
        <v>1</v>
      </c>
      <c r="E788">
        <f>8.6*5</f>
        <v>43</v>
      </c>
      <c r="F788" s="9" t="s">
        <v>47</v>
      </c>
      <c r="G788" s="9" t="s">
        <v>774</v>
      </c>
      <c r="H788" s="8" t="s">
        <v>1091</v>
      </c>
      <c r="I788">
        <f t="shared" si="48"/>
        <v>215</v>
      </c>
      <c r="J788">
        <f t="shared" si="49"/>
        <v>97.522359550000004</v>
      </c>
      <c r="K788">
        <v>1.23</v>
      </c>
      <c r="L788" s="8">
        <f t="shared" si="50"/>
        <v>119.9525022465</v>
      </c>
    </row>
    <row r="789" spans="1:12" x14ac:dyDescent="0.2">
      <c r="A789" s="4">
        <v>43374</v>
      </c>
      <c r="B789" s="9" t="s">
        <v>38</v>
      </c>
      <c r="C789">
        <v>4</v>
      </c>
      <c r="D789">
        <v>1</v>
      </c>
      <c r="E789">
        <f>8.6*1</f>
        <v>8.6</v>
      </c>
      <c r="F789" s="9" t="s">
        <v>45</v>
      </c>
      <c r="G789" s="9" t="s">
        <v>774</v>
      </c>
      <c r="H789" s="8" t="s">
        <v>1091</v>
      </c>
      <c r="I789">
        <f t="shared" si="48"/>
        <v>34.4</v>
      </c>
      <c r="J789">
        <f t="shared" si="49"/>
        <v>15.603577528000001</v>
      </c>
      <c r="K789">
        <v>1.23</v>
      </c>
      <c r="L789" s="8">
        <f t="shared" si="50"/>
        <v>19.192400359440001</v>
      </c>
    </row>
    <row r="790" spans="1:12" x14ac:dyDescent="0.2">
      <c r="A790" s="4">
        <v>43377</v>
      </c>
      <c r="B790" s="9" t="s">
        <v>38</v>
      </c>
      <c r="C790">
        <v>8</v>
      </c>
      <c r="D790">
        <v>1</v>
      </c>
      <c r="E790">
        <f>8.6*5</f>
        <v>43</v>
      </c>
      <c r="F790" s="9" t="s">
        <v>39</v>
      </c>
      <c r="G790" s="9" t="s">
        <v>774</v>
      </c>
      <c r="H790" s="8" t="s">
        <v>1091</v>
      </c>
      <c r="I790">
        <f t="shared" si="48"/>
        <v>344</v>
      </c>
      <c r="J790">
        <f t="shared" si="49"/>
        <v>156.03577528</v>
      </c>
      <c r="K790">
        <v>1.23</v>
      </c>
      <c r="L790" s="8">
        <f t="shared" si="50"/>
        <v>191.92400359440001</v>
      </c>
    </row>
    <row r="791" spans="1:12" x14ac:dyDescent="0.2">
      <c r="A791" s="4">
        <v>43377</v>
      </c>
      <c r="B791" s="9" t="s">
        <v>38</v>
      </c>
      <c r="C791">
        <v>2</v>
      </c>
      <c r="D791">
        <v>1</v>
      </c>
      <c r="E791">
        <f>8.6*5</f>
        <v>43</v>
      </c>
      <c r="F791" s="9" t="s">
        <v>40</v>
      </c>
      <c r="G791" s="9" t="s">
        <v>774</v>
      </c>
      <c r="H791" s="8" t="s">
        <v>1091</v>
      </c>
      <c r="I791">
        <f t="shared" si="48"/>
        <v>86</v>
      </c>
      <c r="J791">
        <f t="shared" si="49"/>
        <v>39.008943819999999</v>
      </c>
      <c r="K791">
        <v>1.23</v>
      </c>
      <c r="L791" s="8">
        <f t="shared" si="50"/>
        <v>47.981000898600001</v>
      </c>
    </row>
    <row r="792" spans="1:12" x14ac:dyDescent="0.2">
      <c r="A792" s="4">
        <v>43377</v>
      </c>
      <c r="B792" s="9" t="s">
        <v>38</v>
      </c>
      <c r="C792">
        <v>5</v>
      </c>
      <c r="D792">
        <v>1</v>
      </c>
      <c r="E792">
        <f>8.6*5</f>
        <v>43</v>
      </c>
      <c r="F792" s="9" t="s">
        <v>46</v>
      </c>
      <c r="G792" s="9" t="s">
        <v>774</v>
      </c>
      <c r="H792" s="8" t="s">
        <v>1091</v>
      </c>
      <c r="I792">
        <f t="shared" si="48"/>
        <v>215</v>
      </c>
      <c r="J792">
        <f t="shared" si="49"/>
        <v>97.522359550000004</v>
      </c>
      <c r="K792">
        <v>1.23</v>
      </c>
      <c r="L792" s="8">
        <f t="shared" si="50"/>
        <v>119.9525022465</v>
      </c>
    </row>
    <row r="793" spans="1:12" x14ac:dyDescent="0.2">
      <c r="A793" s="4">
        <v>43377</v>
      </c>
      <c r="B793" s="9" t="s">
        <v>38</v>
      </c>
      <c r="C793">
        <v>5</v>
      </c>
      <c r="D793">
        <v>1</v>
      </c>
      <c r="E793">
        <f>8.6*5</f>
        <v>43</v>
      </c>
      <c r="F793" s="9" t="s">
        <v>47</v>
      </c>
      <c r="G793" s="9" t="s">
        <v>774</v>
      </c>
      <c r="H793" s="8" t="s">
        <v>1091</v>
      </c>
      <c r="I793">
        <f t="shared" si="48"/>
        <v>215</v>
      </c>
      <c r="J793">
        <f t="shared" si="49"/>
        <v>97.522359550000004</v>
      </c>
      <c r="K793">
        <v>1.23</v>
      </c>
      <c r="L793" s="8">
        <f t="shared" si="50"/>
        <v>119.9525022465</v>
      </c>
    </row>
    <row r="794" spans="1:12" x14ac:dyDescent="0.2">
      <c r="A794" s="4">
        <v>43377</v>
      </c>
      <c r="B794" s="9" t="s">
        <v>38</v>
      </c>
      <c r="C794">
        <v>36</v>
      </c>
      <c r="D794">
        <v>1</v>
      </c>
      <c r="E794">
        <v>2.0499999999999998</v>
      </c>
      <c r="F794" s="9" t="s">
        <v>181</v>
      </c>
      <c r="G794" s="9" t="s">
        <v>774</v>
      </c>
      <c r="H794" s="8" t="s">
        <v>1091</v>
      </c>
      <c r="I794">
        <f t="shared" si="48"/>
        <v>73.8</v>
      </c>
      <c r="J794">
        <f t="shared" si="49"/>
        <v>33.475116906000004</v>
      </c>
      <c r="K794">
        <v>1.23</v>
      </c>
      <c r="L794" s="8">
        <f t="shared" si="50"/>
        <v>41.174393794380002</v>
      </c>
    </row>
    <row r="795" spans="1:12" x14ac:dyDescent="0.2">
      <c r="A795" s="4">
        <v>43377</v>
      </c>
      <c r="B795" s="9" t="s">
        <v>38</v>
      </c>
      <c r="C795">
        <v>24</v>
      </c>
      <c r="D795">
        <v>1</v>
      </c>
      <c r="E795">
        <v>2.0499999999999998</v>
      </c>
      <c r="F795" s="9" t="s">
        <v>182</v>
      </c>
      <c r="G795" s="9" t="s">
        <v>774</v>
      </c>
      <c r="H795" s="8" t="s">
        <v>1091</v>
      </c>
      <c r="I795">
        <f t="shared" si="48"/>
        <v>49.199999999999996</v>
      </c>
      <c r="J795">
        <f t="shared" si="49"/>
        <v>22.316744604</v>
      </c>
      <c r="K795">
        <v>1.23</v>
      </c>
      <c r="L795" s="8">
        <f t="shared" si="50"/>
        <v>27.449595862919999</v>
      </c>
    </row>
    <row r="796" spans="1:12" x14ac:dyDescent="0.2">
      <c r="A796" s="4">
        <v>43437</v>
      </c>
      <c r="B796" t="s">
        <v>517</v>
      </c>
      <c r="C796">
        <v>1</v>
      </c>
      <c r="D796">
        <v>20</v>
      </c>
      <c r="E796">
        <f>1/2</f>
        <v>0.5</v>
      </c>
      <c r="F796" t="s">
        <v>465</v>
      </c>
      <c r="G796" t="s">
        <v>774</v>
      </c>
      <c r="H796" s="9" t="s">
        <v>1073</v>
      </c>
      <c r="I796">
        <f t="shared" si="48"/>
        <v>10</v>
      </c>
      <c r="J796">
        <f t="shared" si="49"/>
        <v>4.5359237000000006</v>
      </c>
      <c r="K796">
        <v>1.23</v>
      </c>
      <c r="L796">
        <f t="shared" si="50"/>
        <v>5.5791861510000009</v>
      </c>
    </row>
    <row r="797" spans="1:12" x14ac:dyDescent="0.2">
      <c r="A797" s="4">
        <v>43434</v>
      </c>
      <c r="B797" t="s">
        <v>538</v>
      </c>
      <c r="C797">
        <v>1</v>
      </c>
      <c r="D797">
        <v>4</v>
      </c>
      <c r="E797">
        <f>11.89</f>
        <v>11.89</v>
      </c>
      <c r="F797" t="s">
        <v>547</v>
      </c>
      <c r="G797" t="s">
        <v>865</v>
      </c>
      <c r="H797" s="9" t="s">
        <v>1071</v>
      </c>
      <c r="I797">
        <f t="shared" si="48"/>
        <v>47.56</v>
      </c>
      <c r="J797">
        <f t="shared" si="49"/>
        <v>21.572853117200001</v>
      </c>
      <c r="K797">
        <v>0.48799999999999999</v>
      </c>
      <c r="L797">
        <f t="shared" si="50"/>
        <v>10.5275523211936</v>
      </c>
    </row>
    <row r="798" spans="1:12" x14ac:dyDescent="0.2">
      <c r="A798" s="4">
        <v>43372</v>
      </c>
      <c r="B798" t="s">
        <v>48</v>
      </c>
      <c r="C798">
        <v>10</v>
      </c>
      <c r="D798">
        <v>1</v>
      </c>
      <c r="E798">
        <v>10</v>
      </c>
      <c r="F798" t="s">
        <v>187</v>
      </c>
      <c r="G798" t="s">
        <v>233</v>
      </c>
      <c r="H798" s="8" t="s">
        <v>1067</v>
      </c>
      <c r="I798">
        <f t="shared" si="48"/>
        <v>100</v>
      </c>
      <c r="J798">
        <f t="shared" si="49"/>
        <v>45.359237</v>
      </c>
      <c r="K798">
        <v>3.093</v>
      </c>
      <c r="L798" s="8">
        <f t="shared" si="50"/>
        <v>140.29612004099999</v>
      </c>
    </row>
    <row r="799" spans="1:12" x14ac:dyDescent="0.2">
      <c r="A799" s="4">
        <v>43371</v>
      </c>
      <c r="B799" t="s">
        <v>48</v>
      </c>
      <c r="C799">
        <v>7</v>
      </c>
      <c r="D799">
        <v>1</v>
      </c>
      <c r="E799">
        <v>5</v>
      </c>
      <c r="F799" t="s">
        <v>210</v>
      </c>
      <c r="G799" t="s">
        <v>233</v>
      </c>
      <c r="H799" s="8" t="s">
        <v>1067</v>
      </c>
      <c r="I799">
        <f t="shared" si="48"/>
        <v>35</v>
      </c>
      <c r="J799">
        <f t="shared" si="49"/>
        <v>15.875732950000002</v>
      </c>
      <c r="K799">
        <v>3.093</v>
      </c>
      <c r="L799" s="8">
        <f t="shared" si="50"/>
        <v>49.103642014350001</v>
      </c>
    </row>
    <row r="800" spans="1:12" x14ac:dyDescent="0.2">
      <c r="A800" s="4">
        <v>43371</v>
      </c>
      <c r="B800" t="s">
        <v>48</v>
      </c>
      <c r="C800">
        <v>8</v>
      </c>
      <c r="D800">
        <v>1</v>
      </c>
      <c r="E800">
        <v>5</v>
      </c>
      <c r="F800" t="s">
        <v>187</v>
      </c>
      <c r="G800" t="s">
        <v>233</v>
      </c>
      <c r="H800" s="8" t="s">
        <v>1067</v>
      </c>
      <c r="I800">
        <f t="shared" si="48"/>
        <v>40</v>
      </c>
      <c r="J800">
        <f t="shared" si="49"/>
        <v>18.143694800000002</v>
      </c>
      <c r="K800">
        <v>3.093</v>
      </c>
      <c r="L800" s="8">
        <f t="shared" si="50"/>
        <v>56.118448016400009</v>
      </c>
    </row>
    <row r="801" spans="1:12" x14ac:dyDescent="0.2">
      <c r="A801" s="4">
        <v>43374</v>
      </c>
      <c r="B801" t="s">
        <v>48</v>
      </c>
      <c r="C801">
        <v>8</v>
      </c>
      <c r="D801">
        <v>1</v>
      </c>
      <c r="E801">
        <v>5</v>
      </c>
      <c r="F801" t="s">
        <v>233</v>
      </c>
      <c r="G801" t="s">
        <v>233</v>
      </c>
      <c r="H801" s="8" t="s">
        <v>1067</v>
      </c>
      <c r="I801">
        <f t="shared" si="48"/>
        <v>40</v>
      </c>
      <c r="J801">
        <f t="shared" si="49"/>
        <v>18.143694800000002</v>
      </c>
      <c r="K801">
        <v>3.093</v>
      </c>
      <c r="L801" s="8">
        <f t="shared" si="50"/>
        <v>56.118448016400009</v>
      </c>
    </row>
    <row r="802" spans="1:12" x14ac:dyDescent="0.2">
      <c r="A802" s="4">
        <v>43376</v>
      </c>
      <c r="B802" t="s">
        <v>48</v>
      </c>
      <c r="C802">
        <v>10</v>
      </c>
      <c r="D802">
        <v>1</v>
      </c>
      <c r="E802">
        <v>5</v>
      </c>
      <c r="F802" t="s">
        <v>167</v>
      </c>
      <c r="G802" t="s">
        <v>233</v>
      </c>
      <c r="H802" s="8" t="s">
        <v>1067</v>
      </c>
      <c r="I802">
        <f t="shared" si="48"/>
        <v>50</v>
      </c>
      <c r="J802">
        <f t="shared" si="49"/>
        <v>22.6796185</v>
      </c>
      <c r="K802">
        <v>3.093</v>
      </c>
      <c r="L802" s="8">
        <f t="shared" si="50"/>
        <v>70.148060020499997</v>
      </c>
    </row>
    <row r="803" spans="1:12" x14ac:dyDescent="0.2">
      <c r="A803" s="4">
        <v>43377</v>
      </c>
      <c r="B803" t="s">
        <v>48</v>
      </c>
      <c r="C803" s="28">
        <v>8</v>
      </c>
      <c r="D803">
        <v>1</v>
      </c>
      <c r="E803">
        <v>5</v>
      </c>
      <c r="F803" t="s">
        <v>260</v>
      </c>
      <c r="G803" t="s">
        <v>313</v>
      </c>
      <c r="H803" s="8" t="s">
        <v>1067</v>
      </c>
      <c r="I803">
        <f t="shared" si="48"/>
        <v>40</v>
      </c>
      <c r="J803">
        <f t="shared" si="49"/>
        <v>18.143694800000002</v>
      </c>
      <c r="K803">
        <v>3.093</v>
      </c>
      <c r="L803" s="8">
        <f t="shared" si="50"/>
        <v>56.118448016400009</v>
      </c>
    </row>
    <row r="804" spans="1:12" x14ac:dyDescent="0.2">
      <c r="A804" s="4">
        <v>43437</v>
      </c>
      <c r="B804" t="s">
        <v>538</v>
      </c>
      <c r="C804">
        <v>3</v>
      </c>
      <c r="D804">
        <v>4</v>
      </c>
      <c r="E804">
        <v>5</v>
      </c>
      <c r="F804" t="s">
        <v>586</v>
      </c>
      <c r="G804" s="6" t="s">
        <v>876</v>
      </c>
      <c r="H804" s="9" t="s">
        <v>1071</v>
      </c>
      <c r="I804">
        <f t="shared" si="48"/>
        <v>60</v>
      </c>
      <c r="J804">
        <f t="shared" si="49"/>
        <v>27.215542200000002</v>
      </c>
      <c r="K804">
        <v>5.99</v>
      </c>
      <c r="L804">
        <f t="shared" si="50"/>
        <v>163.02109777800001</v>
      </c>
    </row>
    <row r="805" spans="1:12" x14ac:dyDescent="0.2">
      <c r="A805" s="4">
        <v>43439</v>
      </c>
      <c r="B805" t="s">
        <v>538</v>
      </c>
      <c r="C805">
        <v>3</v>
      </c>
      <c r="D805">
        <v>4</v>
      </c>
      <c r="E805">
        <v>5</v>
      </c>
      <c r="F805" t="s">
        <v>586</v>
      </c>
      <c r="G805" s="6" t="s">
        <v>876</v>
      </c>
      <c r="H805" s="9" t="s">
        <v>1071</v>
      </c>
      <c r="I805">
        <f t="shared" si="48"/>
        <v>60</v>
      </c>
      <c r="J805">
        <f t="shared" si="49"/>
        <v>27.215542200000002</v>
      </c>
      <c r="K805">
        <v>5.99</v>
      </c>
      <c r="L805">
        <f t="shared" si="50"/>
        <v>163.02109777800001</v>
      </c>
    </row>
    <row r="806" spans="1:12" x14ac:dyDescent="0.2">
      <c r="A806" s="4">
        <v>43437</v>
      </c>
      <c r="B806" t="s">
        <v>531</v>
      </c>
      <c r="C806">
        <v>3</v>
      </c>
      <c r="D806">
        <v>4</v>
      </c>
      <c r="E806">
        <v>5</v>
      </c>
      <c r="F806" t="s">
        <v>418</v>
      </c>
      <c r="G806" s="6" t="s">
        <v>876</v>
      </c>
      <c r="H806" s="9" t="s">
        <v>1071</v>
      </c>
      <c r="I806">
        <f t="shared" si="48"/>
        <v>60</v>
      </c>
      <c r="J806">
        <f t="shared" si="49"/>
        <v>27.215542200000002</v>
      </c>
      <c r="K806" s="6">
        <v>5.99</v>
      </c>
      <c r="L806">
        <f t="shared" si="50"/>
        <v>163.02109777800001</v>
      </c>
    </row>
    <row r="807" spans="1:12" x14ac:dyDescent="0.2">
      <c r="A807" s="4">
        <v>43437</v>
      </c>
      <c r="B807" t="s">
        <v>538</v>
      </c>
      <c r="C807">
        <v>6</v>
      </c>
      <c r="D807">
        <v>4</v>
      </c>
      <c r="E807">
        <v>7.9</v>
      </c>
      <c r="F807" t="s">
        <v>455</v>
      </c>
      <c r="G807" t="s">
        <v>867</v>
      </c>
      <c r="H807" s="9" t="s">
        <v>1071</v>
      </c>
      <c r="I807">
        <f t="shared" si="48"/>
        <v>189.60000000000002</v>
      </c>
      <c r="J807">
        <f t="shared" si="49"/>
        <v>86.001113352000019</v>
      </c>
      <c r="K807">
        <v>2.6459999999999999</v>
      </c>
      <c r="L807">
        <f t="shared" si="50"/>
        <v>227.55894592939205</v>
      </c>
    </row>
    <row r="808" spans="1:12" x14ac:dyDescent="0.2">
      <c r="A808" s="4">
        <v>43439</v>
      </c>
      <c r="B808" t="s">
        <v>538</v>
      </c>
      <c r="C808">
        <v>3</v>
      </c>
      <c r="D808">
        <v>1</v>
      </c>
      <c r="E808">
        <v>35</v>
      </c>
      <c r="F808" t="s">
        <v>441</v>
      </c>
      <c r="G808" t="s">
        <v>867</v>
      </c>
      <c r="H808" s="9" t="s">
        <v>1071</v>
      </c>
      <c r="I808">
        <f t="shared" si="48"/>
        <v>105</v>
      </c>
      <c r="J808">
        <f t="shared" si="49"/>
        <v>47.627198849999999</v>
      </c>
      <c r="K808">
        <v>2.6459999999999999</v>
      </c>
      <c r="L808">
        <f t="shared" si="50"/>
        <v>126.02156815709999</v>
      </c>
    </row>
    <row r="809" spans="1:12" x14ac:dyDescent="0.2">
      <c r="A809" s="4">
        <v>43439</v>
      </c>
      <c r="B809" t="s">
        <v>538</v>
      </c>
      <c r="C809">
        <v>6</v>
      </c>
      <c r="D809">
        <v>4</v>
      </c>
      <c r="E809">
        <v>7.9</v>
      </c>
      <c r="F809" t="s">
        <v>455</v>
      </c>
      <c r="G809" t="s">
        <v>867</v>
      </c>
      <c r="H809" s="9" t="s">
        <v>1071</v>
      </c>
      <c r="I809">
        <f t="shared" si="48"/>
        <v>189.60000000000002</v>
      </c>
      <c r="J809">
        <f t="shared" si="49"/>
        <v>86.001113352000019</v>
      </c>
      <c r="K809">
        <v>2.6459999999999999</v>
      </c>
      <c r="L809">
        <f t="shared" si="50"/>
        <v>227.55894592939205</v>
      </c>
    </row>
    <row r="810" spans="1:12" x14ac:dyDescent="0.2">
      <c r="A810" s="4">
        <v>43434</v>
      </c>
      <c r="B810" t="s">
        <v>538</v>
      </c>
      <c r="C810">
        <v>6</v>
      </c>
      <c r="D810">
        <v>4</v>
      </c>
      <c r="E810">
        <v>7.9</v>
      </c>
      <c r="F810" t="s">
        <v>455</v>
      </c>
      <c r="G810" t="s">
        <v>867</v>
      </c>
      <c r="H810" s="9" t="s">
        <v>1071</v>
      </c>
      <c r="I810">
        <f t="shared" si="48"/>
        <v>189.60000000000002</v>
      </c>
      <c r="J810">
        <f t="shared" si="49"/>
        <v>86.001113352000019</v>
      </c>
      <c r="K810">
        <v>2.6459999999999999</v>
      </c>
      <c r="L810">
        <f t="shared" si="50"/>
        <v>227.55894592939205</v>
      </c>
    </row>
    <row r="811" spans="1:12" x14ac:dyDescent="0.2">
      <c r="A811" s="4">
        <v>43439</v>
      </c>
      <c r="B811" t="s">
        <v>538</v>
      </c>
      <c r="C811">
        <v>1</v>
      </c>
      <c r="D811">
        <v>6</v>
      </c>
      <c r="E811">
        <v>10</v>
      </c>
      <c r="F811" t="s">
        <v>445</v>
      </c>
      <c r="G811" t="s">
        <v>883</v>
      </c>
      <c r="H811" s="9" t="s">
        <v>1071</v>
      </c>
      <c r="I811">
        <f t="shared" si="48"/>
        <v>60</v>
      </c>
      <c r="J811">
        <f t="shared" si="49"/>
        <v>27.215542200000002</v>
      </c>
      <c r="K811">
        <v>3.206</v>
      </c>
      <c r="L811">
        <f t="shared" si="50"/>
        <v>87.253028293200003</v>
      </c>
    </row>
    <row r="812" spans="1:12" x14ac:dyDescent="0.2">
      <c r="A812" s="4">
        <v>43377</v>
      </c>
      <c r="B812" t="s">
        <v>48</v>
      </c>
      <c r="C812" s="28">
        <v>1</v>
      </c>
      <c r="D812">
        <v>1</v>
      </c>
      <c r="E812">
        <v>20</v>
      </c>
      <c r="F812" t="s">
        <v>272</v>
      </c>
      <c r="G812" t="s">
        <v>790</v>
      </c>
      <c r="H812" s="8" t="s">
        <v>1067</v>
      </c>
      <c r="I812">
        <f t="shared" si="48"/>
        <v>20</v>
      </c>
      <c r="J812">
        <f t="shared" si="49"/>
        <v>9.0718474000000011</v>
      </c>
      <c r="K812">
        <v>0.26900000000000002</v>
      </c>
      <c r="L812" s="8">
        <f t="shared" si="50"/>
        <v>2.4403269506000003</v>
      </c>
    </row>
    <row r="813" spans="1:12" x14ac:dyDescent="0.2">
      <c r="A813" s="4">
        <v>43372</v>
      </c>
      <c r="B813" t="s">
        <v>48</v>
      </c>
      <c r="C813">
        <v>1</v>
      </c>
      <c r="D813">
        <v>1</v>
      </c>
      <c r="E813">
        <v>50</v>
      </c>
      <c r="F813" t="s">
        <v>189</v>
      </c>
      <c r="G813" t="s">
        <v>762</v>
      </c>
      <c r="H813" s="8" t="s">
        <v>1067</v>
      </c>
      <c r="I813">
        <f t="shared" si="48"/>
        <v>50</v>
      </c>
      <c r="J813">
        <f t="shared" si="49"/>
        <v>22.6796185</v>
      </c>
      <c r="K813">
        <v>0.26900000000000002</v>
      </c>
      <c r="L813" s="8">
        <f t="shared" si="50"/>
        <v>6.1008173765000002</v>
      </c>
    </row>
    <row r="814" spans="1:12" x14ac:dyDescent="0.2">
      <c r="A814" s="4">
        <v>43371</v>
      </c>
      <c r="B814" t="s">
        <v>48</v>
      </c>
      <c r="C814">
        <v>1</v>
      </c>
      <c r="D814">
        <v>1</v>
      </c>
      <c r="E814">
        <f>24/16</f>
        <v>1.5</v>
      </c>
      <c r="F814" t="s">
        <v>107</v>
      </c>
      <c r="G814" t="s">
        <v>804</v>
      </c>
      <c r="H814" s="8" t="s">
        <v>1067</v>
      </c>
      <c r="I814">
        <f t="shared" si="48"/>
        <v>1.5</v>
      </c>
      <c r="J814">
        <f t="shared" si="49"/>
        <v>0.68038855500000006</v>
      </c>
      <c r="K814">
        <v>8.5000000000000006E-2</v>
      </c>
      <c r="L814" s="8">
        <f t="shared" si="50"/>
        <v>5.783302717500001E-2</v>
      </c>
    </row>
    <row r="815" spans="1:12" x14ac:dyDescent="0.2">
      <c r="A815" s="4">
        <v>43374</v>
      </c>
      <c r="B815" t="s">
        <v>48</v>
      </c>
      <c r="C815">
        <v>1</v>
      </c>
      <c r="D815">
        <v>1</v>
      </c>
      <c r="E815">
        <f>24/16</f>
        <v>1.5</v>
      </c>
      <c r="F815" t="s">
        <v>107</v>
      </c>
      <c r="G815" t="s">
        <v>804</v>
      </c>
      <c r="H815" s="8" t="s">
        <v>1067</v>
      </c>
      <c r="I815">
        <f t="shared" si="48"/>
        <v>1.5</v>
      </c>
      <c r="J815">
        <f t="shared" si="49"/>
        <v>0.68038855500000006</v>
      </c>
      <c r="K815">
        <v>8.5000000000000006E-2</v>
      </c>
      <c r="L815" s="8">
        <f t="shared" si="50"/>
        <v>5.783302717500001E-2</v>
      </c>
    </row>
    <row r="816" spans="1:12" x14ac:dyDescent="0.2">
      <c r="A816" s="4">
        <v>43376</v>
      </c>
      <c r="B816" t="s">
        <v>48</v>
      </c>
      <c r="C816">
        <v>1</v>
      </c>
      <c r="D816">
        <v>1</v>
      </c>
      <c r="E816">
        <f>24/16</f>
        <v>1.5</v>
      </c>
      <c r="F816" t="s">
        <v>107</v>
      </c>
      <c r="G816" t="s">
        <v>804</v>
      </c>
      <c r="H816" s="8" t="s">
        <v>1067</v>
      </c>
      <c r="I816">
        <f t="shared" si="48"/>
        <v>1.5</v>
      </c>
      <c r="J816">
        <f t="shared" si="49"/>
        <v>0.68038855500000006</v>
      </c>
      <c r="K816">
        <v>8.5000000000000006E-2</v>
      </c>
      <c r="L816" s="8">
        <f t="shared" si="50"/>
        <v>5.783302717500001E-2</v>
      </c>
    </row>
    <row r="817" spans="1:12" x14ac:dyDescent="0.2">
      <c r="A817" s="4">
        <v>43377</v>
      </c>
      <c r="B817" t="s">
        <v>48</v>
      </c>
      <c r="C817" s="28">
        <v>1</v>
      </c>
      <c r="D817">
        <v>1</v>
      </c>
      <c r="E817">
        <v>1.5</v>
      </c>
      <c r="F817" t="s">
        <v>261</v>
      </c>
      <c r="G817" t="s">
        <v>804</v>
      </c>
      <c r="H817" s="8" t="s">
        <v>1067</v>
      </c>
      <c r="I817">
        <f t="shared" si="48"/>
        <v>1.5</v>
      </c>
      <c r="J817">
        <f t="shared" si="49"/>
        <v>0.68038855500000006</v>
      </c>
      <c r="K817">
        <v>8.5000000000000006E-2</v>
      </c>
      <c r="L817" s="8">
        <f t="shared" si="50"/>
        <v>5.783302717500001E-2</v>
      </c>
    </row>
    <row r="818" spans="1:12" x14ac:dyDescent="0.2">
      <c r="A818" s="4">
        <v>43371</v>
      </c>
      <c r="B818" t="s">
        <v>48</v>
      </c>
      <c r="C818">
        <v>2</v>
      </c>
      <c r="D818">
        <v>1</v>
      </c>
      <c r="E818">
        <v>25</v>
      </c>
      <c r="F818" t="s">
        <v>211</v>
      </c>
      <c r="G818" t="s">
        <v>805</v>
      </c>
      <c r="H818" s="8" t="s">
        <v>1067</v>
      </c>
      <c r="I818">
        <f t="shared" si="48"/>
        <v>50</v>
      </c>
      <c r="J818">
        <f t="shared" si="49"/>
        <v>22.6796185</v>
      </c>
      <c r="K818">
        <v>0.26900000000000002</v>
      </c>
      <c r="L818" s="8">
        <f t="shared" si="50"/>
        <v>6.1008173765000002</v>
      </c>
    </row>
    <row r="819" spans="1:12" x14ac:dyDescent="0.2">
      <c r="A819" s="4">
        <v>43377</v>
      </c>
      <c r="B819" t="s">
        <v>48</v>
      </c>
      <c r="C819" s="28">
        <v>1</v>
      </c>
      <c r="D819">
        <v>1</v>
      </c>
      <c r="E819">
        <v>25</v>
      </c>
      <c r="F819" t="s">
        <v>262</v>
      </c>
      <c r="G819" t="s">
        <v>805</v>
      </c>
      <c r="H819" s="8" t="s">
        <v>1067</v>
      </c>
      <c r="I819">
        <f t="shared" si="48"/>
        <v>25</v>
      </c>
      <c r="J819">
        <f t="shared" si="49"/>
        <v>11.33980925</v>
      </c>
      <c r="K819">
        <v>0.26900000000000002</v>
      </c>
      <c r="L819" s="8">
        <f t="shared" si="50"/>
        <v>3.0504086882500001</v>
      </c>
    </row>
    <row r="820" spans="1:12" x14ac:dyDescent="0.2">
      <c r="A820" s="4">
        <v>43372</v>
      </c>
      <c r="B820" t="s">
        <v>48</v>
      </c>
      <c r="C820">
        <v>1</v>
      </c>
      <c r="D820">
        <v>1</v>
      </c>
      <c r="E820">
        <v>50</v>
      </c>
      <c r="F820" t="s">
        <v>188</v>
      </c>
      <c r="G820" t="s">
        <v>779</v>
      </c>
      <c r="H820" s="8" t="s">
        <v>1067</v>
      </c>
      <c r="I820">
        <f t="shared" si="48"/>
        <v>50</v>
      </c>
      <c r="J820">
        <f t="shared" si="49"/>
        <v>22.6796185</v>
      </c>
      <c r="K820">
        <v>0.26900000000000002</v>
      </c>
      <c r="L820" s="8">
        <f t="shared" si="50"/>
        <v>6.1008173765000002</v>
      </c>
    </row>
    <row r="821" spans="1:12" x14ac:dyDescent="0.2">
      <c r="A821" s="4">
        <v>43372</v>
      </c>
      <c r="B821" t="s">
        <v>48</v>
      </c>
      <c r="C821">
        <v>3</v>
      </c>
      <c r="D821">
        <v>1</v>
      </c>
      <c r="E821">
        <v>20</v>
      </c>
      <c r="F821" t="s">
        <v>189</v>
      </c>
      <c r="G821" t="s">
        <v>779</v>
      </c>
      <c r="H821" s="8" t="s">
        <v>1067</v>
      </c>
      <c r="I821">
        <f t="shared" si="48"/>
        <v>60</v>
      </c>
      <c r="J821">
        <f t="shared" si="49"/>
        <v>27.215542200000002</v>
      </c>
      <c r="K821">
        <v>0.26900000000000002</v>
      </c>
      <c r="L821" s="8">
        <f t="shared" si="50"/>
        <v>7.3209808518000008</v>
      </c>
    </row>
    <row r="822" spans="1:12" x14ac:dyDescent="0.2">
      <c r="A822" s="4">
        <v>43371</v>
      </c>
      <c r="B822" t="s">
        <v>48</v>
      </c>
      <c r="C822">
        <v>3</v>
      </c>
      <c r="D822">
        <v>1</v>
      </c>
      <c r="E822">
        <v>50</v>
      </c>
      <c r="F822" t="s">
        <v>189</v>
      </c>
      <c r="G822" t="s">
        <v>779</v>
      </c>
      <c r="H822" s="8" t="s">
        <v>1067</v>
      </c>
      <c r="I822">
        <f t="shared" si="48"/>
        <v>150</v>
      </c>
      <c r="J822">
        <f t="shared" si="49"/>
        <v>68.038855500000011</v>
      </c>
      <c r="K822">
        <v>0.26900000000000002</v>
      </c>
      <c r="L822" s="8">
        <f t="shared" si="50"/>
        <v>18.302452129500004</v>
      </c>
    </row>
    <row r="823" spans="1:12" x14ac:dyDescent="0.2">
      <c r="A823" s="4">
        <v>43371</v>
      </c>
      <c r="B823" t="s">
        <v>48</v>
      </c>
      <c r="C823">
        <v>2</v>
      </c>
      <c r="D823">
        <v>1</v>
      </c>
      <c r="E823">
        <f>20/16</f>
        <v>1.25</v>
      </c>
      <c r="F823" t="s">
        <v>189</v>
      </c>
      <c r="G823" t="s">
        <v>779</v>
      </c>
      <c r="H823" s="8" t="s">
        <v>1067</v>
      </c>
      <c r="I823">
        <f t="shared" si="48"/>
        <v>2.5</v>
      </c>
      <c r="J823">
        <f t="shared" si="49"/>
        <v>1.1339809250000001</v>
      </c>
      <c r="K823">
        <v>0.26900000000000002</v>
      </c>
      <c r="L823" s="8">
        <f t="shared" si="50"/>
        <v>0.30504086882500003</v>
      </c>
    </row>
    <row r="824" spans="1:12" x14ac:dyDescent="0.2">
      <c r="A824" s="4">
        <v>43371</v>
      </c>
      <c r="B824" t="s">
        <v>48</v>
      </c>
      <c r="C824">
        <v>1</v>
      </c>
      <c r="D824">
        <v>1</v>
      </c>
      <c r="E824">
        <v>50</v>
      </c>
      <c r="F824" t="s">
        <v>189</v>
      </c>
      <c r="G824" t="s">
        <v>779</v>
      </c>
      <c r="H824" s="8" t="s">
        <v>1067</v>
      </c>
      <c r="I824">
        <f t="shared" si="48"/>
        <v>50</v>
      </c>
      <c r="J824">
        <f t="shared" si="49"/>
        <v>22.6796185</v>
      </c>
      <c r="K824">
        <v>0.26900000000000002</v>
      </c>
      <c r="L824" s="8">
        <f t="shared" si="50"/>
        <v>6.1008173765000002</v>
      </c>
    </row>
    <row r="825" spans="1:12" x14ac:dyDescent="0.2">
      <c r="A825" s="4">
        <v>43372</v>
      </c>
      <c r="B825" t="s">
        <v>48</v>
      </c>
      <c r="C825">
        <v>3</v>
      </c>
      <c r="D825">
        <v>1</v>
      </c>
      <c r="E825">
        <v>20</v>
      </c>
      <c r="F825" t="s">
        <v>222</v>
      </c>
      <c r="G825" t="s">
        <v>779</v>
      </c>
      <c r="H825" s="8" t="s">
        <v>1067</v>
      </c>
      <c r="I825">
        <f t="shared" si="48"/>
        <v>60</v>
      </c>
      <c r="J825">
        <f t="shared" si="49"/>
        <v>27.215542200000002</v>
      </c>
      <c r="K825">
        <v>0.26900000000000002</v>
      </c>
      <c r="L825" s="8">
        <f t="shared" si="50"/>
        <v>7.3209808518000008</v>
      </c>
    </row>
    <row r="826" spans="1:12" x14ac:dyDescent="0.2">
      <c r="A826" s="4">
        <v>43372</v>
      </c>
      <c r="B826" t="s">
        <v>48</v>
      </c>
      <c r="C826">
        <v>1</v>
      </c>
      <c r="D826">
        <v>1</v>
      </c>
      <c r="E826">
        <v>20</v>
      </c>
      <c r="F826" t="s">
        <v>223</v>
      </c>
      <c r="G826" t="s">
        <v>779</v>
      </c>
      <c r="H826" s="8" t="s">
        <v>1067</v>
      </c>
      <c r="I826">
        <f t="shared" si="48"/>
        <v>20</v>
      </c>
      <c r="J826">
        <f t="shared" si="49"/>
        <v>9.0718474000000011</v>
      </c>
      <c r="K826">
        <v>0.26900000000000002</v>
      </c>
      <c r="L826" s="8">
        <f t="shared" si="50"/>
        <v>2.4403269506000003</v>
      </c>
    </row>
    <row r="827" spans="1:12" x14ac:dyDescent="0.2">
      <c r="A827" s="4">
        <v>43376</v>
      </c>
      <c r="B827" t="s">
        <v>48</v>
      </c>
      <c r="C827">
        <v>1</v>
      </c>
      <c r="D827">
        <v>1</v>
      </c>
      <c r="E827">
        <v>50</v>
      </c>
      <c r="F827" t="s">
        <v>189</v>
      </c>
      <c r="G827" t="s">
        <v>779</v>
      </c>
      <c r="H827" s="8" t="s">
        <v>1067</v>
      </c>
      <c r="I827">
        <f t="shared" si="48"/>
        <v>50</v>
      </c>
      <c r="J827">
        <f t="shared" si="49"/>
        <v>22.6796185</v>
      </c>
      <c r="K827">
        <v>0.26900000000000002</v>
      </c>
      <c r="L827" s="8">
        <f t="shared" si="50"/>
        <v>6.1008173765000002</v>
      </c>
    </row>
    <row r="828" spans="1:12" x14ac:dyDescent="0.2">
      <c r="A828" s="4">
        <v>43377</v>
      </c>
      <c r="B828" t="s">
        <v>48</v>
      </c>
      <c r="C828" s="28">
        <v>2</v>
      </c>
      <c r="D828">
        <v>1</v>
      </c>
      <c r="E828">
        <v>50</v>
      </c>
      <c r="F828" t="s">
        <v>263</v>
      </c>
      <c r="G828" t="s">
        <v>779</v>
      </c>
      <c r="H828" s="8" t="s">
        <v>1067</v>
      </c>
      <c r="I828">
        <f t="shared" si="48"/>
        <v>100</v>
      </c>
      <c r="J828">
        <f t="shared" si="49"/>
        <v>45.359237</v>
      </c>
      <c r="K828">
        <v>0.26900000000000002</v>
      </c>
      <c r="L828" s="8">
        <f t="shared" si="50"/>
        <v>12.201634753</v>
      </c>
    </row>
    <row r="829" spans="1:12" x14ac:dyDescent="0.2">
      <c r="A829" s="4">
        <v>43371</v>
      </c>
      <c r="B829" t="s">
        <v>48</v>
      </c>
      <c r="C829">
        <v>25</v>
      </c>
      <c r="D829">
        <v>1</v>
      </c>
      <c r="E829">
        <f t="shared" ref="E829:E834" si="51">88*0.288806</f>
        <v>25.414928</v>
      </c>
      <c r="F829" t="s">
        <v>49</v>
      </c>
      <c r="G829" t="s">
        <v>49</v>
      </c>
      <c r="H829" s="8" t="s">
        <v>1067</v>
      </c>
      <c r="I829">
        <f t="shared" si="48"/>
        <v>635.3732</v>
      </c>
      <c r="J829">
        <f t="shared" si="49"/>
        <v>288.20043562248401</v>
      </c>
      <c r="K829">
        <v>0.29399999999999998</v>
      </c>
      <c r="L829" s="8">
        <f t="shared" si="50"/>
        <v>84.73092807301029</v>
      </c>
    </row>
    <row r="830" spans="1:12" x14ac:dyDescent="0.2">
      <c r="A830" s="4">
        <v>43372</v>
      </c>
      <c r="B830" t="s">
        <v>48</v>
      </c>
      <c r="C830">
        <v>40</v>
      </c>
      <c r="D830">
        <v>1</v>
      </c>
      <c r="E830">
        <f t="shared" si="51"/>
        <v>25.414928</v>
      </c>
      <c r="F830" t="s">
        <v>55</v>
      </c>
      <c r="G830" t="s">
        <v>55</v>
      </c>
      <c r="H830" s="8" t="s">
        <v>1067</v>
      </c>
      <c r="I830">
        <f t="shared" si="48"/>
        <v>1016.59712</v>
      </c>
      <c r="J830">
        <f t="shared" si="49"/>
        <v>461.12069699597441</v>
      </c>
      <c r="K830">
        <v>0.29399999999999998</v>
      </c>
      <c r="L830" s="8">
        <f t="shared" si="50"/>
        <v>135.56948491681646</v>
      </c>
    </row>
    <row r="831" spans="1:12" x14ac:dyDescent="0.2">
      <c r="A831" s="4">
        <v>43374</v>
      </c>
      <c r="B831" t="s">
        <v>48</v>
      </c>
      <c r="C831">
        <v>10</v>
      </c>
      <c r="D831">
        <v>1</v>
      </c>
      <c r="E831">
        <f t="shared" si="51"/>
        <v>25.414928</v>
      </c>
      <c r="F831" t="s">
        <v>55</v>
      </c>
      <c r="G831" t="s">
        <v>55</v>
      </c>
      <c r="H831" s="8" t="s">
        <v>1067</v>
      </c>
      <c r="I831">
        <f t="shared" si="48"/>
        <v>254.14928</v>
      </c>
      <c r="J831">
        <f t="shared" si="49"/>
        <v>115.2801742489936</v>
      </c>
      <c r="K831">
        <v>0.29399999999999998</v>
      </c>
      <c r="L831" s="8">
        <f t="shared" si="50"/>
        <v>33.892371229204116</v>
      </c>
    </row>
    <row r="832" spans="1:12" x14ac:dyDescent="0.2">
      <c r="A832" s="4">
        <v>43375</v>
      </c>
      <c r="B832" t="s">
        <v>48</v>
      </c>
      <c r="C832">
        <v>20</v>
      </c>
      <c r="D832">
        <v>1</v>
      </c>
      <c r="E832">
        <f t="shared" si="51"/>
        <v>25.414928</v>
      </c>
      <c r="F832" t="s">
        <v>55</v>
      </c>
      <c r="G832" t="s">
        <v>55</v>
      </c>
      <c r="H832" s="8" t="s">
        <v>1067</v>
      </c>
      <c r="I832">
        <f t="shared" si="48"/>
        <v>508.29856000000001</v>
      </c>
      <c r="J832">
        <f t="shared" si="49"/>
        <v>230.56034849798721</v>
      </c>
      <c r="K832">
        <v>0.29399999999999998</v>
      </c>
      <c r="L832" s="8">
        <f t="shared" si="50"/>
        <v>67.784742458408232</v>
      </c>
    </row>
    <row r="833" spans="1:12" x14ac:dyDescent="0.2">
      <c r="A833" s="4">
        <v>43376</v>
      </c>
      <c r="B833" t="s">
        <v>48</v>
      </c>
      <c r="C833">
        <v>20</v>
      </c>
      <c r="D833">
        <v>1</v>
      </c>
      <c r="E833">
        <f t="shared" si="51"/>
        <v>25.414928</v>
      </c>
      <c r="F833" t="s">
        <v>55</v>
      </c>
      <c r="G833" t="s">
        <v>55</v>
      </c>
      <c r="H833" s="8" t="s">
        <v>1067</v>
      </c>
      <c r="I833">
        <f t="shared" si="48"/>
        <v>508.29856000000001</v>
      </c>
      <c r="J833">
        <f t="shared" si="49"/>
        <v>230.56034849798721</v>
      </c>
      <c r="K833">
        <v>0.29399999999999998</v>
      </c>
      <c r="L833" s="8">
        <f t="shared" si="50"/>
        <v>67.784742458408232</v>
      </c>
    </row>
    <row r="834" spans="1:12" x14ac:dyDescent="0.2">
      <c r="A834" s="4">
        <v>43377</v>
      </c>
      <c r="B834" t="s">
        <v>48</v>
      </c>
      <c r="C834">
        <v>20</v>
      </c>
      <c r="D834">
        <v>1</v>
      </c>
      <c r="E834">
        <f t="shared" si="51"/>
        <v>25.414928</v>
      </c>
      <c r="F834" t="s">
        <v>55</v>
      </c>
      <c r="G834" t="s">
        <v>55</v>
      </c>
      <c r="H834" s="8" t="s">
        <v>1067</v>
      </c>
      <c r="I834">
        <f t="shared" si="48"/>
        <v>508.29856000000001</v>
      </c>
      <c r="J834">
        <f t="shared" si="49"/>
        <v>230.56034849798721</v>
      </c>
      <c r="K834">
        <v>0.29399999999999998</v>
      </c>
      <c r="L834" s="8">
        <f t="shared" si="50"/>
        <v>67.784742458408232</v>
      </c>
    </row>
    <row r="835" spans="1:12" x14ac:dyDescent="0.2">
      <c r="A835" s="4">
        <v>43434</v>
      </c>
      <c r="B835" t="s">
        <v>538</v>
      </c>
      <c r="C835">
        <v>1</v>
      </c>
      <c r="D835">
        <v>6</v>
      </c>
      <c r="E835">
        <v>5</v>
      </c>
      <c r="F835" t="s">
        <v>439</v>
      </c>
      <c r="G835" s="14" t="s">
        <v>904</v>
      </c>
      <c r="H835" s="9" t="s">
        <v>1071</v>
      </c>
      <c r="I835">
        <f t="shared" ref="I835:I898" si="52">C835*D835*E835</f>
        <v>30</v>
      </c>
      <c r="J835">
        <f t="shared" ref="J835:J898" si="53">CONVERT(I835,"lbm","kg")</f>
        <v>13.607771100000001</v>
      </c>
      <c r="L835">
        <f t="shared" ref="L835:L898" si="54">J835*K835</f>
        <v>0</v>
      </c>
    </row>
    <row r="836" spans="1:12" x14ac:dyDescent="0.2">
      <c r="A836" s="4">
        <v>43437</v>
      </c>
      <c r="B836" t="s">
        <v>538</v>
      </c>
      <c r="C836">
        <v>1</v>
      </c>
      <c r="D836">
        <v>6</v>
      </c>
      <c r="E836">
        <v>5</v>
      </c>
      <c r="F836" t="s">
        <v>439</v>
      </c>
      <c r="G836" s="14" t="s">
        <v>904</v>
      </c>
      <c r="H836" s="9" t="s">
        <v>1071</v>
      </c>
      <c r="I836">
        <f t="shared" si="52"/>
        <v>30</v>
      </c>
      <c r="J836">
        <f t="shared" si="53"/>
        <v>13.607771100000001</v>
      </c>
      <c r="L836">
        <f t="shared" si="54"/>
        <v>0</v>
      </c>
    </row>
    <row r="837" spans="1:12" x14ac:dyDescent="0.2">
      <c r="A837" s="4">
        <v>43371</v>
      </c>
      <c r="B837" t="s">
        <v>48</v>
      </c>
      <c r="C837">
        <v>1</v>
      </c>
      <c r="D837">
        <v>1</v>
      </c>
      <c r="E837">
        <f>30*1/8</f>
        <v>3.75</v>
      </c>
      <c r="F837" t="s">
        <v>56</v>
      </c>
      <c r="G837" t="s">
        <v>757</v>
      </c>
      <c r="H837" s="8" t="s">
        <v>1067</v>
      </c>
      <c r="I837">
        <f t="shared" si="52"/>
        <v>3.75</v>
      </c>
      <c r="J837">
        <f t="shared" si="53"/>
        <v>1.7009713875000001</v>
      </c>
      <c r="K837">
        <v>0.23200000000000001</v>
      </c>
      <c r="L837" s="8">
        <f t="shared" si="54"/>
        <v>0.39462536190000003</v>
      </c>
    </row>
    <row r="838" spans="1:12" x14ac:dyDescent="0.2">
      <c r="A838" s="4">
        <v>43374</v>
      </c>
      <c r="B838" t="s">
        <v>48</v>
      </c>
      <c r="C838">
        <v>1</v>
      </c>
      <c r="D838">
        <v>1</v>
      </c>
      <c r="E838">
        <f>30*1/8</f>
        <v>3.75</v>
      </c>
      <c r="F838" t="s">
        <v>234</v>
      </c>
      <c r="G838" t="s">
        <v>757</v>
      </c>
      <c r="H838" s="8" t="s">
        <v>1067</v>
      </c>
      <c r="I838">
        <f t="shared" si="52"/>
        <v>3.75</v>
      </c>
      <c r="J838">
        <f t="shared" si="53"/>
        <v>1.7009713875000001</v>
      </c>
      <c r="K838">
        <v>0.23200000000000001</v>
      </c>
      <c r="L838" s="8">
        <f t="shared" si="54"/>
        <v>0.39462536190000003</v>
      </c>
    </row>
    <row r="839" spans="1:12" x14ac:dyDescent="0.2">
      <c r="A839" s="4">
        <v>43434</v>
      </c>
      <c r="B839" t="s">
        <v>538</v>
      </c>
      <c r="C839">
        <v>4</v>
      </c>
      <c r="D839">
        <v>2</v>
      </c>
      <c r="E839">
        <v>10</v>
      </c>
      <c r="F839" t="s">
        <v>458</v>
      </c>
      <c r="G839" s="6" t="s">
        <v>875</v>
      </c>
      <c r="H839" s="9" t="s">
        <v>1071</v>
      </c>
      <c r="I839">
        <f t="shared" si="52"/>
        <v>80</v>
      </c>
      <c r="J839">
        <f t="shared" si="53"/>
        <v>36.287389600000004</v>
      </c>
      <c r="K839">
        <v>5.99</v>
      </c>
      <c r="L839">
        <f t="shared" si="54"/>
        <v>217.36146370400004</v>
      </c>
    </row>
    <row r="840" spans="1:12" x14ac:dyDescent="0.2">
      <c r="A840" s="4">
        <v>43434</v>
      </c>
      <c r="B840" t="s">
        <v>538</v>
      </c>
      <c r="C840">
        <v>4</v>
      </c>
      <c r="D840">
        <v>2</v>
      </c>
      <c r="E840">
        <v>10</v>
      </c>
      <c r="F840" t="s">
        <v>461</v>
      </c>
      <c r="G840" s="6" t="s">
        <v>875</v>
      </c>
      <c r="H840" s="9" t="s">
        <v>1071</v>
      </c>
      <c r="I840">
        <f t="shared" si="52"/>
        <v>80</v>
      </c>
      <c r="J840">
        <f t="shared" si="53"/>
        <v>36.287389600000004</v>
      </c>
      <c r="K840">
        <v>5.99</v>
      </c>
      <c r="L840">
        <f t="shared" si="54"/>
        <v>217.36146370400004</v>
      </c>
    </row>
    <row r="841" spans="1:12" x14ac:dyDescent="0.2">
      <c r="A841" s="4">
        <v>43434</v>
      </c>
      <c r="B841" t="s">
        <v>538</v>
      </c>
      <c r="C841">
        <v>4</v>
      </c>
      <c r="D841">
        <v>2</v>
      </c>
      <c r="E841">
        <v>10</v>
      </c>
      <c r="F841" t="s">
        <v>462</v>
      </c>
      <c r="G841" s="6" t="s">
        <v>875</v>
      </c>
      <c r="H841" s="9" t="s">
        <v>1071</v>
      </c>
      <c r="I841">
        <f t="shared" si="52"/>
        <v>80</v>
      </c>
      <c r="J841">
        <f t="shared" si="53"/>
        <v>36.287389600000004</v>
      </c>
      <c r="K841">
        <v>5.99</v>
      </c>
      <c r="L841">
        <f t="shared" si="54"/>
        <v>217.36146370400004</v>
      </c>
    </row>
    <row r="842" spans="1:12" x14ac:dyDescent="0.2">
      <c r="A842" s="4">
        <v>43434</v>
      </c>
      <c r="B842" t="s">
        <v>538</v>
      </c>
      <c r="C842">
        <v>4</v>
      </c>
      <c r="D842">
        <v>2</v>
      </c>
      <c r="E842">
        <v>10</v>
      </c>
      <c r="F842" t="s">
        <v>566</v>
      </c>
      <c r="G842" s="6" t="s">
        <v>875</v>
      </c>
      <c r="H842" s="9" t="s">
        <v>1071</v>
      </c>
      <c r="I842">
        <f t="shared" si="52"/>
        <v>80</v>
      </c>
      <c r="J842">
        <f t="shared" si="53"/>
        <v>36.287389600000004</v>
      </c>
      <c r="K842">
        <v>5.99</v>
      </c>
      <c r="L842">
        <f t="shared" si="54"/>
        <v>217.36146370400004</v>
      </c>
    </row>
    <row r="843" spans="1:12" x14ac:dyDescent="0.2">
      <c r="A843" s="4">
        <v>43439</v>
      </c>
      <c r="B843" t="s">
        <v>538</v>
      </c>
      <c r="C843">
        <v>3</v>
      </c>
      <c r="D843">
        <v>2</v>
      </c>
      <c r="E843">
        <v>10</v>
      </c>
      <c r="F843" t="s">
        <v>458</v>
      </c>
      <c r="G843" s="6" t="s">
        <v>875</v>
      </c>
      <c r="H843" s="9" t="s">
        <v>1071</v>
      </c>
      <c r="I843">
        <f t="shared" si="52"/>
        <v>60</v>
      </c>
      <c r="J843">
        <f t="shared" si="53"/>
        <v>27.215542200000002</v>
      </c>
      <c r="K843">
        <v>5.99</v>
      </c>
      <c r="L843">
        <f t="shared" si="54"/>
        <v>163.02109777800001</v>
      </c>
    </row>
    <row r="844" spans="1:12" x14ac:dyDescent="0.2">
      <c r="A844" s="4">
        <v>43434</v>
      </c>
      <c r="B844" t="s">
        <v>538</v>
      </c>
      <c r="C844">
        <v>1</v>
      </c>
      <c r="D844">
        <v>12</v>
      </c>
      <c r="E844">
        <v>1</v>
      </c>
      <c r="F844" t="s">
        <v>560</v>
      </c>
      <c r="G844" s="6" t="s">
        <v>911</v>
      </c>
      <c r="H844" s="9" t="s">
        <v>1071</v>
      </c>
      <c r="I844">
        <f t="shared" si="52"/>
        <v>12</v>
      </c>
      <c r="J844">
        <f t="shared" si="53"/>
        <v>5.4431084400000005</v>
      </c>
      <c r="K844">
        <v>0.11799999999999999</v>
      </c>
      <c r="L844">
        <f t="shared" si="54"/>
        <v>0.64228679592000004</v>
      </c>
    </row>
    <row r="845" spans="1:12" x14ac:dyDescent="0.2">
      <c r="A845" s="4">
        <v>43439</v>
      </c>
      <c r="B845" t="s">
        <v>538</v>
      </c>
      <c r="C845">
        <v>1</v>
      </c>
      <c r="D845">
        <v>1</v>
      </c>
      <c r="E845">
        <v>20</v>
      </c>
      <c r="F845" t="s">
        <v>592</v>
      </c>
      <c r="G845" t="s">
        <v>921</v>
      </c>
      <c r="H845" s="9" t="s">
        <v>1071</v>
      </c>
      <c r="I845">
        <f t="shared" si="52"/>
        <v>20</v>
      </c>
      <c r="J845">
        <f t="shared" si="53"/>
        <v>9.0718474000000011</v>
      </c>
      <c r="K845">
        <v>0.61699999999999999</v>
      </c>
      <c r="L845">
        <f t="shared" si="54"/>
        <v>5.5973298458000009</v>
      </c>
    </row>
    <row r="846" spans="1:12" x14ac:dyDescent="0.2">
      <c r="A846" s="4">
        <v>43371</v>
      </c>
      <c r="B846" t="s">
        <v>48</v>
      </c>
      <c r="C846">
        <v>5</v>
      </c>
      <c r="D846">
        <v>1</v>
      </c>
      <c r="E846">
        <v>10</v>
      </c>
      <c r="F846" t="s">
        <v>57</v>
      </c>
      <c r="G846" t="s">
        <v>806</v>
      </c>
      <c r="H846" s="8" t="s">
        <v>1067</v>
      </c>
      <c r="I846">
        <f t="shared" si="52"/>
        <v>50</v>
      </c>
      <c r="J846">
        <f t="shared" si="53"/>
        <v>22.6796185</v>
      </c>
      <c r="K846">
        <v>0.70099999999999996</v>
      </c>
      <c r="L846" s="8">
        <f t="shared" si="54"/>
        <v>15.8984125685</v>
      </c>
    </row>
    <row r="847" spans="1:12" x14ac:dyDescent="0.2">
      <c r="A847" s="4">
        <v>43376</v>
      </c>
      <c r="B847" t="s">
        <v>48</v>
      </c>
      <c r="C847">
        <v>3</v>
      </c>
      <c r="D847">
        <v>1</v>
      </c>
      <c r="E847">
        <v>10</v>
      </c>
      <c r="F847" t="s">
        <v>57</v>
      </c>
      <c r="G847" t="s">
        <v>806</v>
      </c>
      <c r="H847" s="8" t="s">
        <v>1067</v>
      </c>
      <c r="I847">
        <f t="shared" si="52"/>
        <v>30</v>
      </c>
      <c r="J847">
        <f t="shared" si="53"/>
        <v>13.607771100000001</v>
      </c>
      <c r="K847">
        <v>0.70099999999999996</v>
      </c>
      <c r="L847" s="8">
        <f t="shared" si="54"/>
        <v>9.5390475411000004</v>
      </c>
    </row>
    <row r="848" spans="1:12" x14ac:dyDescent="0.2">
      <c r="A848" s="4">
        <v>43434</v>
      </c>
      <c r="B848" t="s">
        <v>531</v>
      </c>
      <c r="C848">
        <v>2</v>
      </c>
      <c r="D848">
        <v>12</v>
      </c>
      <c r="E848">
        <v>2.5</v>
      </c>
      <c r="F848" t="s">
        <v>405</v>
      </c>
      <c r="G848" t="s">
        <v>891</v>
      </c>
      <c r="H848" s="9" t="s">
        <v>1071</v>
      </c>
      <c r="I848">
        <f t="shared" si="52"/>
        <v>60</v>
      </c>
      <c r="J848">
        <f t="shared" si="53"/>
        <v>27.215542200000002</v>
      </c>
      <c r="K848">
        <v>0.61699999999999999</v>
      </c>
      <c r="L848">
        <f t="shared" si="54"/>
        <v>16.791989537399999</v>
      </c>
    </row>
    <row r="849" spans="1:12" x14ac:dyDescent="0.2">
      <c r="A849" s="4">
        <v>43437</v>
      </c>
      <c r="B849" t="s">
        <v>531</v>
      </c>
      <c r="C849">
        <v>1</v>
      </c>
      <c r="D849">
        <v>12</v>
      </c>
      <c r="E849">
        <v>2.5</v>
      </c>
      <c r="F849" t="s">
        <v>405</v>
      </c>
      <c r="G849" t="s">
        <v>891</v>
      </c>
      <c r="H849" s="9" t="s">
        <v>1071</v>
      </c>
      <c r="I849">
        <f t="shared" si="52"/>
        <v>30</v>
      </c>
      <c r="J849">
        <f t="shared" si="53"/>
        <v>13.607771100000001</v>
      </c>
      <c r="K849">
        <v>0.61699999999999999</v>
      </c>
      <c r="L849">
        <f t="shared" si="54"/>
        <v>8.3959947686999996</v>
      </c>
    </row>
    <row r="850" spans="1:12" x14ac:dyDescent="0.2">
      <c r="A850" s="4">
        <v>43372</v>
      </c>
      <c r="B850" t="s">
        <v>48</v>
      </c>
      <c r="C850">
        <v>3</v>
      </c>
      <c r="D850">
        <v>1</v>
      </c>
      <c r="E850">
        <f>120*0.39</f>
        <v>46.800000000000004</v>
      </c>
      <c r="F850" t="s">
        <v>228</v>
      </c>
      <c r="G850" t="s">
        <v>228</v>
      </c>
      <c r="H850" s="8" t="s">
        <v>1067</v>
      </c>
      <c r="I850">
        <f t="shared" si="52"/>
        <v>140.4</v>
      </c>
      <c r="J850">
        <f t="shared" si="53"/>
        <v>63.684368748000011</v>
      </c>
      <c r="K850">
        <v>0.249</v>
      </c>
      <c r="L850" s="8">
        <f t="shared" si="54"/>
        <v>15.857407818252003</v>
      </c>
    </row>
    <row r="851" spans="1:12" x14ac:dyDescent="0.2">
      <c r="A851" s="4">
        <v>43372</v>
      </c>
      <c r="B851" t="s">
        <v>48</v>
      </c>
      <c r="C851">
        <v>3</v>
      </c>
      <c r="D851">
        <v>1</v>
      </c>
      <c r="E851">
        <v>20</v>
      </c>
      <c r="F851" t="s">
        <v>229</v>
      </c>
      <c r="G851" t="s">
        <v>228</v>
      </c>
      <c r="H851" s="8" t="s">
        <v>1067</v>
      </c>
      <c r="I851">
        <f t="shared" si="52"/>
        <v>60</v>
      </c>
      <c r="J851">
        <f t="shared" si="53"/>
        <v>27.215542200000002</v>
      </c>
      <c r="K851">
        <v>0.249</v>
      </c>
      <c r="L851" s="8">
        <f t="shared" si="54"/>
        <v>6.7766700078</v>
      </c>
    </row>
    <row r="852" spans="1:12" x14ac:dyDescent="0.2">
      <c r="A852" s="4">
        <v>43377</v>
      </c>
      <c r="B852" t="s">
        <v>48</v>
      </c>
      <c r="C852" s="28">
        <v>2</v>
      </c>
      <c r="D852">
        <v>1</v>
      </c>
      <c r="E852">
        <f>120*0.39</f>
        <v>46.800000000000004</v>
      </c>
      <c r="F852" t="s">
        <v>264</v>
      </c>
      <c r="G852" t="s">
        <v>791</v>
      </c>
      <c r="H852" s="8" t="s">
        <v>1067</v>
      </c>
      <c r="I852">
        <f t="shared" si="52"/>
        <v>93.600000000000009</v>
      </c>
      <c r="J852">
        <f t="shared" si="53"/>
        <v>42.456245832000008</v>
      </c>
      <c r="K852">
        <v>0.249</v>
      </c>
      <c r="L852" s="8">
        <f t="shared" si="54"/>
        <v>10.571605212168002</v>
      </c>
    </row>
    <row r="853" spans="1:12" x14ac:dyDescent="0.2">
      <c r="A853" s="4">
        <v>43372</v>
      </c>
      <c r="B853" t="s">
        <v>48</v>
      </c>
      <c r="C853">
        <v>2</v>
      </c>
      <c r="D853">
        <v>1</v>
      </c>
      <c r="E853">
        <f>(12*8)/16</f>
        <v>6</v>
      </c>
      <c r="F853" t="s">
        <v>218</v>
      </c>
      <c r="G853" t="s">
        <v>218</v>
      </c>
      <c r="H853" s="8" t="s">
        <v>1067</v>
      </c>
      <c r="I853">
        <f t="shared" si="52"/>
        <v>12</v>
      </c>
      <c r="J853">
        <f t="shared" si="53"/>
        <v>5.4431084400000005</v>
      </c>
      <c r="K853">
        <v>0.52500000000000002</v>
      </c>
      <c r="L853" s="8">
        <f t="shared" si="54"/>
        <v>2.8576319310000002</v>
      </c>
    </row>
    <row r="854" spans="1:12" x14ac:dyDescent="0.2">
      <c r="A854" s="4">
        <v>43377</v>
      </c>
      <c r="B854" t="s">
        <v>48</v>
      </c>
      <c r="C854" s="28">
        <v>1</v>
      </c>
      <c r="D854">
        <v>1</v>
      </c>
      <c r="E854" s="28">
        <f>10/9*30</f>
        <v>33.333333333333336</v>
      </c>
      <c r="F854" t="s">
        <v>266</v>
      </c>
      <c r="G854" t="s">
        <v>792</v>
      </c>
      <c r="H854" s="8" t="s">
        <v>1067</v>
      </c>
      <c r="I854">
        <f t="shared" si="52"/>
        <v>33.333333333333336</v>
      </c>
      <c r="J854">
        <f t="shared" si="53"/>
        <v>15.119745666666669</v>
      </c>
      <c r="K854">
        <v>0.52500000000000002</v>
      </c>
      <c r="L854" s="8">
        <f t="shared" si="54"/>
        <v>7.9378664750000016</v>
      </c>
    </row>
    <row r="855" spans="1:12" x14ac:dyDescent="0.2">
      <c r="A855" s="4">
        <v>43434</v>
      </c>
      <c r="B855" t="s">
        <v>538</v>
      </c>
      <c r="C855">
        <v>1</v>
      </c>
      <c r="D855">
        <v>12</v>
      </c>
      <c r="E855">
        <f>28/16</f>
        <v>1.75</v>
      </c>
      <c r="F855" t="s">
        <v>559</v>
      </c>
      <c r="G855" t="s">
        <v>848</v>
      </c>
      <c r="H855" s="9" t="s">
        <v>1071</v>
      </c>
      <c r="I855">
        <f t="shared" si="52"/>
        <v>21</v>
      </c>
      <c r="J855">
        <f t="shared" si="53"/>
        <v>9.5254397700000002</v>
      </c>
      <c r="K855">
        <v>0.52500000000000002</v>
      </c>
      <c r="L855">
        <f t="shared" si="54"/>
        <v>5.0008558792500004</v>
      </c>
    </row>
    <row r="856" spans="1:12" x14ac:dyDescent="0.2">
      <c r="A856" s="4">
        <v>43434</v>
      </c>
      <c r="B856" t="s">
        <v>538</v>
      </c>
      <c r="C856">
        <v>1</v>
      </c>
      <c r="D856">
        <v>3</v>
      </c>
      <c r="E856">
        <v>5</v>
      </c>
      <c r="F856" t="s">
        <v>556</v>
      </c>
      <c r="G856" t="s">
        <v>909</v>
      </c>
      <c r="H856" s="9" t="s">
        <v>1071</v>
      </c>
      <c r="I856">
        <f t="shared" si="52"/>
        <v>15</v>
      </c>
      <c r="J856">
        <f t="shared" si="53"/>
        <v>6.8038855500000004</v>
      </c>
      <c r="K856">
        <v>0.87</v>
      </c>
      <c r="L856">
        <f t="shared" si="54"/>
        <v>5.9193804285000002</v>
      </c>
    </row>
    <row r="857" spans="1:12" x14ac:dyDescent="0.2">
      <c r="A857" s="4">
        <v>43439</v>
      </c>
      <c r="B857" t="s">
        <v>538</v>
      </c>
      <c r="C857">
        <v>1</v>
      </c>
      <c r="D857">
        <v>3</v>
      </c>
      <c r="E857">
        <v>5</v>
      </c>
      <c r="F857" t="s">
        <v>556</v>
      </c>
      <c r="G857" t="s">
        <v>909</v>
      </c>
      <c r="H857" s="9" t="s">
        <v>1071</v>
      </c>
      <c r="I857">
        <f t="shared" si="52"/>
        <v>15</v>
      </c>
      <c r="J857">
        <f t="shared" si="53"/>
        <v>6.8038855500000004</v>
      </c>
      <c r="K857">
        <v>0.87</v>
      </c>
      <c r="L857">
        <f t="shared" si="54"/>
        <v>5.9193804285000002</v>
      </c>
    </row>
    <row r="858" spans="1:12" x14ac:dyDescent="0.2">
      <c r="A858" s="4">
        <v>43372</v>
      </c>
      <c r="B858" t="s">
        <v>48</v>
      </c>
      <c r="C858">
        <v>2</v>
      </c>
      <c r="D858">
        <v>1</v>
      </c>
      <c r="E858">
        <f>10/9*30</f>
        <v>33.333333333333336</v>
      </c>
      <c r="F858" t="s">
        <v>168</v>
      </c>
      <c r="G858" t="s">
        <v>801</v>
      </c>
      <c r="H858" s="8" t="s">
        <v>1067</v>
      </c>
      <c r="I858">
        <f t="shared" si="52"/>
        <v>66.666666666666671</v>
      </c>
      <c r="J858">
        <f t="shared" si="53"/>
        <v>30.239491333333337</v>
      </c>
      <c r="K858">
        <v>0.52500000000000002</v>
      </c>
      <c r="L858" s="8">
        <f t="shared" si="54"/>
        <v>15.875732950000003</v>
      </c>
    </row>
    <row r="859" spans="1:12" x14ac:dyDescent="0.2">
      <c r="A859" s="4">
        <v>43372</v>
      </c>
      <c r="B859" t="s">
        <v>48</v>
      </c>
      <c r="C859">
        <v>3</v>
      </c>
      <c r="D859">
        <v>1</v>
      </c>
      <c r="E859">
        <v>20</v>
      </c>
      <c r="F859" t="s">
        <v>168</v>
      </c>
      <c r="G859" t="s">
        <v>801</v>
      </c>
      <c r="H859" s="8" t="s">
        <v>1067</v>
      </c>
      <c r="I859">
        <f t="shared" si="52"/>
        <v>60</v>
      </c>
      <c r="J859">
        <f t="shared" si="53"/>
        <v>27.215542200000002</v>
      </c>
      <c r="K859">
        <v>0.52500000000000002</v>
      </c>
      <c r="L859" s="8">
        <f t="shared" si="54"/>
        <v>14.288159655000001</v>
      </c>
    </row>
    <row r="860" spans="1:12" x14ac:dyDescent="0.2">
      <c r="A860" s="4">
        <v>43371</v>
      </c>
      <c r="B860" t="s">
        <v>48</v>
      </c>
      <c r="C860">
        <v>2</v>
      </c>
      <c r="D860">
        <v>1</v>
      </c>
      <c r="E860">
        <f>10/9*30</f>
        <v>33.333333333333336</v>
      </c>
      <c r="F860" t="s">
        <v>168</v>
      </c>
      <c r="G860" t="s">
        <v>801</v>
      </c>
      <c r="H860" s="8" t="s">
        <v>1067</v>
      </c>
      <c r="I860">
        <f t="shared" si="52"/>
        <v>66.666666666666671</v>
      </c>
      <c r="J860">
        <f t="shared" si="53"/>
        <v>30.239491333333337</v>
      </c>
      <c r="K860">
        <v>0.52500000000000002</v>
      </c>
      <c r="L860" s="8">
        <f t="shared" si="54"/>
        <v>15.875732950000003</v>
      </c>
    </row>
    <row r="861" spans="1:12" x14ac:dyDescent="0.2">
      <c r="A861" s="4">
        <v>43374</v>
      </c>
      <c r="B861" t="s">
        <v>48</v>
      </c>
      <c r="C861">
        <v>2</v>
      </c>
      <c r="D861">
        <v>1</v>
      </c>
      <c r="E861">
        <f>10/9*30</f>
        <v>33.333333333333336</v>
      </c>
      <c r="F861" t="s">
        <v>168</v>
      </c>
      <c r="G861" t="s">
        <v>801</v>
      </c>
      <c r="H861" s="8" t="s">
        <v>1067</v>
      </c>
      <c r="I861">
        <f t="shared" si="52"/>
        <v>66.666666666666671</v>
      </c>
      <c r="J861">
        <f t="shared" si="53"/>
        <v>30.239491333333337</v>
      </c>
      <c r="K861">
        <v>0.52500000000000002</v>
      </c>
      <c r="L861" s="8">
        <f t="shared" si="54"/>
        <v>15.875732950000003</v>
      </c>
    </row>
    <row r="862" spans="1:12" x14ac:dyDescent="0.2">
      <c r="A862" s="4">
        <v>43377</v>
      </c>
      <c r="B862" t="s">
        <v>48</v>
      </c>
      <c r="C862" s="28">
        <v>2</v>
      </c>
      <c r="D862">
        <v>1</v>
      </c>
      <c r="E862" s="28">
        <f>10/9*30</f>
        <v>33.333333333333336</v>
      </c>
      <c r="F862" t="s">
        <v>265</v>
      </c>
      <c r="G862" t="s">
        <v>801</v>
      </c>
      <c r="H862" s="8" t="s">
        <v>1067</v>
      </c>
      <c r="I862">
        <f t="shared" si="52"/>
        <v>66.666666666666671</v>
      </c>
      <c r="J862">
        <f t="shared" si="53"/>
        <v>30.239491333333337</v>
      </c>
      <c r="K862">
        <v>0.52500000000000002</v>
      </c>
      <c r="L862" s="8">
        <f t="shared" si="54"/>
        <v>15.875732950000003</v>
      </c>
    </row>
    <row r="863" spans="1:12" x14ac:dyDescent="0.2">
      <c r="A863" s="4">
        <v>43434</v>
      </c>
      <c r="B863" t="s">
        <v>538</v>
      </c>
      <c r="C863">
        <v>2</v>
      </c>
      <c r="D863">
        <v>12</v>
      </c>
      <c r="E863">
        <f>27/16</f>
        <v>1.6875</v>
      </c>
      <c r="F863" t="s">
        <v>555</v>
      </c>
      <c r="G863" t="s">
        <v>908</v>
      </c>
      <c r="H863" s="9" t="s">
        <v>1071</v>
      </c>
      <c r="I863">
        <f t="shared" si="52"/>
        <v>40.5</v>
      </c>
      <c r="J863">
        <f t="shared" si="53"/>
        <v>18.370490985</v>
      </c>
      <c r="K863">
        <v>0.79900000000000004</v>
      </c>
      <c r="L863">
        <f t="shared" si="54"/>
        <v>14.678022297015001</v>
      </c>
    </row>
    <row r="864" spans="1:12" x14ac:dyDescent="0.2">
      <c r="A864" s="4">
        <v>43434</v>
      </c>
      <c r="B864" t="s">
        <v>538</v>
      </c>
      <c r="C864">
        <v>2</v>
      </c>
      <c r="D864">
        <v>12</v>
      </c>
      <c r="E864">
        <f>7/16</f>
        <v>0.4375</v>
      </c>
      <c r="F864" t="s">
        <v>448</v>
      </c>
      <c r="G864" t="s">
        <v>908</v>
      </c>
      <c r="H864" s="9" t="s">
        <v>1071</v>
      </c>
      <c r="I864">
        <f t="shared" si="52"/>
        <v>10.5</v>
      </c>
      <c r="J864">
        <f t="shared" si="53"/>
        <v>4.7627198850000001</v>
      </c>
      <c r="K864">
        <v>0.79900000000000004</v>
      </c>
      <c r="L864">
        <f t="shared" si="54"/>
        <v>3.8054131881150002</v>
      </c>
    </row>
    <row r="865" spans="1:12" x14ac:dyDescent="0.2">
      <c r="A865" s="4">
        <v>43439</v>
      </c>
      <c r="B865" t="s">
        <v>538</v>
      </c>
      <c r="C865">
        <v>1</v>
      </c>
      <c r="D865">
        <v>4</v>
      </c>
      <c r="E865">
        <v>8.35</v>
      </c>
      <c r="F865" t="s">
        <v>541</v>
      </c>
      <c r="G865" t="s">
        <v>908</v>
      </c>
      <c r="H865" s="9" t="s">
        <v>1071</v>
      </c>
      <c r="I865">
        <f t="shared" si="52"/>
        <v>33.4</v>
      </c>
      <c r="J865">
        <f t="shared" si="53"/>
        <v>15.149985158</v>
      </c>
      <c r="K865">
        <v>0.79900000000000004</v>
      </c>
      <c r="L865">
        <f t="shared" si="54"/>
        <v>12.104838141242</v>
      </c>
    </row>
    <row r="866" spans="1:12" x14ac:dyDescent="0.2">
      <c r="A866" s="4">
        <v>43434</v>
      </c>
      <c r="B866" t="s">
        <v>538</v>
      </c>
      <c r="C866">
        <v>1</v>
      </c>
      <c r="D866">
        <v>4</v>
      </c>
      <c r="E866">
        <v>8.35</v>
      </c>
      <c r="F866" t="s">
        <v>541</v>
      </c>
      <c r="G866" t="s">
        <v>937</v>
      </c>
      <c r="H866" s="9" t="s">
        <v>1071</v>
      </c>
      <c r="I866">
        <f t="shared" si="52"/>
        <v>33.4</v>
      </c>
      <c r="J866">
        <f t="shared" si="53"/>
        <v>15.149985158</v>
      </c>
      <c r="K866">
        <v>0.79900000000000004</v>
      </c>
      <c r="L866">
        <f t="shared" si="54"/>
        <v>12.104838141242</v>
      </c>
    </row>
    <row r="867" spans="1:12" x14ac:dyDescent="0.2">
      <c r="A867" s="4">
        <v>43372</v>
      </c>
      <c r="B867" t="s">
        <v>48</v>
      </c>
      <c r="C867">
        <v>2</v>
      </c>
      <c r="D867">
        <v>1</v>
      </c>
      <c r="E867">
        <f>10/9*30</f>
        <v>33.333333333333336</v>
      </c>
      <c r="F867" t="s">
        <v>59</v>
      </c>
      <c r="G867" t="s">
        <v>802</v>
      </c>
      <c r="H867" s="8" t="s">
        <v>1067</v>
      </c>
      <c r="I867">
        <f t="shared" si="52"/>
        <v>66.666666666666671</v>
      </c>
      <c r="J867">
        <f t="shared" si="53"/>
        <v>30.239491333333337</v>
      </c>
      <c r="K867">
        <v>0.52500000000000002</v>
      </c>
      <c r="L867" s="8">
        <f t="shared" si="54"/>
        <v>15.875732950000003</v>
      </c>
    </row>
    <row r="868" spans="1:12" x14ac:dyDescent="0.2">
      <c r="A868" s="4">
        <v>43371</v>
      </c>
      <c r="B868" t="s">
        <v>48</v>
      </c>
      <c r="C868">
        <v>1</v>
      </c>
      <c r="D868">
        <v>1</v>
      </c>
      <c r="E868">
        <f>10/9*30</f>
        <v>33.333333333333336</v>
      </c>
      <c r="F868" t="s">
        <v>59</v>
      </c>
      <c r="G868" t="s">
        <v>802</v>
      </c>
      <c r="H868" s="8" t="s">
        <v>1067</v>
      </c>
      <c r="I868">
        <f t="shared" si="52"/>
        <v>33.333333333333336</v>
      </c>
      <c r="J868">
        <f t="shared" si="53"/>
        <v>15.119745666666669</v>
      </c>
      <c r="K868">
        <v>0.52500000000000002</v>
      </c>
      <c r="L868" s="8">
        <f t="shared" si="54"/>
        <v>7.9378664750000016</v>
      </c>
    </row>
    <row r="869" spans="1:12" x14ac:dyDescent="0.2">
      <c r="A869" s="4">
        <v>43371</v>
      </c>
      <c r="B869" t="s">
        <v>48</v>
      </c>
      <c r="C869">
        <v>1</v>
      </c>
      <c r="D869">
        <v>1</v>
      </c>
      <c r="E869">
        <f>10/9*30</f>
        <v>33.333333333333336</v>
      </c>
      <c r="F869" t="s">
        <v>59</v>
      </c>
      <c r="G869" t="s">
        <v>802</v>
      </c>
      <c r="H869" s="8" t="s">
        <v>1067</v>
      </c>
      <c r="I869">
        <f t="shared" si="52"/>
        <v>33.333333333333336</v>
      </c>
      <c r="J869">
        <f t="shared" si="53"/>
        <v>15.119745666666669</v>
      </c>
      <c r="K869">
        <v>0.52500000000000002</v>
      </c>
      <c r="L869" s="8">
        <f t="shared" si="54"/>
        <v>7.9378664750000016</v>
      </c>
    </row>
    <row r="870" spans="1:12" x14ac:dyDescent="0.2">
      <c r="A870" s="4">
        <v>43374</v>
      </c>
      <c r="B870" t="s">
        <v>48</v>
      </c>
      <c r="C870">
        <v>2</v>
      </c>
      <c r="D870">
        <v>1</v>
      </c>
      <c r="E870">
        <f>10/9*30</f>
        <v>33.333333333333336</v>
      </c>
      <c r="F870" t="s">
        <v>59</v>
      </c>
      <c r="G870" t="s">
        <v>802</v>
      </c>
      <c r="H870" s="8" t="s">
        <v>1067</v>
      </c>
      <c r="I870">
        <f t="shared" si="52"/>
        <v>66.666666666666671</v>
      </c>
      <c r="J870">
        <f t="shared" si="53"/>
        <v>30.239491333333337</v>
      </c>
      <c r="K870">
        <v>0.52500000000000002</v>
      </c>
      <c r="L870" s="8">
        <f t="shared" si="54"/>
        <v>15.875732950000003</v>
      </c>
    </row>
    <row r="871" spans="1:12" x14ac:dyDescent="0.2">
      <c r="A871" s="4">
        <v>43376</v>
      </c>
      <c r="B871" t="s">
        <v>48</v>
      </c>
      <c r="C871">
        <v>2</v>
      </c>
      <c r="D871">
        <v>1</v>
      </c>
      <c r="E871">
        <f>10/9*30</f>
        <v>33.333333333333336</v>
      </c>
      <c r="F871" t="s">
        <v>59</v>
      </c>
      <c r="G871" t="s">
        <v>802</v>
      </c>
      <c r="H871" s="8" t="s">
        <v>1067</v>
      </c>
      <c r="I871">
        <f t="shared" si="52"/>
        <v>66.666666666666671</v>
      </c>
      <c r="J871">
        <f t="shared" si="53"/>
        <v>30.239491333333337</v>
      </c>
      <c r="K871">
        <v>0.52500000000000002</v>
      </c>
      <c r="L871" s="8">
        <f t="shared" si="54"/>
        <v>15.875732950000003</v>
      </c>
    </row>
    <row r="872" spans="1:12" x14ac:dyDescent="0.2">
      <c r="A872" s="4">
        <v>43372</v>
      </c>
      <c r="B872" t="s">
        <v>48</v>
      </c>
      <c r="C872">
        <v>6</v>
      </c>
      <c r="D872">
        <v>1</v>
      </c>
      <c r="E872">
        <f>10*2</f>
        <v>20</v>
      </c>
      <c r="F872" t="s">
        <v>60</v>
      </c>
      <c r="G872" t="s">
        <v>758</v>
      </c>
      <c r="H872" s="8" t="s">
        <v>1067</v>
      </c>
      <c r="I872">
        <f t="shared" si="52"/>
        <v>120</v>
      </c>
      <c r="J872">
        <f t="shared" si="53"/>
        <v>54.431084400000003</v>
      </c>
      <c r="K872">
        <v>0.91400000000000003</v>
      </c>
      <c r="L872" s="8">
        <f t="shared" si="54"/>
        <v>49.750011141600005</v>
      </c>
    </row>
    <row r="873" spans="1:12" x14ac:dyDescent="0.2">
      <c r="A873" s="4">
        <v>43371</v>
      </c>
      <c r="B873" t="s">
        <v>48</v>
      </c>
      <c r="C873">
        <v>5</v>
      </c>
      <c r="D873">
        <v>1</v>
      </c>
      <c r="E873">
        <f>10*2</f>
        <v>20</v>
      </c>
      <c r="F873" t="s">
        <v>60</v>
      </c>
      <c r="G873" t="s">
        <v>758</v>
      </c>
      <c r="H873" s="8" t="s">
        <v>1067</v>
      </c>
      <c r="I873">
        <f t="shared" si="52"/>
        <v>100</v>
      </c>
      <c r="J873">
        <f t="shared" si="53"/>
        <v>45.359237</v>
      </c>
      <c r="K873">
        <v>0.91400000000000003</v>
      </c>
      <c r="L873" s="8">
        <f t="shared" si="54"/>
        <v>41.458342618000003</v>
      </c>
    </row>
    <row r="874" spans="1:12" x14ac:dyDescent="0.2">
      <c r="A874" s="4">
        <v>43376</v>
      </c>
      <c r="B874" t="s">
        <v>48</v>
      </c>
      <c r="C874">
        <v>4</v>
      </c>
      <c r="D874">
        <v>1</v>
      </c>
      <c r="E874">
        <v>20</v>
      </c>
      <c r="F874" t="s">
        <v>60</v>
      </c>
      <c r="G874" t="s">
        <v>758</v>
      </c>
      <c r="H874" s="8" t="s">
        <v>1067</v>
      </c>
      <c r="I874">
        <f t="shared" si="52"/>
        <v>80</v>
      </c>
      <c r="J874">
        <f t="shared" si="53"/>
        <v>36.287389600000004</v>
      </c>
      <c r="K874">
        <v>0.91400000000000003</v>
      </c>
      <c r="L874" s="8">
        <f t="shared" si="54"/>
        <v>33.166674094400008</v>
      </c>
    </row>
    <row r="875" spans="1:12" x14ac:dyDescent="0.2">
      <c r="A875" s="4">
        <v>43377</v>
      </c>
      <c r="B875" t="s">
        <v>48</v>
      </c>
      <c r="C875" s="28">
        <v>2</v>
      </c>
      <c r="D875">
        <v>1</v>
      </c>
      <c r="E875">
        <v>20</v>
      </c>
      <c r="F875" t="s">
        <v>267</v>
      </c>
      <c r="G875" t="s">
        <v>793</v>
      </c>
      <c r="H875" s="8" t="s">
        <v>1067</v>
      </c>
      <c r="I875">
        <f t="shared" si="52"/>
        <v>40</v>
      </c>
      <c r="J875">
        <f t="shared" si="53"/>
        <v>18.143694800000002</v>
      </c>
      <c r="K875">
        <v>0.91400000000000003</v>
      </c>
      <c r="L875" s="8">
        <f t="shared" si="54"/>
        <v>16.583337047200004</v>
      </c>
    </row>
    <row r="876" spans="1:12" x14ac:dyDescent="0.2">
      <c r="A876" s="10">
        <v>43371</v>
      </c>
      <c r="B876" s="8" t="s">
        <v>13</v>
      </c>
      <c r="C876">
        <v>1</v>
      </c>
      <c r="D876">
        <v>1</v>
      </c>
      <c r="E876" s="9">
        <v>120</v>
      </c>
      <c r="F876" s="9" t="s">
        <v>15</v>
      </c>
      <c r="G876" s="9" t="s">
        <v>15</v>
      </c>
      <c r="H876" s="8" t="s">
        <v>1072</v>
      </c>
      <c r="I876">
        <f t="shared" si="52"/>
        <v>120</v>
      </c>
      <c r="J876">
        <f t="shared" si="53"/>
        <v>54.431084400000003</v>
      </c>
      <c r="K876">
        <v>5.56</v>
      </c>
      <c r="L876" s="8">
        <f t="shared" si="54"/>
        <v>302.63682926399997</v>
      </c>
    </row>
    <row r="877" spans="1:12" x14ac:dyDescent="0.2">
      <c r="A877" s="10">
        <v>43371</v>
      </c>
      <c r="B877" s="8" t="s">
        <v>13</v>
      </c>
      <c r="C877">
        <v>1</v>
      </c>
      <c r="D877">
        <v>1</v>
      </c>
      <c r="E877" s="9">
        <v>302.45999999999998</v>
      </c>
      <c r="F877" s="9" t="s">
        <v>179</v>
      </c>
      <c r="G877" s="9" t="s">
        <v>15</v>
      </c>
      <c r="H877" s="8" t="s">
        <v>1072</v>
      </c>
      <c r="I877">
        <f t="shared" si="52"/>
        <v>302.45999999999998</v>
      </c>
      <c r="J877">
        <f t="shared" si="53"/>
        <v>137.19354823019998</v>
      </c>
      <c r="K877">
        <v>5.56</v>
      </c>
      <c r="L877" s="8">
        <f t="shared" si="54"/>
        <v>762.79612815991186</v>
      </c>
    </row>
    <row r="878" spans="1:12" x14ac:dyDescent="0.2">
      <c r="A878" s="10">
        <v>43371</v>
      </c>
      <c r="B878" s="8" t="s">
        <v>13</v>
      </c>
      <c r="C878">
        <v>1</v>
      </c>
      <c r="D878">
        <v>1</v>
      </c>
      <c r="E878" s="9">
        <v>20</v>
      </c>
      <c r="F878" s="9" t="s">
        <v>17</v>
      </c>
      <c r="G878" s="9" t="s">
        <v>15</v>
      </c>
      <c r="H878" s="8" t="s">
        <v>1072</v>
      </c>
      <c r="I878">
        <f t="shared" si="52"/>
        <v>20</v>
      </c>
      <c r="J878">
        <f t="shared" si="53"/>
        <v>9.0718474000000011</v>
      </c>
      <c r="K878">
        <v>5.56</v>
      </c>
      <c r="L878" s="8">
        <f t="shared" si="54"/>
        <v>50.439471544</v>
      </c>
    </row>
    <row r="879" spans="1:12" x14ac:dyDescent="0.2">
      <c r="A879" s="10">
        <v>43371</v>
      </c>
      <c r="B879" s="8" t="s">
        <v>13</v>
      </c>
      <c r="C879">
        <v>1</v>
      </c>
      <c r="D879">
        <v>1</v>
      </c>
      <c r="E879" s="9">
        <v>80</v>
      </c>
      <c r="F879" s="9" t="s">
        <v>20</v>
      </c>
      <c r="G879" s="9" t="s">
        <v>15</v>
      </c>
      <c r="H879" s="8" t="s">
        <v>1072</v>
      </c>
      <c r="I879">
        <f t="shared" si="52"/>
        <v>80</v>
      </c>
      <c r="J879">
        <f t="shared" si="53"/>
        <v>36.287389600000004</v>
      </c>
      <c r="K879">
        <v>5.56</v>
      </c>
      <c r="L879" s="8">
        <f t="shared" si="54"/>
        <v>201.757886176</v>
      </c>
    </row>
    <row r="880" spans="1:12" x14ac:dyDescent="0.2">
      <c r="A880" s="4">
        <v>43434</v>
      </c>
      <c r="B880" t="s">
        <v>525</v>
      </c>
      <c r="C880">
        <v>1</v>
      </c>
      <c r="D880">
        <v>1</v>
      </c>
      <c r="E880">
        <v>89.1</v>
      </c>
      <c r="F880" t="s">
        <v>396</v>
      </c>
      <c r="G880" t="s">
        <v>15</v>
      </c>
      <c r="H880" s="9" t="s">
        <v>1072</v>
      </c>
      <c r="I880">
        <f t="shared" si="52"/>
        <v>89.1</v>
      </c>
      <c r="J880">
        <f t="shared" si="53"/>
        <v>40.415080166999999</v>
      </c>
      <c r="K880">
        <v>5.56</v>
      </c>
      <c r="L880">
        <f t="shared" si="54"/>
        <v>224.70784572851997</v>
      </c>
    </row>
    <row r="881" spans="1:12" x14ac:dyDescent="0.2">
      <c r="A881" s="4">
        <v>43439</v>
      </c>
      <c r="B881" t="s">
        <v>525</v>
      </c>
      <c r="C881">
        <v>1</v>
      </c>
      <c r="D881">
        <v>1</v>
      </c>
      <c r="E881">
        <v>29.8</v>
      </c>
      <c r="F881" t="s">
        <v>396</v>
      </c>
      <c r="G881" t="s">
        <v>15</v>
      </c>
      <c r="H881" s="9" t="s">
        <v>1072</v>
      </c>
      <c r="I881">
        <f t="shared" si="52"/>
        <v>29.8</v>
      </c>
      <c r="J881">
        <f t="shared" si="53"/>
        <v>13.517052626000002</v>
      </c>
      <c r="K881">
        <v>5.56</v>
      </c>
      <c r="L881">
        <f t="shared" si="54"/>
        <v>75.154812600560007</v>
      </c>
    </row>
    <row r="882" spans="1:12" x14ac:dyDescent="0.2">
      <c r="A882" s="4">
        <v>43372</v>
      </c>
      <c r="B882" t="s">
        <v>48</v>
      </c>
      <c r="C882">
        <v>3</v>
      </c>
      <c r="D882">
        <v>1</v>
      </c>
      <c r="E882">
        <v>50</v>
      </c>
      <c r="F882" t="s">
        <v>62</v>
      </c>
      <c r="G882" t="s">
        <v>759</v>
      </c>
      <c r="H882" s="8" t="s">
        <v>1067</v>
      </c>
      <c r="I882">
        <f t="shared" si="52"/>
        <v>150</v>
      </c>
      <c r="J882">
        <f t="shared" si="53"/>
        <v>68.038855500000011</v>
      </c>
      <c r="K882">
        <v>0.217</v>
      </c>
      <c r="L882" s="8">
        <f t="shared" si="54"/>
        <v>14.764431643500002</v>
      </c>
    </row>
    <row r="883" spans="1:12" x14ac:dyDescent="0.2">
      <c r="A883" s="4">
        <v>43371</v>
      </c>
      <c r="B883" t="s">
        <v>48</v>
      </c>
      <c r="C883">
        <v>3</v>
      </c>
      <c r="D883">
        <v>1</v>
      </c>
      <c r="E883">
        <v>50</v>
      </c>
      <c r="F883" t="s">
        <v>62</v>
      </c>
      <c r="G883" t="s">
        <v>759</v>
      </c>
      <c r="H883" s="8" t="s">
        <v>1067</v>
      </c>
      <c r="I883">
        <f t="shared" si="52"/>
        <v>150</v>
      </c>
      <c r="J883">
        <f t="shared" si="53"/>
        <v>68.038855500000011</v>
      </c>
      <c r="K883">
        <v>0.217</v>
      </c>
      <c r="L883" s="8">
        <f t="shared" si="54"/>
        <v>14.764431643500002</v>
      </c>
    </row>
    <row r="884" spans="1:12" x14ac:dyDescent="0.2">
      <c r="A884" s="4">
        <v>43371</v>
      </c>
      <c r="B884" t="s">
        <v>48</v>
      </c>
      <c r="C884">
        <v>3</v>
      </c>
      <c r="D884">
        <v>1</v>
      </c>
      <c r="E884">
        <v>50</v>
      </c>
      <c r="F884" t="s">
        <v>212</v>
      </c>
      <c r="G884" t="s">
        <v>759</v>
      </c>
      <c r="H884" s="8" t="s">
        <v>1067</v>
      </c>
      <c r="I884">
        <f t="shared" si="52"/>
        <v>150</v>
      </c>
      <c r="J884">
        <f t="shared" si="53"/>
        <v>68.038855500000011</v>
      </c>
      <c r="K884">
        <v>0.217</v>
      </c>
      <c r="L884" s="8">
        <f t="shared" si="54"/>
        <v>14.764431643500002</v>
      </c>
    </row>
    <row r="885" spans="1:12" x14ac:dyDescent="0.2">
      <c r="A885" s="4">
        <v>43371</v>
      </c>
      <c r="B885" t="s">
        <v>48</v>
      </c>
      <c r="C885">
        <v>2</v>
      </c>
      <c r="D885">
        <v>1</v>
      </c>
      <c r="E885">
        <v>50</v>
      </c>
      <c r="F885" t="s">
        <v>217</v>
      </c>
      <c r="G885" t="s">
        <v>759</v>
      </c>
      <c r="H885" s="8" t="s">
        <v>1067</v>
      </c>
      <c r="I885">
        <f t="shared" si="52"/>
        <v>100</v>
      </c>
      <c r="J885">
        <f t="shared" si="53"/>
        <v>45.359237</v>
      </c>
      <c r="K885">
        <v>0.217</v>
      </c>
      <c r="L885" s="8">
        <f t="shared" si="54"/>
        <v>9.8429544290000006</v>
      </c>
    </row>
    <row r="886" spans="1:12" x14ac:dyDescent="0.2">
      <c r="A886" s="4">
        <v>43376</v>
      </c>
      <c r="B886" t="s">
        <v>48</v>
      </c>
      <c r="C886">
        <v>3</v>
      </c>
      <c r="D886">
        <v>1</v>
      </c>
      <c r="E886">
        <v>50</v>
      </c>
      <c r="F886" t="s">
        <v>244</v>
      </c>
      <c r="G886" t="s">
        <v>759</v>
      </c>
      <c r="H886" s="8" t="s">
        <v>1067</v>
      </c>
      <c r="I886">
        <f t="shared" si="52"/>
        <v>150</v>
      </c>
      <c r="J886">
        <f t="shared" si="53"/>
        <v>68.038855500000011</v>
      </c>
      <c r="K886">
        <v>0.217</v>
      </c>
      <c r="L886" s="8">
        <f t="shared" si="54"/>
        <v>14.764431643500002</v>
      </c>
    </row>
    <row r="887" spans="1:12" x14ac:dyDescent="0.2">
      <c r="A887" s="4">
        <v>43377</v>
      </c>
      <c r="B887" t="s">
        <v>48</v>
      </c>
      <c r="C887" s="28">
        <v>2</v>
      </c>
      <c r="D887">
        <v>1</v>
      </c>
      <c r="E887">
        <v>50</v>
      </c>
      <c r="F887" t="s">
        <v>268</v>
      </c>
      <c r="G887" t="s">
        <v>343</v>
      </c>
      <c r="H887" s="8" t="s">
        <v>1067</v>
      </c>
      <c r="I887">
        <f t="shared" si="52"/>
        <v>100</v>
      </c>
      <c r="J887">
        <f t="shared" si="53"/>
        <v>45.359237</v>
      </c>
      <c r="K887">
        <v>0.217</v>
      </c>
      <c r="L887" s="8">
        <f t="shared" si="54"/>
        <v>9.8429544290000006</v>
      </c>
    </row>
    <row r="888" spans="1:12" x14ac:dyDescent="0.2">
      <c r="A888" s="4">
        <v>43434</v>
      </c>
      <c r="B888" t="s">
        <v>531</v>
      </c>
      <c r="C888">
        <v>4</v>
      </c>
      <c r="D888">
        <v>6</v>
      </c>
      <c r="E888">
        <v>6</v>
      </c>
      <c r="F888" t="s">
        <v>533</v>
      </c>
      <c r="G888" t="s">
        <v>854</v>
      </c>
      <c r="H888" s="9" t="s">
        <v>1071</v>
      </c>
      <c r="I888">
        <f t="shared" si="52"/>
        <v>144</v>
      </c>
      <c r="J888">
        <f t="shared" si="53"/>
        <v>65.317301279999995</v>
      </c>
      <c r="K888">
        <v>0.217</v>
      </c>
      <c r="L888">
        <f t="shared" si="54"/>
        <v>14.17385437776</v>
      </c>
    </row>
    <row r="889" spans="1:12" x14ac:dyDescent="0.2">
      <c r="A889" s="4">
        <v>43434</v>
      </c>
      <c r="B889" t="s">
        <v>531</v>
      </c>
      <c r="C889">
        <v>4</v>
      </c>
      <c r="D889">
        <v>6</v>
      </c>
      <c r="E889">
        <v>3</v>
      </c>
      <c r="F889" t="s">
        <v>404</v>
      </c>
      <c r="G889" t="s">
        <v>854</v>
      </c>
      <c r="H889" s="9" t="s">
        <v>1071</v>
      </c>
      <c r="I889">
        <f t="shared" si="52"/>
        <v>72</v>
      </c>
      <c r="J889">
        <f t="shared" si="53"/>
        <v>32.658650639999998</v>
      </c>
      <c r="K889">
        <v>0.217</v>
      </c>
      <c r="L889">
        <f t="shared" si="54"/>
        <v>7.0869271888799998</v>
      </c>
    </row>
    <row r="890" spans="1:12" x14ac:dyDescent="0.2">
      <c r="A890" s="4">
        <v>43434</v>
      </c>
      <c r="B890" t="s">
        <v>531</v>
      </c>
      <c r="C890">
        <v>6</v>
      </c>
      <c r="D890">
        <v>6</v>
      </c>
      <c r="E890">
        <v>5</v>
      </c>
      <c r="F890" t="s">
        <v>419</v>
      </c>
      <c r="G890" t="s">
        <v>854</v>
      </c>
      <c r="H890" s="9" t="s">
        <v>1071</v>
      </c>
      <c r="I890">
        <f t="shared" si="52"/>
        <v>180</v>
      </c>
      <c r="J890">
        <f t="shared" si="53"/>
        <v>81.646626600000005</v>
      </c>
      <c r="K890">
        <v>0.217</v>
      </c>
      <c r="L890">
        <f t="shared" si="54"/>
        <v>17.7173179722</v>
      </c>
    </row>
    <row r="891" spans="1:12" x14ac:dyDescent="0.2">
      <c r="A891" s="4">
        <v>43437</v>
      </c>
      <c r="B891" t="s">
        <v>531</v>
      </c>
      <c r="C891">
        <v>4</v>
      </c>
      <c r="D891">
        <v>6</v>
      </c>
      <c r="E891">
        <v>6</v>
      </c>
      <c r="F891" t="s">
        <v>533</v>
      </c>
      <c r="G891" t="s">
        <v>854</v>
      </c>
      <c r="H891" s="9" t="s">
        <v>1071</v>
      </c>
      <c r="I891">
        <f t="shared" si="52"/>
        <v>144</v>
      </c>
      <c r="J891">
        <f t="shared" si="53"/>
        <v>65.317301279999995</v>
      </c>
      <c r="K891">
        <v>0.217</v>
      </c>
      <c r="L891">
        <f t="shared" si="54"/>
        <v>14.17385437776</v>
      </c>
    </row>
    <row r="892" spans="1:12" x14ac:dyDescent="0.2">
      <c r="A892" s="4">
        <v>43437</v>
      </c>
      <c r="B892" t="s">
        <v>531</v>
      </c>
      <c r="C892">
        <v>4</v>
      </c>
      <c r="D892">
        <v>6</v>
      </c>
      <c r="E892">
        <v>3</v>
      </c>
      <c r="F892" t="s">
        <v>404</v>
      </c>
      <c r="G892" t="s">
        <v>854</v>
      </c>
      <c r="H892" s="9" t="s">
        <v>1071</v>
      </c>
      <c r="I892">
        <f t="shared" si="52"/>
        <v>72</v>
      </c>
      <c r="J892">
        <f t="shared" si="53"/>
        <v>32.658650639999998</v>
      </c>
      <c r="K892">
        <v>0.217</v>
      </c>
      <c r="L892">
        <f t="shared" si="54"/>
        <v>7.0869271888799998</v>
      </c>
    </row>
    <row r="893" spans="1:12" x14ac:dyDescent="0.2">
      <c r="A893" s="4">
        <v>43437</v>
      </c>
      <c r="B893" t="s">
        <v>531</v>
      </c>
      <c r="C893">
        <v>4</v>
      </c>
      <c r="D893">
        <v>6</v>
      </c>
      <c r="E893">
        <v>5</v>
      </c>
      <c r="F893" t="s">
        <v>406</v>
      </c>
      <c r="G893" t="s">
        <v>854</v>
      </c>
      <c r="H893" s="9" t="s">
        <v>1071</v>
      </c>
      <c r="I893">
        <f t="shared" si="52"/>
        <v>120</v>
      </c>
      <c r="J893">
        <f t="shared" si="53"/>
        <v>54.431084400000003</v>
      </c>
      <c r="K893">
        <v>0.217</v>
      </c>
      <c r="L893">
        <f t="shared" si="54"/>
        <v>11.8115453148</v>
      </c>
    </row>
    <row r="894" spans="1:12" x14ac:dyDescent="0.2">
      <c r="A894" s="4">
        <v>43439</v>
      </c>
      <c r="B894" t="s">
        <v>531</v>
      </c>
      <c r="C894">
        <v>4</v>
      </c>
      <c r="D894">
        <v>6</v>
      </c>
      <c r="E894">
        <v>5</v>
      </c>
      <c r="F894" t="s">
        <v>403</v>
      </c>
      <c r="G894" t="s">
        <v>854</v>
      </c>
      <c r="H894" s="9" t="s">
        <v>1071</v>
      </c>
      <c r="I894">
        <f t="shared" si="52"/>
        <v>120</v>
      </c>
      <c r="J894">
        <f t="shared" si="53"/>
        <v>54.431084400000003</v>
      </c>
      <c r="K894">
        <v>0.217</v>
      </c>
      <c r="L894">
        <f t="shared" si="54"/>
        <v>11.8115453148</v>
      </c>
    </row>
    <row r="895" spans="1:12" x14ac:dyDescent="0.2">
      <c r="A895" s="4">
        <v>43439</v>
      </c>
      <c r="B895" t="s">
        <v>531</v>
      </c>
      <c r="C895">
        <v>4</v>
      </c>
      <c r="D895">
        <v>6</v>
      </c>
      <c r="E895">
        <v>5</v>
      </c>
      <c r="F895" t="s">
        <v>406</v>
      </c>
      <c r="G895" t="s">
        <v>854</v>
      </c>
      <c r="H895" s="9" t="s">
        <v>1071</v>
      </c>
      <c r="I895">
        <f t="shared" si="52"/>
        <v>120</v>
      </c>
      <c r="J895">
        <f t="shared" si="53"/>
        <v>54.431084400000003</v>
      </c>
      <c r="K895">
        <v>0.217</v>
      </c>
      <c r="L895">
        <f t="shared" si="54"/>
        <v>11.8115453148</v>
      </c>
    </row>
    <row r="896" spans="1:12" x14ac:dyDescent="0.2">
      <c r="A896" s="4">
        <v>43439</v>
      </c>
      <c r="B896" t="s">
        <v>531</v>
      </c>
      <c r="C896">
        <v>8</v>
      </c>
      <c r="D896">
        <v>6</v>
      </c>
      <c r="E896">
        <v>5</v>
      </c>
      <c r="F896" t="s">
        <v>419</v>
      </c>
      <c r="G896" t="s">
        <v>854</v>
      </c>
      <c r="H896" s="9" t="s">
        <v>1071</v>
      </c>
      <c r="I896">
        <f t="shared" si="52"/>
        <v>240</v>
      </c>
      <c r="J896">
        <f t="shared" si="53"/>
        <v>108.86216880000001</v>
      </c>
      <c r="K896">
        <v>0.217</v>
      </c>
      <c r="L896">
        <f t="shared" si="54"/>
        <v>23.6230906296</v>
      </c>
    </row>
    <row r="897" spans="1:12" x14ac:dyDescent="0.2">
      <c r="A897" s="4">
        <v>43437</v>
      </c>
      <c r="B897" t="s">
        <v>531</v>
      </c>
      <c r="C897">
        <v>4</v>
      </c>
      <c r="D897">
        <v>6</v>
      </c>
      <c r="E897">
        <v>5</v>
      </c>
      <c r="F897" t="s">
        <v>412</v>
      </c>
      <c r="G897" t="s">
        <v>914</v>
      </c>
      <c r="H897" s="9" t="s">
        <v>1071</v>
      </c>
      <c r="I897">
        <f t="shared" si="52"/>
        <v>120</v>
      </c>
      <c r="J897">
        <f t="shared" si="53"/>
        <v>54.431084400000003</v>
      </c>
      <c r="K897">
        <v>1.5449999999999999</v>
      </c>
      <c r="L897">
        <f t="shared" si="54"/>
        <v>84.096025397999995</v>
      </c>
    </row>
    <row r="898" spans="1:12" x14ac:dyDescent="0.2">
      <c r="A898" s="4">
        <v>43439</v>
      </c>
      <c r="B898" t="s">
        <v>538</v>
      </c>
      <c r="C898">
        <v>1</v>
      </c>
      <c r="D898">
        <v>24</v>
      </c>
      <c r="E898">
        <f>15/16</f>
        <v>0.9375</v>
      </c>
      <c r="F898" t="s">
        <v>590</v>
      </c>
      <c r="G898" t="s">
        <v>882</v>
      </c>
      <c r="H898" s="9" t="s">
        <v>1071</v>
      </c>
      <c r="I898">
        <f t="shared" si="52"/>
        <v>22.5</v>
      </c>
      <c r="J898">
        <f t="shared" si="53"/>
        <v>10.205828325000001</v>
      </c>
      <c r="K898">
        <v>0.68400000000000005</v>
      </c>
      <c r="L898">
        <f t="shared" si="54"/>
        <v>6.9807865743000006</v>
      </c>
    </row>
    <row r="899" spans="1:12" x14ac:dyDescent="0.2">
      <c r="A899" s="4">
        <v>43439</v>
      </c>
      <c r="B899" t="s">
        <v>538</v>
      </c>
      <c r="C899">
        <v>1</v>
      </c>
      <c r="D899">
        <v>1</v>
      </c>
      <c r="E899">
        <v>30</v>
      </c>
      <c r="F899" t="s">
        <v>593</v>
      </c>
      <c r="G899" t="s">
        <v>882</v>
      </c>
      <c r="H899" s="9" t="s">
        <v>1071</v>
      </c>
      <c r="I899">
        <f t="shared" ref="I899:I962" si="55">C899*D899*E899</f>
        <v>30</v>
      </c>
      <c r="J899">
        <f t="shared" ref="J899:J962" si="56">CONVERT(I899,"lbm","kg")</f>
        <v>13.607771100000001</v>
      </c>
      <c r="K899">
        <v>0.68400000000000005</v>
      </c>
      <c r="L899">
        <f t="shared" ref="L899:L962" si="57">J899*K899</f>
        <v>9.307715432400002</v>
      </c>
    </row>
    <row r="900" spans="1:12" x14ac:dyDescent="0.2">
      <c r="A900" s="4">
        <v>43434</v>
      </c>
      <c r="B900" t="s">
        <v>538</v>
      </c>
      <c r="C900">
        <v>8</v>
      </c>
      <c r="D900">
        <v>1</v>
      </c>
      <c r="E900">
        <v>25</v>
      </c>
      <c r="F900" t="s">
        <v>424</v>
      </c>
      <c r="G900" t="s">
        <v>859</v>
      </c>
      <c r="H900" s="9" t="s">
        <v>1071</v>
      </c>
      <c r="I900">
        <f t="shared" si="55"/>
        <v>200</v>
      </c>
      <c r="J900">
        <f t="shared" si="56"/>
        <v>90.718474000000001</v>
      </c>
      <c r="K900">
        <v>1.5409999999999999</v>
      </c>
      <c r="L900">
        <f t="shared" si="57"/>
        <v>139.79716843399999</v>
      </c>
    </row>
    <row r="901" spans="1:12" x14ac:dyDescent="0.2">
      <c r="A901" s="4">
        <v>43434</v>
      </c>
      <c r="B901" t="s">
        <v>538</v>
      </c>
      <c r="C901">
        <v>4</v>
      </c>
      <c r="D901">
        <v>2</v>
      </c>
      <c r="E901">
        <v>5</v>
      </c>
      <c r="F901" t="s">
        <v>429</v>
      </c>
      <c r="G901" t="s">
        <v>859</v>
      </c>
      <c r="H901" s="9" t="s">
        <v>1071</v>
      </c>
      <c r="I901">
        <f t="shared" si="55"/>
        <v>40</v>
      </c>
      <c r="J901">
        <f t="shared" si="56"/>
        <v>18.143694800000002</v>
      </c>
      <c r="K901">
        <v>1.5409999999999999</v>
      </c>
      <c r="L901">
        <f t="shared" si="57"/>
        <v>27.959433686800001</v>
      </c>
    </row>
    <row r="902" spans="1:12" x14ac:dyDescent="0.2">
      <c r="A902" s="4">
        <v>43434</v>
      </c>
      <c r="B902" t="s">
        <v>538</v>
      </c>
      <c r="C902">
        <v>4</v>
      </c>
      <c r="D902">
        <v>1</v>
      </c>
      <c r="E902">
        <v>25</v>
      </c>
      <c r="F902" t="s">
        <v>452</v>
      </c>
      <c r="G902" t="s">
        <v>859</v>
      </c>
      <c r="H902" s="9" t="s">
        <v>1071</v>
      </c>
      <c r="I902">
        <f t="shared" si="55"/>
        <v>100</v>
      </c>
      <c r="J902">
        <f t="shared" si="56"/>
        <v>45.359237</v>
      </c>
      <c r="K902">
        <v>1.5409999999999999</v>
      </c>
      <c r="L902">
        <f t="shared" si="57"/>
        <v>69.898584216999993</v>
      </c>
    </row>
    <row r="903" spans="1:12" x14ac:dyDescent="0.2">
      <c r="A903" s="4">
        <v>43434</v>
      </c>
      <c r="B903" t="s">
        <v>538</v>
      </c>
      <c r="C903">
        <v>4</v>
      </c>
      <c r="D903">
        <v>2</v>
      </c>
      <c r="E903">
        <v>5</v>
      </c>
      <c r="F903" t="s">
        <v>564</v>
      </c>
      <c r="G903" t="s">
        <v>859</v>
      </c>
      <c r="H903" s="9" t="s">
        <v>1071</v>
      </c>
      <c r="I903">
        <f t="shared" si="55"/>
        <v>40</v>
      </c>
      <c r="J903">
        <f t="shared" si="56"/>
        <v>18.143694800000002</v>
      </c>
      <c r="K903">
        <v>1.5409999999999999</v>
      </c>
      <c r="L903">
        <f t="shared" si="57"/>
        <v>27.959433686800001</v>
      </c>
    </row>
    <row r="904" spans="1:12" x14ac:dyDescent="0.2">
      <c r="A904" s="4">
        <v>43437</v>
      </c>
      <c r="B904" t="s">
        <v>538</v>
      </c>
      <c r="C904">
        <v>3</v>
      </c>
      <c r="D904">
        <v>1</v>
      </c>
      <c r="E904">
        <v>25</v>
      </c>
      <c r="F904" t="s">
        <v>424</v>
      </c>
      <c r="G904" t="s">
        <v>859</v>
      </c>
      <c r="H904" s="9" t="s">
        <v>1071</v>
      </c>
      <c r="I904">
        <f t="shared" si="55"/>
        <v>75</v>
      </c>
      <c r="J904">
        <f t="shared" si="56"/>
        <v>34.019427750000006</v>
      </c>
      <c r="K904">
        <v>1.5409999999999999</v>
      </c>
      <c r="L904">
        <f t="shared" si="57"/>
        <v>52.423938162750005</v>
      </c>
    </row>
    <row r="905" spans="1:12" x14ac:dyDescent="0.2">
      <c r="A905" s="4">
        <v>43437</v>
      </c>
      <c r="B905" t="s">
        <v>538</v>
      </c>
      <c r="C905">
        <v>3</v>
      </c>
      <c r="D905">
        <v>2</v>
      </c>
      <c r="E905">
        <v>5</v>
      </c>
      <c r="F905" t="s">
        <v>429</v>
      </c>
      <c r="G905" t="s">
        <v>859</v>
      </c>
      <c r="H905" s="9" t="s">
        <v>1071</v>
      </c>
      <c r="I905">
        <f t="shared" si="55"/>
        <v>30</v>
      </c>
      <c r="J905">
        <f t="shared" si="56"/>
        <v>13.607771100000001</v>
      </c>
      <c r="K905">
        <v>1.5409999999999999</v>
      </c>
      <c r="L905">
        <f t="shared" si="57"/>
        <v>20.969575265100001</v>
      </c>
    </row>
    <row r="906" spans="1:12" x14ac:dyDescent="0.2">
      <c r="A906" s="4">
        <v>43437</v>
      </c>
      <c r="B906" t="s">
        <v>538</v>
      </c>
      <c r="C906">
        <v>2</v>
      </c>
      <c r="D906">
        <v>1</v>
      </c>
      <c r="E906">
        <v>25</v>
      </c>
      <c r="F906" t="s">
        <v>452</v>
      </c>
      <c r="G906" t="s">
        <v>859</v>
      </c>
      <c r="H906" s="9" t="s">
        <v>1071</v>
      </c>
      <c r="I906">
        <f t="shared" si="55"/>
        <v>50</v>
      </c>
      <c r="J906">
        <f t="shared" si="56"/>
        <v>22.6796185</v>
      </c>
      <c r="K906">
        <v>1.5409999999999999</v>
      </c>
      <c r="L906">
        <f t="shared" si="57"/>
        <v>34.949292108499996</v>
      </c>
    </row>
    <row r="907" spans="1:12" x14ac:dyDescent="0.2">
      <c r="A907" s="4">
        <v>43437</v>
      </c>
      <c r="B907" t="s">
        <v>538</v>
      </c>
      <c r="C907">
        <v>1</v>
      </c>
      <c r="D907">
        <v>1</v>
      </c>
      <c r="E907">
        <v>50</v>
      </c>
      <c r="F907" t="s">
        <v>459</v>
      </c>
      <c r="G907" t="s">
        <v>859</v>
      </c>
      <c r="H907" s="9" t="s">
        <v>1071</v>
      </c>
      <c r="I907">
        <f t="shared" si="55"/>
        <v>50</v>
      </c>
      <c r="J907">
        <f t="shared" si="56"/>
        <v>22.6796185</v>
      </c>
      <c r="K907">
        <v>1.5409999999999999</v>
      </c>
      <c r="L907">
        <f t="shared" si="57"/>
        <v>34.949292108499996</v>
      </c>
    </row>
    <row r="908" spans="1:12" x14ac:dyDescent="0.2">
      <c r="A908" s="4">
        <v>43439</v>
      </c>
      <c r="B908" t="s">
        <v>538</v>
      </c>
      <c r="C908">
        <v>4</v>
      </c>
      <c r="D908">
        <v>1</v>
      </c>
      <c r="E908">
        <v>25</v>
      </c>
      <c r="F908" t="s">
        <v>424</v>
      </c>
      <c r="G908" t="s">
        <v>859</v>
      </c>
      <c r="H908" s="9" t="s">
        <v>1071</v>
      </c>
      <c r="I908">
        <f t="shared" si="55"/>
        <v>100</v>
      </c>
      <c r="J908">
        <f t="shared" si="56"/>
        <v>45.359237</v>
      </c>
      <c r="K908">
        <v>1.5409999999999999</v>
      </c>
      <c r="L908">
        <f t="shared" si="57"/>
        <v>69.898584216999993</v>
      </c>
    </row>
    <row r="909" spans="1:12" x14ac:dyDescent="0.2">
      <c r="A909" s="4">
        <v>43439</v>
      </c>
      <c r="B909" t="s">
        <v>538</v>
      </c>
      <c r="C909">
        <v>3</v>
      </c>
      <c r="D909">
        <v>1</v>
      </c>
      <c r="E909">
        <v>25</v>
      </c>
      <c r="F909" t="s">
        <v>452</v>
      </c>
      <c r="G909" t="s">
        <v>859</v>
      </c>
      <c r="H909" s="9" t="s">
        <v>1071</v>
      </c>
      <c r="I909">
        <f t="shared" si="55"/>
        <v>75</v>
      </c>
      <c r="J909">
        <f t="shared" si="56"/>
        <v>34.019427750000006</v>
      </c>
      <c r="K909">
        <v>1.5409999999999999</v>
      </c>
      <c r="L909">
        <f t="shared" si="57"/>
        <v>52.423938162750005</v>
      </c>
    </row>
    <row r="910" spans="1:12" x14ac:dyDescent="0.2">
      <c r="A910" s="4">
        <v>43439</v>
      </c>
      <c r="B910" t="s">
        <v>538</v>
      </c>
      <c r="C910">
        <v>1</v>
      </c>
      <c r="D910">
        <v>1</v>
      </c>
      <c r="E910">
        <v>50</v>
      </c>
      <c r="F910" t="s">
        <v>459</v>
      </c>
      <c r="G910" t="s">
        <v>859</v>
      </c>
      <c r="H910" s="9" t="s">
        <v>1071</v>
      </c>
      <c r="I910">
        <f t="shared" si="55"/>
        <v>50</v>
      </c>
      <c r="J910">
        <f t="shared" si="56"/>
        <v>22.6796185</v>
      </c>
      <c r="K910">
        <v>1.5409999999999999</v>
      </c>
      <c r="L910">
        <f t="shared" si="57"/>
        <v>34.949292108499996</v>
      </c>
    </row>
    <row r="911" spans="1:12" x14ac:dyDescent="0.2">
      <c r="A911" s="4">
        <v>43434</v>
      </c>
      <c r="B911" t="s">
        <v>538</v>
      </c>
      <c r="C911">
        <v>1</v>
      </c>
      <c r="D911">
        <v>4</v>
      </c>
      <c r="E911">
        <v>7.9</v>
      </c>
      <c r="F911" t="s">
        <v>550</v>
      </c>
      <c r="G911" t="s">
        <v>906</v>
      </c>
      <c r="H911" s="9" t="s">
        <v>1071</v>
      </c>
      <c r="I911">
        <f t="shared" si="55"/>
        <v>31.6</v>
      </c>
      <c r="J911">
        <f t="shared" si="56"/>
        <v>14.333518892000003</v>
      </c>
      <c r="K911">
        <v>2.3340000000000001</v>
      </c>
      <c r="L911">
        <f t="shared" si="57"/>
        <v>33.45443309392801</v>
      </c>
    </row>
    <row r="912" spans="1:12" x14ac:dyDescent="0.2">
      <c r="A912" s="4">
        <v>43371</v>
      </c>
      <c r="B912" t="s">
        <v>48</v>
      </c>
      <c r="C912">
        <v>2</v>
      </c>
      <c r="D912">
        <v>1</v>
      </c>
      <c r="E912">
        <f>4*4.54</f>
        <v>18.16</v>
      </c>
      <c r="F912" t="s">
        <v>216</v>
      </c>
      <c r="G912" t="s">
        <v>216</v>
      </c>
      <c r="H912" s="8" t="s">
        <v>1067</v>
      </c>
      <c r="I912">
        <f t="shared" si="55"/>
        <v>36.32</v>
      </c>
      <c r="J912">
        <f t="shared" si="56"/>
        <v>16.474474878400002</v>
      </c>
      <c r="K912">
        <v>0.27500000000000002</v>
      </c>
      <c r="L912" s="8">
        <f t="shared" si="57"/>
        <v>4.5304805915600008</v>
      </c>
    </row>
    <row r="913" spans="1:12" x14ac:dyDescent="0.2">
      <c r="A913" s="4">
        <v>43434</v>
      </c>
      <c r="B913" t="s">
        <v>517</v>
      </c>
      <c r="C913">
        <v>3</v>
      </c>
      <c r="D913">
        <v>1</v>
      </c>
      <c r="E913">
        <f>2.5*8.6</f>
        <v>21.5</v>
      </c>
      <c r="F913" t="s">
        <v>463</v>
      </c>
      <c r="G913" t="s">
        <v>933</v>
      </c>
      <c r="H913" s="9" t="s">
        <v>1071</v>
      </c>
      <c r="I913">
        <f t="shared" si="55"/>
        <v>64.5</v>
      </c>
      <c r="J913">
        <f t="shared" si="56"/>
        <v>29.256707864999999</v>
      </c>
      <c r="K913">
        <v>0.25800000000000001</v>
      </c>
      <c r="L913">
        <f t="shared" si="57"/>
        <v>7.5482306291699999</v>
      </c>
    </row>
    <row r="914" spans="1:12" x14ac:dyDescent="0.2">
      <c r="A914" s="4">
        <v>43434</v>
      </c>
      <c r="B914" t="s">
        <v>517</v>
      </c>
      <c r="C914">
        <v>3</v>
      </c>
      <c r="D914">
        <v>1</v>
      </c>
      <c r="E914">
        <f>2.5*8.6</f>
        <v>21.5</v>
      </c>
      <c r="F914" t="s">
        <v>464</v>
      </c>
      <c r="G914" t="s">
        <v>933</v>
      </c>
      <c r="H914" s="9" t="s">
        <v>1071</v>
      </c>
      <c r="I914">
        <f t="shared" si="55"/>
        <v>64.5</v>
      </c>
      <c r="J914">
        <f t="shared" si="56"/>
        <v>29.256707864999999</v>
      </c>
      <c r="K914">
        <v>0.25800000000000001</v>
      </c>
      <c r="L914">
        <f t="shared" si="57"/>
        <v>7.5482306291699999</v>
      </c>
    </row>
    <row r="915" spans="1:12" x14ac:dyDescent="0.2">
      <c r="A915" s="4">
        <v>43434</v>
      </c>
      <c r="B915" t="s">
        <v>517</v>
      </c>
      <c r="C915">
        <v>1</v>
      </c>
      <c r="D915">
        <v>12</v>
      </c>
      <c r="E915">
        <f>2</f>
        <v>2</v>
      </c>
      <c r="F915" t="s">
        <v>520</v>
      </c>
      <c r="G915" t="s">
        <v>933</v>
      </c>
      <c r="H915" s="9" t="s">
        <v>1071</v>
      </c>
      <c r="I915">
        <f t="shared" si="55"/>
        <v>24</v>
      </c>
      <c r="J915">
        <f t="shared" si="56"/>
        <v>10.886216880000001</v>
      </c>
      <c r="K915">
        <v>0.25800000000000001</v>
      </c>
      <c r="L915">
        <f t="shared" si="57"/>
        <v>2.8086439550400004</v>
      </c>
    </row>
    <row r="916" spans="1:12" x14ac:dyDescent="0.2">
      <c r="A916" s="4">
        <v>43437</v>
      </c>
      <c r="B916" t="s">
        <v>517</v>
      </c>
      <c r="C916">
        <v>2</v>
      </c>
      <c r="D916">
        <v>1</v>
      </c>
      <c r="E916">
        <f>2.5*8.6</f>
        <v>21.5</v>
      </c>
      <c r="F916" t="s">
        <v>463</v>
      </c>
      <c r="G916" t="s">
        <v>933</v>
      </c>
      <c r="H916" s="9" t="s">
        <v>1071</v>
      </c>
      <c r="I916">
        <f t="shared" si="55"/>
        <v>43</v>
      </c>
      <c r="J916">
        <f t="shared" si="56"/>
        <v>19.504471909999999</v>
      </c>
      <c r="K916">
        <v>0.25800000000000001</v>
      </c>
      <c r="L916">
        <f t="shared" si="57"/>
        <v>5.0321537527800002</v>
      </c>
    </row>
    <row r="917" spans="1:12" x14ac:dyDescent="0.2">
      <c r="A917" s="4">
        <v>43437</v>
      </c>
      <c r="B917" t="s">
        <v>517</v>
      </c>
      <c r="C917">
        <v>1</v>
      </c>
      <c r="D917">
        <v>1</v>
      </c>
      <c r="E917">
        <f>2.5*8.6</f>
        <v>21.5</v>
      </c>
      <c r="F917" t="s">
        <v>464</v>
      </c>
      <c r="G917" t="s">
        <v>933</v>
      </c>
      <c r="H917" s="9" t="s">
        <v>1071</v>
      </c>
      <c r="I917">
        <f t="shared" si="55"/>
        <v>21.5</v>
      </c>
      <c r="J917">
        <f t="shared" si="56"/>
        <v>9.7522359549999997</v>
      </c>
      <c r="K917">
        <v>0.25800000000000001</v>
      </c>
      <c r="L917">
        <f t="shared" si="57"/>
        <v>2.5160768763900001</v>
      </c>
    </row>
    <row r="918" spans="1:12" x14ac:dyDescent="0.2">
      <c r="A918" s="4">
        <v>43439</v>
      </c>
      <c r="B918" t="s">
        <v>517</v>
      </c>
      <c r="C918">
        <v>2</v>
      </c>
      <c r="D918">
        <v>1</v>
      </c>
      <c r="E918">
        <f>2.5*8.6</f>
        <v>21.5</v>
      </c>
      <c r="F918" t="s">
        <v>463</v>
      </c>
      <c r="G918" t="s">
        <v>933</v>
      </c>
      <c r="H918" s="9" t="s">
        <v>1071</v>
      </c>
      <c r="I918">
        <f t="shared" si="55"/>
        <v>43</v>
      </c>
      <c r="J918">
        <f t="shared" si="56"/>
        <v>19.504471909999999</v>
      </c>
      <c r="K918">
        <v>0.25800000000000001</v>
      </c>
      <c r="L918">
        <f t="shared" si="57"/>
        <v>5.0321537527800002</v>
      </c>
    </row>
    <row r="919" spans="1:12" x14ac:dyDescent="0.2">
      <c r="A919" s="4">
        <v>43439</v>
      </c>
      <c r="B919" t="s">
        <v>517</v>
      </c>
      <c r="C919">
        <v>2</v>
      </c>
      <c r="D919">
        <v>1</v>
      </c>
      <c r="E919">
        <f>2.5*8.6</f>
        <v>21.5</v>
      </c>
      <c r="F919" t="s">
        <v>464</v>
      </c>
      <c r="G919" t="s">
        <v>933</v>
      </c>
      <c r="H919" s="9" t="s">
        <v>1071</v>
      </c>
      <c r="I919">
        <f t="shared" si="55"/>
        <v>43</v>
      </c>
      <c r="J919">
        <f t="shared" si="56"/>
        <v>19.504471909999999</v>
      </c>
      <c r="K919">
        <v>0.25800000000000001</v>
      </c>
      <c r="L919">
        <f t="shared" si="57"/>
        <v>5.0321537527800002</v>
      </c>
    </row>
    <row r="920" spans="1:12" x14ac:dyDescent="0.2">
      <c r="A920" s="4">
        <v>43371</v>
      </c>
      <c r="B920" t="s">
        <v>48</v>
      </c>
      <c r="C920">
        <v>2</v>
      </c>
      <c r="D920">
        <v>1</v>
      </c>
      <c r="E920">
        <v>20</v>
      </c>
      <c r="F920" t="s">
        <v>82</v>
      </c>
      <c r="G920" t="s">
        <v>962</v>
      </c>
      <c r="H920" s="8" t="s">
        <v>1067</v>
      </c>
      <c r="I920">
        <f t="shared" si="55"/>
        <v>40</v>
      </c>
      <c r="J920">
        <f t="shared" si="56"/>
        <v>18.143694800000002</v>
      </c>
      <c r="K920">
        <v>1.1539999999999999</v>
      </c>
      <c r="L920" s="8">
        <f t="shared" si="57"/>
        <v>20.9378237992</v>
      </c>
    </row>
    <row r="921" spans="1:12" x14ac:dyDescent="0.2">
      <c r="A921" s="4">
        <v>43377</v>
      </c>
      <c r="B921" t="s">
        <v>48</v>
      </c>
      <c r="C921" s="28">
        <v>1</v>
      </c>
      <c r="D921">
        <v>1</v>
      </c>
      <c r="E921">
        <v>20</v>
      </c>
      <c r="F921" t="s">
        <v>250</v>
      </c>
      <c r="G921" t="s">
        <v>962</v>
      </c>
      <c r="H921" s="8" t="s">
        <v>1067</v>
      </c>
      <c r="I921">
        <f t="shared" si="55"/>
        <v>20</v>
      </c>
      <c r="J921">
        <f t="shared" si="56"/>
        <v>9.0718474000000011</v>
      </c>
      <c r="K921">
        <v>1.1539999999999999</v>
      </c>
      <c r="L921" s="8">
        <f t="shared" si="57"/>
        <v>10.4689118996</v>
      </c>
    </row>
    <row r="922" spans="1:12" x14ac:dyDescent="0.2">
      <c r="A922" s="4">
        <v>43437</v>
      </c>
      <c r="B922" t="s">
        <v>538</v>
      </c>
      <c r="C922">
        <v>3</v>
      </c>
      <c r="D922">
        <v>6</v>
      </c>
      <c r="E922">
        <f>14/16</f>
        <v>0.875</v>
      </c>
      <c r="F922" t="s">
        <v>581</v>
      </c>
      <c r="G922" t="s">
        <v>869</v>
      </c>
      <c r="H922" s="9" t="s">
        <v>1071</v>
      </c>
      <c r="I922">
        <f t="shared" si="55"/>
        <v>15.75</v>
      </c>
      <c r="J922">
        <f t="shared" si="56"/>
        <v>7.1440798275000006</v>
      </c>
      <c r="K922">
        <v>0.87</v>
      </c>
      <c r="L922">
        <f t="shared" si="57"/>
        <v>6.2153494499250002</v>
      </c>
    </row>
    <row r="923" spans="1:12" x14ac:dyDescent="0.2">
      <c r="A923" s="4">
        <v>43437</v>
      </c>
      <c r="B923" t="s">
        <v>538</v>
      </c>
      <c r="C923">
        <v>3</v>
      </c>
      <c r="D923">
        <v>6</v>
      </c>
      <c r="E923">
        <v>1</v>
      </c>
      <c r="F923" t="s">
        <v>582</v>
      </c>
      <c r="G923" t="s">
        <v>869</v>
      </c>
      <c r="H923" s="9" t="s">
        <v>1071</v>
      </c>
      <c r="I923">
        <f t="shared" si="55"/>
        <v>18</v>
      </c>
      <c r="J923">
        <f t="shared" si="56"/>
        <v>8.1646626599999994</v>
      </c>
      <c r="K923">
        <v>0.87</v>
      </c>
      <c r="L923">
        <f t="shared" si="57"/>
        <v>7.103256514199999</v>
      </c>
    </row>
    <row r="924" spans="1:12" x14ac:dyDescent="0.2">
      <c r="A924" s="4">
        <v>43439</v>
      </c>
      <c r="B924" t="s">
        <v>538</v>
      </c>
      <c r="C924">
        <v>3</v>
      </c>
      <c r="D924">
        <v>6</v>
      </c>
      <c r="E924">
        <f>18/16</f>
        <v>1.125</v>
      </c>
      <c r="F924" t="s">
        <v>597</v>
      </c>
      <c r="G924" t="s">
        <v>869</v>
      </c>
      <c r="H924" s="9" t="s">
        <v>1071</v>
      </c>
      <c r="I924">
        <f t="shared" si="55"/>
        <v>20.25</v>
      </c>
      <c r="J924">
        <f t="shared" si="56"/>
        <v>9.1852454925</v>
      </c>
      <c r="K924">
        <v>0.87</v>
      </c>
      <c r="L924">
        <f t="shared" si="57"/>
        <v>7.9911635784749997</v>
      </c>
    </row>
    <row r="925" spans="1:12" x14ac:dyDescent="0.2">
      <c r="A925" s="4">
        <v>43439</v>
      </c>
      <c r="B925" t="s">
        <v>538</v>
      </c>
      <c r="C925">
        <v>3</v>
      </c>
      <c r="D925">
        <v>6</v>
      </c>
      <c r="E925">
        <f>14/16</f>
        <v>0.875</v>
      </c>
      <c r="F925" t="s">
        <v>581</v>
      </c>
      <c r="G925" t="s">
        <v>869</v>
      </c>
      <c r="H925" s="9" t="s">
        <v>1071</v>
      </c>
      <c r="I925">
        <f t="shared" si="55"/>
        <v>15.75</v>
      </c>
      <c r="J925">
        <f t="shared" si="56"/>
        <v>7.1440798275000006</v>
      </c>
      <c r="K925">
        <v>0.87</v>
      </c>
      <c r="L925">
        <f t="shared" si="57"/>
        <v>6.2153494499250002</v>
      </c>
    </row>
    <row r="926" spans="1:12" x14ac:dyDescent="0.2">
      <c r="A926" s="4">
        <v>43439</v>
      </c>
      <c r="B926" t="s">
        <v>538</v>
      </c>
      <c r="C926">
        <v>1</v>
      </c>
      <c r="D926">
        <v>3</v>
      </c>
      <c r="E926">
        <v>7.25</v>
      </c>
      <c r="F926" t="s">
        <v>554</v>
      </c>
      <c r="G926" t="s">
        <v>869</v>
      </c>
      <c r="H926" s="9" t="s">
        <v>1071</v>
      </c>
      <c r="I926">
        <f t="shared" si="55"/>
        <v>21.75</v>
      </c>
      <c r="J926">
        <f t="shared" si="56"/>
        <v>9.8656340475000004</v>
      </c>
      <c r="K926">
        <v>0.87</v>
      </c>
      <c r="L926">
        <f t="shared" si="57"/>
        <v>8.5831016213249995</v>
      </c>
    </row>
    <row r="927" spans="1:12" x14ac:dyDescent="0.2">
      <c r="A927" s="4">
        <v>43439</v>
      </c>
      <c r="B927" t="s">
        <v>538</v>
      </c>
      <c r="C927">
        <v>3</v>
      </c>
      <c r="D927">
        <v>6</v>
      </c>
      <c r="E927">
        <f>20/16</f>
        <v>1.25</v>
      </c>
      <c r="F927" t="s">
        <v>598</v>
      </c>
      <c r="G927" t="s">
        <v>869</v>
      </c>
      <c r="H927" s="9" t="s">
        <v>1071</v>
      </c>
      <c r="I927">
        <f t="shared" si="55"/>
        <v>22.5</v>
      </c>
      <c r="J927">
        <f t="shared" si="56"/>
        <v>10.205828325000001</v>
      </c>
      <c r="K927">
        <v>0.87</v>
      </c>
      <c r="L927">
        <f t="shared" si="57"/>
        <v>8.8790706427500012</v>
      </c>
    </row>
    <row r="928" spans="1:12" x14ac:dyDescent="0.2">
      <c r="A928" s="4">
        <v>43372</v>
      </c>
      <c r="B928" t="s">
        <v>48</v>
      </c>
      <c r="C928">
        <v>1</v>
      </c>
      <c r="D928">
        <v>1</v>
      </c>
      <c r="E928">
        <v>1.25</v>
      </c>
      <c r="F928" t="s">
        <v>226</v>
      </c>
      <c r="G928" t="s">
        <v>907</v>
      </c>
      <c r="H928" s="8" t="s">
        <v>1067</v>
      </c>
      <c r="I928">
        <f t="shared" si="55"/>
        <v>1.25</v>
      </c>
      <c r="J928">
        <f t="shared" si="56"/>
        <v>0.56699046250000007</v>
      </c>
      <c r="K928">
        <v>0.87</v>
      </c>
      <c r="L928" s="8">
        <f t="shared" si="57"/>
        <v>0.49328170237500008</v>
      </c>
    </row>
    <row r="929" spans="1:12" x14ac:dyDescent="0.2">
      <c r="A929" s="4">
        <v>43372</v>
      </c>
      <c r="B929" t="s">
        <v>48</v>
      </c>
      <c r="C929">
        <v>2</v>
      </c>
      <c r="D929">
        <v>1</v>
      </c>
      <c r="E929">
        <v>1</v>
      </c>
      <c r="F929" t="s">
        <v>191</v>
      </c>
      <c r="G929" t="s">
        <v>907</v>
      </c>
      <c r="H929" s="8" t="s">
        <v>1067</v>
      </c>
      <c r="I929">
        <f t="shared" si="55"/>
        <v>2</v>
      </c>
      <c r="J929">
        <f t="shared" si="56"/>
        <v>0.90718474000000004</v>
      </c>
      <c r="K929">
        <v>0.87</v>
      </c>
      <c r="L929" s="8">
        <f t="shared" si="57"/>
        <v>0.78925072380000005</v>
      </c>
    </row>
    <row r="930" spans="1:12" x14ac:dyDescent="0.2">
      <c r="A930" s="4">
        <v>43376</v>
      </c>
      <c r="B930" t="s">
        <v>48</v>
      </c>
      <c r="C930">
        <v>1</v>
      </c>
      <c r="D930">
        <v>1</v>
      </c>
      <c r="E930">
        <v>5</v>
      </c>
      <c r="F930" t="s">
        <v>247</v>
      </c>
      <c r="G930" t="s">
        <v>907</v>
      </c>
      <c r="H930" s="8" t="s">
        <v>1067</v>
      </c>
      <c r="I930">
        <f t="shared" si="55"/>
        <v>5</v>
      </c>
      <c r="J930">
        <f t="shared" si="56"/>
        <v>2.2679618500000003</v>
      </c>
      <c r="K930">
        <v>0.87</v>
      </c>
      <c r="L930" s="8">
        <f t="shared" si="57"/>
        <v>1.9731268095000003</v>
      </c>
    </row>
    <row r="931" spans="1:12" x14ac:dyDescent="0.2">
      <c r="A931" s="4">
        <v>43434</v>
      </c>
      <c r="B931" t="s">
        <v>538</v>
      </c>
      <c r="C931">
        <v>2</v>
      </c>
      <c r="D931">
        <v>6</v>
      </c>
      <c r="E931">
        <f>18/16</f>
        <v>1.125</v>
      </c>
      <c r="F931" t="s">
        <v>552</v>
      </c>
      <c r="G931" t="s">
        <v>907</v>
      </c>
      <c r="H931" s="9" t="s">
        <v>1071</v>
      </c>
      <c r="I931">
        <f t="shared" si="55"/>
        <v>13.5</v>
      </c>
      <c r="J931">
        <f t="shared" si="56"/>
        <v>6.1234969950000009</v>
      </c>
      <c r="K931">
        <v>0.87</v>
      </c>
      <c r="L931">
        <f t="shared" si="57"/>
        <v>5.3274423856500004</v>
      </c>
    </row>
    <row r="932" spans="1:12" x14ac:dyDescent="0.2">
      <c r="A932" s="4">
        <v>43434</v>
      </c>
      <c r="B932" t="s">
        <v>538</v>
      </c>
      <c r="C932">
        <v>1</v>
      </c>
      <c r="D932">
        <v>6</v>
      </c>
      <c r="E932">
        <v>1</v>
      </c>
      <c r="F932" t="s">
        <v>553</v>
      </c>
      <c r="G932" t="s">
        <v>907</v>
      </c>
      <c r="H932" s="9" t="s">
        <v>1071</v>
      </c>
      <c r="I932">
        <f t="shared" si="55"/>
        <v>6</v>
      </c>
      <c r="J932">
        <f t="shared" si="56"/>
        <v>2.7215542200000002</v>
      </c>
      <c r="K932">
        <v>0.87</v>
      </c>
      <c r="L932">
        <f t="shared" si="57"/>
        <v>2.3677521714000003</v>
      </c>
    </row>
    <row r="933" spans="1:12" x14ac:dyDescent="0.2">
      <c r="A933" s="4">
        <v>43434</v>
      </c>
      <c r="B933" t="s">
        <v>538</v>
      </c>
      <c r="C933">
        <v>1</v>
      </c>
      <c r="D933">
        <v>3</v>
      </c>
      <c r="E933">
        <v>7.25</v>
      </c>
      <c r="F933" t="s">
        <v>554</v>
      </c>
      <c r="G933" t="s">
        <v>907</v>
      </c>
      <c r="H933" s="9" t="s">
        <v>1071</v>
      </c>
      <c r="I933">
        <f t="shared" si="55"/>
        <v>21.75</v>
      </c>
      <c r="J933">
        <f t="shared" si="56"/>
        <v>9.8656340475000004</v>
      </c>
      <c r="K933">
        <v>0.87</v>
      </c>
      <c r="L933">
        <f t="shared" si="57"/>
        <v>8.5831016213249995</v>
      </c>
    </row>
    <row r="934" spans="1:12" x14ac:dyDescent="0.2">
      <c r="A934" s="4">
        <v>43434</v>
      </c>
      <c r="B934" t="s">
        <v>538</v>
      </c>
      <c r="C934">
        <v>1</v>
      </c>
      <c r="D934">
        <v>12</v>
      </c>
      <c r="E934">
        <v>3</v>
      </c>
      <c r="F934" t="s">
        <v>451</v>
      </c>
      <c r="G934" t="s">
        <v>907</v>
      </c>
      <c r="H934" s="9" t="s">
        <v>1071</v>
      </c>
      <c r="I934">
        <f t="shared" si="55"/>
        <v>36</v>
      </c>
      <c r="J934">
        <f t="shared" si="56"/>
        <v>16.329325319999999</v>
      </c>
      <c r="K934">
        <v>0.87</v>
      </c>
      <c r="L934">
        <f t="shared" si="57"/>
        <v>14.206513028399998</v>
      </c>
    </row>
    <row r="935" spans="1:12" x14ac:dyDescent="0.2">
      <c r="A935" s="4">
        <v>43434</v>
      </c>
      <c r="B935" t="s">
        <v>538</v>
      </c>
      <c r="C935">
        <v>2</v>
      </c>
      <c r="D935">
        <v>6</v>
      </c>
      <c r="E935">
        <f>24/16</f>
        <v>1.5</v>
      </c>
      <c r="F935" t="s">
        <v>562</v>
      </c>
      <c r="G935" t="s">
        <v>907</v>
      </c>
      <c r="H935" s="9" t="s">
        <v>1071</v>
      </c>
      <c r="I935">
        <f t="shared" si="55"/>
        <v>18</v>
      </c>
      <c r="J935">
        <f t="shared" si="56"/>
        <v>8.1646626599999994</v>
      </c>
      <c r="K935">
        <v>0.87</v>
      </c>
      <c r="L935">
        <f t="shared" si="57"/>
        <v>7.103256514199999</v>
      </c>
    </row>
    <row r="936" spans="1:12" x14ac:dyDescent="0.2">
      <c r="A936" s="4">
        <v>43434</v>
      </c>
      <c r="B936" t="s">
        <v>538</v>
      </c>
      <c r="C936">
        <v>1</v>
      </c>
      <c r="D936">
        <v>6</v>
      </c>
      <c r="E936">
        <f>6.25/16</f>
        <v>0.390625</v>
      </c>
      <c r="F936" t="s">
        <v>567</v>
      </c>
      <c r="G936" t="s">
        <v>907</v>
      </c>
      <c r="H936" s="9" t="s">
        <v>1071</v>
      </c>
      <c r="I936">
        <f t="shared" si="55"/>
        <v>2.34375</v>
      </c>
      <c r="J936">
        <f t="shared" si="56"/>
        <v>1.0631071171875002</v>
      </c>
      <c r="K936">
        <v>0.87</v>
      </c>
      <c r="L936">
        <f t="shared" si="57"/>
        <v>0.92490319195312509</v>
      </c>
    </row>
    <row r="937" spans="1:12" x14ac:dyDescent="0.2">
      <c r="A937" s="4">
        <v>43437</v>
      </c>
      <c r="B937" t="s">
        <v>538</v>
      </c>
      <c r="C937">
        <v>2</v>
      </c>
      <c r="D937">
        <v>6</v>
      </c>
      <c r="E937">
        <f>18/16</f>
        <v>1.125</v>
      </c>
      <c r="F937" t="s">
        <v>583</v>
      </c>
      <c r="G937" t="s">
        <v>907</v>
      </c>
      <c r="H937" s="9" t="s">
        <v>1071</v>
      </c>
      <c r="I937">
        <f t="shared" si="55"/>
        <v>13.5</v>
      </c>
      <c r="J937">
        <f t="shared" si="56"/>
        <v>6.1234969950000009</v>
      </c>
      <c r="K937">
        <v>0.87</v>
      </c>
      <c r="L937">
        <f t="shared" si="57"/>
        <v>5.3274423856500004</v>
      </c>
    </row>
    <row r="938" spans="1:12" x14ac:dyDescent="0.2">
      <c r="A938" s="4">
        <v>43437</v>
      </c>
      <c r="B938" t="s">
        <v>538</v>
      </c>
      <c r="C938">
        <v>1</v>
      </c>
      <c r="D938">
        <v>12</v>
      </c>
      <c r="E938">
        <v>3</v>
      </c>
      <c r="F938" t="s">
        <v>451</v>
      </c>
      <c r="G938" t="s">
        <v>907</v>
      </c>
      <c r="H938" s="9" t="s">
        <v>1071</v>
      </c>
      <c r="I938">
        <f t="shared" si="55"/>
        <v>36</v>
      </c>
      <c r="J938">
        <f t="shared" si="56"/>
        <v>16.329325319999999</v>
      </c>
      <c r="K938">
        <v>0.87</v>
      </c>
      <c r="L938">
        <f t="shared" si="57"/>
        <v>14.206513028399998</v>
      </c>
    </row>
    <row r="939" spans="1:12" x14ac:dyDescent="0.2">
      <c r="A939" s="4">
        <v>43439</v>
      </c>
      <c r="B939" t="s">
        <v>538</v>
      </c>
      <c r="C939">
        <v>2</v>
      </c>
      <c r="D939">
        <v>12</v>
      </c>
      <c r="E939">
        <v>3</v>
      </c>
      <c r="F939" t="s">
        <v>451</v>
      </c>
      <c r="G939" t="s">
        <v>907</v>
      </c>
      <c r="H939" s="9" t="s">
        <v>1071</v>
      </c>
      <c r="I939">
        <f t="shared" si="55"/>
        <v>72</v>
      </c>
      <c r="J939">
        <f t="shared" si="56"/>
        <v>32.658650639999998</v>
      </c>
      <c r="K939">
        <v>0.87</v>
      </c>
      <c r="L939">
        <f t="shared" si="57"/>
        <v>28.413026056799996</v>
      </c>
    </row>
    <row r="940" spans="1:12" x14ac:dyDescent="0.2">
      <c r="A940" s="4">
        <v>43372</v>
      </c>
      <c r="B940" t="s">
        <v>48</v>
      </c>
      <c r="C940">
        <v>4</v>
      </c>
      <c r="D940">
        <v>1</v>
      </c>
      <c r="E940">
        <f>4*2.5</f>
        <v>10</v>
      </c>
      <c r="F940" t="s">
        <v>73</v>
      </c>
      <c r="G940" t="s">
        <v>763</v>
      </c>
      <c r="H940" s="8" t="s">
        <v>1067</v>
      </c>
      <c r="I940">
        <f t="shared" si="55"/>
        <v>40</v>
      </c>
      <c r="J940">
        <f t="shared" si="56"/>
        <v>18.143694800000002</v>
      </c>
      <c r="K940">
        <v>0.307</v>
      </c>
      <c r="L940" s="8">
        <f t="shared" si="57"/>
        <v>5.5701143036000005</v>
      </c>
    </row>
    <row r="941" spans="1:12" x14ac:dyDescent="0.2">
      <c r="A941" s="4">
        <v>43371</v>
      </c>
      <c r="B941" t="s">
        <v>48</v>
      </c>
      <c r="C941">
        <v>6</v>
      </c>
      <c r="D941">
        <v>1</v>
      </c>
      <c r="E941">
        <f>4*2.5</f>
        <v>10</v>
      </c>
      <c r="F941" t="s">
        <v>73</v>
      </c>
      <c r="G941" t="s">
        <v>763</v>
      </c>
      <c r="H941" s="8" t="s">
        <v>1067</v>
      </c>
      <c r="I941">
        <f t="shared" si="55"/>
        <v>60</v>
      </c>
      <c r="J941">
        <f t="shared" si="56"/>
        <v>27.215542200000002</v>
      </c>
      <c r="K941">
        <v>0.307</v>
      </c>
      <c r="L941" s="8">
        <f t="shared" si="57"/>
        <v>8.3551714554000007</v>
      </c>
    </row>
    <row r="942" spans="1:12" x14ac:dyDescent="0.2">
      <c r="A942" s="4">
        <v>43374</v>
      </c>
      <c r="B942" t="s">
        <v>48</v>
      </c>
      <c r="C942">
        <v>3</v>
      </c>
      <c r="D942">
        <v>1</v>
      </c>
      <c r="E942">
        <f>4*2.5</f>
        <v>10</v>
      </c>
      <c r="F942" t="s">
        <v>73</v>
      </c>
      <c r="G942" t="s">
        <v>763</v>
      </c>
      <c r="H942" s="8" t="s">
        <v>1067</v>
      </c>
      <c r="I942">
        <f t="shared" si="55"/>
        <v>30</v>
      </c>
      <c r="J942">
        <f t="shared" si="56"/>
        <v>13.607771100000001</v>
      </c>
      <c r="K942">
        <v>0.307</v>
      </c>
      <c r="L942" s="8">
        <f t="shared" si="57"/>
        <v>4.1775857277000004</v>
      </c>
    </row>
    <row r="943" spans="1:12" x14ac:dyDescent="0.2">
      <c r="A943" s="4">
        <v>43376</v>
      </c>
      <c r="B943" t="s">
        <v>48</v>
      </c>
      <c r="C943">
        <v>3</v>
      </c>
      <c r="D943">
        <v>1</v>
      </c>
      <c r="E943">
        <f>4*2.5</f>
        <v>10</v>
      </c>
      <c r="F943" t="s">
        <v>73</v>
      </c>
      <c r="G943" t="s">
        <v>763</v>
      </c>
      <c r="H943" s="8" t="s">
        <v>1067</v>
      </c>
      <c r="I943">
        <f t="shared" si="55"/>
        <v>30</v>
      </c>
      <c r="J943">
        <f t="shared" si="56"/>
        <v>13.607771100000001</v>
      </c>
      <c r="K943">
        <v>0.307</v>
      </c>
      <c r="L943" s="8">
        <f t="shared" si="57"/>
        <v>4.1775857277000004</v>
      </c>
    </row>
    <row r="944" spans="1:12" x14ac:dyDescent="0.2">
      <c r="A944" s="4">
        <v>43371</v>
      </c>
      <c r="B944" t="s">
        <v>48</v>
      </c>
      <c r="C944">
        <v>3</v>
      </c>
      <c r="D944">
        <v>1</v>
      </c>
      <c r="E944">
        <f>3/4*44</f>
        <v>33</v>
      </c>
      <c r="F944" t="s">
        <v>99</v>
      </c>
      <c r="G944" t="s">
        <v>765</v>
      </c>
      <c r="H944" s="8" t="s">
        <v>1067</v>
      </c>
      <c r="I944">
        <f t="shared" si="55"/>
        <v>99</v>
      </c>
      <c r="J944">
        <f t="shared" si="56"/>
        <v>44.905644630000005</v>
      </c>
      <c r="K944">
        <v>1.2290000000000001</v>
      </c>
      <c r="L944" s="8">
        <f t="shared" si="57"/>
        <v>55.189037250270012</v>
      </c>
    </row>
    <row r="945" spans="1:12" x14ac:dyDescent="0.2">
      <c r="A945" s="4">
        <v>43371</v>
      </c>
      <c r="B945" t="s">
        <v>48</v>
      </c>
      <c r="C945">
        <v>3</v>
      </c>
      <c r="D945">
        <v>1</v>
      </c>
      <c r="E945">
        <f>1/2*44</f>
        <v>22</v>
      </c>
      <c r="F945" t="s">
        <v>100</v>
      </c>
      <c r="G945" t="s">
        <v>765</v>
      </c>
      <c r="H945" s="8" t="s">
        <v>1067</v>
      </c>
      <c r="I945">
        <f t="shared" si="55"/>
        <v>66</v>
      </c>
      <c r="J945">
        <f t="shared" si="56"/>
        <v>29.937096420000003</v>
      </c>
      <c r="K945">
        <v>1.2290000000000001</v>
      </c>
      <c r="L945" s="8">
        <f t="shared" si="57"/>
        <v>36.792691500180005</v>
      </c>
    </row>
    <row r="946" spans="1:12" x14ac:dyDescent="0.2">
      <c r="A946" s="4">
        <v>43371</v>
      </c>
      <c r="B946" t="s">
        <v>48</v>
      </c>
      <c r="C946">
        <v>2</v>
      </c>
      <c r="D946">
        <v>1</v>
      </c>
      <c r="E946">
        <f>10/9*44</f>
        <v>48.888888888888893</v>
      </c>
      <c r="F946" t="s">
        <v>99</v>
      </c>
      <c r="G946" t="s">
        <v>765</v>
      </c>
      <c r="H946" s="8" t="s">
        <v>1067</v>
      </c>
      <c r="I946">
        <f t="shared" si="55"/>
        <v>97.777777777777786</v>
      </c>
      <c r="J946">
        <f t="shared" si="56"/>
        <v>44.351253955555563</v>
      </c>
      <c r="K946">
        <v>1.2290000000000001</v>
      </c>
      <c r="L946" s="8">
        <f t="shared" si="57"/>
        <v>54.507691111377788</v>
      </c>
    </row>
    <row r="947" spans="1:12" x14ac:dyDescent="0.2">
      <c r="A947" s="4">
        <v>43371</v>
      </c>
      <c r="B947" t="s">
        <v>48</v>
      </c>
      <c r="C947">
        <v>2</v>
      </c>
      <c r="D947">
        <v>1</v>
      </c>
      <c r="E947">
        <f>1/2*44</f>
        <v>22</v>
      </c>
      <c r="F947" t="s">
        <v>100</v>
      </c>
      <c r="G947" t="s">
        <v>765</v>
      </c>
      <c r="H947" s="8" t="s">
        <v>1067</v>
      </c>
      <c r="I947">
        <f t="shared" si="55"/>
        <v>44</v>
      </c>
      <c r="J947">
        <f t="shared" si="56"/>
        <v>19.958064280000002</v>
      </c>
      <c r="K947">
        <v>1.2290000000000001</v>
      </c>
      <c r="L947" s="8">
        <f t="shared" si="57"/>
        <v>24.528461000120004</v>
      </c>
    </row>
    <row r="948" spans="1:12" x14ac:dyDescent="0.2">
      <c r="A948" s="4">
        <v>43374</v>
      </c>
      <c r="B948" t="s">
        <v>48</v>
      </c>
      <c r="C948">
        <v>2</v>
      </c>
      <c r="D948">
        <v>1</v>
      </c>
      <c r="E948">
        <v>20</v>
      </c>
      <c r="F948" t="s">
        <v>235</v>
      </c>
      <c r="G948" t="s">
        <v>765</v>
      </c>
      <c r="H948" s="8" t="s">
        <v>1067</v>
      </c>
      <c r="I948">
        <f t="shared" si="55"/>
        <v>40</v>
      </c>
      <c r="J948">
        <f t="shared" si="56"/>
        <v>18.143694800000002</v>
      </c>
      <c r="K948">
        <v>1.2290000000000001</v>
      </c>
      <c r="L948" s="8">
        <f t="shared" si="57"/>
        <v>22.298600909200005</v>
      </c>
    </row>
    <row r="949" spans="1:12" x14ac:dyDescent="0.2">
      <c r="A949" s="4">
        <v>43376</v>
      </c>
      <c r="B949" t="s">
        <v>48</v>
      </c>
      <c r="C949">
        <v>2</v>
      </c>
      <c r="D949">
        <v>1</v>
      </c>
      <c r="E949">
        <v>20</v>
      </c>
      <c r="F949" t="s">
        <v>242</v>
      </c>
      <c r="G949" t="s">
        <v>765</v>
      </c>
      <c r="H949" s="8" t="s">
        <v>1067</v>
      </c>
      <c r="I949">
        <f t="shared" si="55"/>
        <v>40</v>
      </c>
      <c r="J949">
        <f t="shared" si="56"/>
        <v>18.143694800000002</v>
      </c>
      <c r="K949">
        <v>1.2290000000000001</v>
      </c>
      <c r="L949" s="8">
        <f t="shared" si="57"/>
        <v>22.298600909200005</v>
      </c>
    </row>
    <row r="950" spans="1:12" x14ac:dyDescent="0.2">
      <c r="A950" s="4">
        <v>43376</v>
      </c>
      <c r="B950" t="s">
        <v>48</v>
      </c>
      <c r="C950">
        <v>4</v>
      </c>
      <c r="D950">
        <v>1</v>
      </c>
      <c r="E950">
        <v>20</v>
      </c>
      <c r="F950" t="s">
        <v>243</v>
      </c>
      <c r="G950" t="s">
        <v>765</v>
      </c>
      <c r="H950" s="8" t="s">
        <v>1067</v>
      </c>
      <c r="I950">
        <f t="shared" si="55"/>
        <v>80</v>
      </c>
      <c r="J950">
        <f t="shared" si="56"/>
        <v>36.287389600000004</v>
      </c>
      <c r="K950">
        <v>1.2290000000000001</v>
      </c>
      <c r="L950" s="8">
        <f t="shared" si="57"/>
        <v>44.597201818400009</v>
      </c>
    </row>
    <row r="951" spans="1:12" x14ac:dyDescent="0.2">
      <c r="A951" s="4">
        <v>43377</v>
      </c>
      <c r="B951" t="s">
        <v>48</v>
      </c>
      <c r="C951" s="28">
        <v>3</v>
      </c>
      <c r="D951">
        <v>1</v>
      </c>
      <c r="E951">
        <f>3/4*44</f>
        <v>33</v>
      </c>
      <c r="F951" t="s">
        <v>275</v>
      </c>
      <c r="G951" t="s">
        <v>796</v>
      </c>
      <c r="H951" s="8" t="s">
        <v>1067</v>
      </c>
      <c r="I951">
        <f t="shared" si="55"/>
        <v>99</v>
      </c>
      <c r="J951">
        <f t="shared" si="56"/>
        <v>44.905644630000005</v>
      </c>
      <c r="K951">
        <v>1.2290000000000001</v>
      </c>
      <c r="L951" s="8">
        <f t="shared" si="57"/>
        <v>55.189037250270012</v>
      </c>
    </row>
    <row r="952" spans="1:12" x14ac:dyDescent="0.2">
      <c r="A952" s="4">
        <v>43377</v>
      </c>
      <c r="B952" t="s">
        <v>48</v>
      </c>
      <c r="C952" s="28">
        <v>2</v>
      </c>
      <c r="D952">
        <v>1</v>
      </c>
      <c r="E952">
        <f>1/2*44</f>
        <v>22</v>
      </c>
      <c r="F952" t="s">
        <v>276</v>
      </c>
      <c r="G952" t="s">
        <v>796</v>
      </c>
      <c r="H952" s="8" t="s">
        <v>1067</v>
      </c>
      <c r="I952">
        <f t="shared" si="55"/>
        <v>44</v>
      </c>
      <c r="J952">
        <f t="shared" si="56"/>
        <v>19.958064280000002</v>
      </c>
      <c r="K952">
        <v>1.2290000000000001</v>
      </c>
      <c r="L952" s="8">
        <f t="shared" si="57"/>
        <v>24.528461000120004</v>
      </c>
    </row>
    <row r="953" spans="1:12" x14ac:dyDescent="0.2">
      <c r="A953" s="4">
        <v>43371</v>
      </c>
      <c r="B953" t="s">
        <v>48</v>
      </c>
      <c r="C953">
        <v>10</v>
      </c>
      <c r="D953">
        <v>1</v>
      </c>
      <c r="E953">
        <v>8</v>
      </c>
      <c r="F953" t="s">
        <v>214</v>
      </c>
      <c r="G953" t="s">
        <v>248</v>
      </c>
      <c r="H953" s="8" t="s">
        <v>1067</v>
      </c>
      <c r="I953">
        <f t="shared" si="55"/>
        <v>80</v>
      </c>
      <c r="J953">
        <f t="shared" si="56"/>
        <v>36.287389600000004</v>
      </c>
      <c r="K953">
        <v>0.61399999999999999</v>
      </c>
      <c r="L953" s="8">
        <f t="shared" si="57"/>
        <v>22.280457214400002</v>
      </c>
    </row>
    <row r="954" spans="1:12" x14ac:dyDescent="0.2">
      <c r="A954" s="4">
        <v>43374</v>
      </c>
      <c r="B954" t="s">
        <v>48</v>
      </c>
      <c r="C954">
        <v>6</v>
      </c>
      <c r="D954">
        <v>1</v>
      </c>
      <c r="E954">
        <v>8</v>
      </c>
      <c r="F954" t="s">
        <v>214</v>
      </c>
      <c r="G954" t="s">
        <v>248</v>
      </c>
      <c r="H954" s="8" t="s">
        <v>1067</v>
      </c>
      <c r="I954">
        <f t="shared" si="55"/>
        <v>48</v>
      </c>
      <c r="J954">
        <f t="shared" si="56"/>
        <v>21.772433760000002</v>
      </c>
      <c r="K954">
        <v>0.61399999999999999</v>
      </c>
      <c r="L954" s="8">
        <f t="shared" si="57"/>
        <v>13.368274328640002</v>
      </c>
    </row>
    <row r="955" spans="1:12" x14ac:dyDescent="0.2">
      <c r="A955" s="4">
        <v>43376</v>
      </c>
      <c r="B955" t="s">
        <v>48</v>
      </c>
      <c r="C955">
        <v>4</v>
      </c>
      <c r="D955">
        <v>1</v>
      </c>
      <c r="E955">
        <v>8</v>
      </c>
      <c r="F955" t="s">
        <v>248</v>
      </c>
      <c r="G955" t="s">
        <v>248</v>
      </c>
      <c r="H955" s="8" t="s">
        <v>1067</v>
      </c>
      <c r="I955">
        <f t="shared" si="55"/>
        <v>32</v>
      </c>
      <c r="J955">
        <f t="shared" si="56"/>
        <v>14.514955840000001</v>
      </c>
      <c r="K955">
        <v>0.61399999999999999</v>
      </c>
      <c r="L955" s="8">
        <f t="shared" si="57"/>
        <v>8.9121828857600001</v>
      </c>
    </row>
    <row r="956" spans="1:12" x14ac:dyDescent="0.2">
      <c r="A956" s="4">
        <v>43377</v>
      </c>
      <c r="B956" t="s">
        <v>48</v>
      </c>
      <c r="C956" s="28">
        <v>6</v>
      </c>
      <c r="D956">
        <v>1</v>
      </c>
      <c r="E956">
        <v>8</v>
      </c>
      <c r="F956" t="s">
        <v>277</v>
      </c>
      <c r="G956" t="s">
        <v>797</v>
      </c>
      <c r="H956" s="8" t="s">
        <v>1067</v>
      </c>
      <c r="I956">
        <f t="shared" si="55"/>
        <v>48</v>
      </c>
      <c r="J956">
        <f t="shared" si="56"/>
        <v>21.772433760000002</v>
      </c>
      <c r="K956">
        <v>0.61399999999999999</v>
      </c>
      <c r="L956" s="8">
        <f t="shared" si="57"/>
        <v>13.368274328640002</v>
      </c>
    </row>
    <row r="957" spans="1:12" x14ac:dyDescent="0.2">
      <c r="A957" s="4">
        <v>43372</v>
      </c>
      <c r="B957" t="s">
        <v>48</v>
      </c>
      <c r="C957">
        <v>1</v>
      </c>
      <c r="D957">
        <v>1</v>
      </c>
      <c r="E957">
        <f>180/16</f>
        <v>11.25</v>
      </c>
      <c r="F957" t="s">
        <v>190</v>
      </c>
      <c r="G957" t="s">
        <v>190</v>
      </c>
      <c r="H957" s="8" t="s">
        <v>1067</v>
      </c>
      <c r="I957">
        <f t="shared" si="55"/>
        <v>11.25</v>
      </c>
      <c r="J957">
        <f t="shared" si="56"/>
        <v>5.1029141625000003</v>
      </c>
      <c r="K957">
        <v>1.147</v>
      </c>
      <c r="L957" s="8">
        <f t="shared" si="57"/>
        <v>5.8530425443875007</v>
      </c>
    </row>
    <row r="958" spans="1:12" x14ac:dyDescent="0.2">
      <c r="A958" s="4">
        <v>43372</v>
      </c>
      <c r="B958" t="s">
        <v>48</v>
      </c>
      <c r="C958">
        <v>10</v>
      </c>
      <c r="D958">
        <v>1</v>
      </c>
      <c r="E958">
        <v>8</v>
      </c>
      <c r="F958" t="s">
        <v>192</v>
      </c>
      <c r="G958" t="s">
        <v>781</v>
      </c>
      <c r="H958" s="8" t="s">
        <v>1067</v>
      </c>
      <c r="I958">
        <f t="shared" si="55"/>
        <v>80</v>
      </c>
      <c r="J958">
        <f t="shared" si="56"/>
        <v>36.287389600000004</v>
      </c>
      <c r="K958">
        <v>0.61399999999999999</v>
      </c>
      <c r="L958" s="8">
        <f t="shared" si="57"/>
        <v>22.280457214400002</v>
      </c>
    </row>
    <row r="959" spans="1:12" x14ac:dyDescent="0.2">
      <c r="A959" s="4">
        <v>43434</v>
      </c>
      <c r="B959" t="s">
        <v>538</v>
      </c>
      <c r="C959">
        <v>1</v>
      </c>
      <c r="D959">
        <v>1</v>
      </c>
      <c r="E959">
        <v>50</v>
      </c>
      <c r="F959" t="s">
        <v>425</v>
      </c>
      <c r="G959" t="s">
        <v>860</v>
      </c>
      <c r="H959" s="9" t="s">
        <v>1071</v>
      </c>
      <c r="I959">
        <f t="shared" si="55"/>
        <v>50</v>
      </c>
      <c r="J959">
        <f t="shared" si="56"/>
        <v>22.6796185</v>
      </c>
      <c r="K959">
        <v>0.7</v>
      </c>
      <c r="L959">
        <f t="shared" si="57"/>
        <v>15.87573295</v>
      </c>
    </row>
    <row r="960" spans="1:12" x14ac:dyDescent="0.2">
      <c r="A960" s="4">
        <v>43434</v>
      </c>
      <c r="B960" t="s">
        <v>538</v>
      </c>
      <c r="C960">
        <v>2</v>
      </c>
      <c r="D960">
        <v>1</v>
      </c>
      <c r="E960">
        <v>25</v>
      </c>
      <c r="F960" t="s">
        <v>443</v>
      </c>
      <c r="G960" t="s">
        <v>860</v>
      </c>
      <c r="H960" s="9" t="s">
        <v>1071</v>
      </c>
      <c r="I960">
        <f t="shared" si="55"/>
        <v>50</v>
      </c>
      <c r="J960">
        <f t="shared" si="56"/>
        <v>22.6796185</v>
      </c>
      <c r="K960">
        <v>0.7</v>
      </c>
      <c r="L960">
        <f t="shared" si="57"/>
        <v>15.87573295</v>
      </c>
    </row>
    <row r="961" spans="1:12" x14ac:dyDescent="0.2">
      <c r="A961" s="4">
        <v>43437</v>
      </c>
      <c r="B961" t="s">
        <v>538</v>
      </c>
      <c r="C961">
        <v>1</v>
      </c>
      <c r="D961">
        <v>1</v>
      </c>
      <c r="E961">
        <v>50</v>
      </c>
      <c r="F961" t="s">
        <v>434</v>
      </c>
      <c r="G961" t="s">
        <v>860</v>
      </c>
      <c r="H961" s="9" t="s">
        <v>1071</v>
      </c>
      <c r="I961">
        <f t="shared" si="55"/>
        <v>50</v>
      </c>
      <c r="J961">
        <f t="shared" si="56"/>
        <v>22.6796185</v>
      </c>
      <c r="K961">
        <v>0.7</v>
      </c>
      <c r="L961">
        <f t="shared" si="57"/>
        <v>15.87573295</v>
      </c>
    </row>
    <row r="962" spans="1:12" x14ac:dyDescent="0.2">
      <c r="A962" s="4">
        <v>43439</v>
      </c>
      <c r="B962" t="s">
        <v>538</v>
      </c>
      <c r="C962">
        <v>1</v>
      </c>
      <c r="D962">
        <v>1</v>
      </c>
      <c r="E962">
        <v>50</v>
      </c>
      <c r="F962" t="s">
        <v>434</v>
      </c>
      <c r="G962" t="s">
        <v>860</v>
      </c>
      <c r="H962" s="9" t="s">
        <v>1071</v>
      </c>
      <c r="I962">
        <f t="shared" si="55"/>
        <v>50</v>
      </c>
      <c r="J962">
        <f t="shared" si="56"/>
        <v>22.6796185</v>
      </c>
      <c r="K962">
        <v>0.7</v>
      </c>
      <c r="L962">
        <f t="shared" si="57"/>
        <v>15.87573295</v>
      </c>
    </row>
    <row r="963" spans="1:12" x14ac:dyDescent="0.2">
      <c r="A963" s="10">
        <v>43371</v>
      </c>
      <c r="B963" s="8" t="s">
        <v>22</v>
      </c>
      <c r="C963">
        <v>1</v>
      </c>
      <c r="D963">
        <v>1</v>
      </c>
      <c r="E963" s="9">
        <v>120</v>
      </c>
      <c r="F963" s="9" t="s">
        <v>24</v>
      </c>
      <c r="G963" s="9" t="s">
        <v>512</v>
      </c>
      <c r="H963" s="8" t="s">
        <v>1067</v>
      </c>
      <c r="I963">
        <f t="shared" ref="I963:I1026" si="58">C963*D963*E963</f>
        <v>120</v>
      </c>
      <c r="J963">
        <f t="shared" ref="J963:J1026" si="59">CONVERT(I963,"lbm","kg")</f>
        <v>54.431084400000003</v>
      </c>
      <c r="K963">
        <v>0.30199999999999999</v>
      </c>
      <c r="L963" s="8">
        <f t="shared" ref="L963:L1026" si="60">J963*K963</f>
        <v>16.438187488800001</v>
      </c>
    </row>
    <row r="964" spans="1:12" x14ac:dyDescent="0.2">
      <c r="A964" s="4">
        <v>43437</v>
      </c>
      <c r="B964" t="s">
        <v>531</v>
      </c>
      <c r="C964">
        <v>4</v>
      </c>
      <c r="D964">
        <v>5</v>
      </c>
      <c r="E964">
        <v>3</v>
      </c>
      <c r="F964" t="s">
        <v>416</v>
      </c>
      <c r="G964" t="s">
        <v>915</v>
      </c>
      <c r="H964" s="9" t="s">
        <v>1071</v>
      </c>
      <c r="I964">
        <f t="shared" si="58"/>
        <v>60</v>
      </c>
      <c r="J964">
        <f t="shared" si="59"/>
        <v>27.215542200000002</v>
      </c>
      <c r="K964">
        <v>0.30199999999999999</v>
      </c>
      <c r="L964">
        <f t="shared" si="60"/>
        <v>8.2190937444000003</v>
      </c>
    </row>
    <row r="965" spans="1:12" x14ac:dyDescent="0.2">
      <c r="A965" s="4">
        <v>43374</v>
      </c>
      <c r="B965" t="s">
        <v>48</v>
      </c>
      <c r="C965">
        <v>2</v>
      </c>
      <c r="D965">
        <v>1</v>
      </c>
      <c r="E965">
        <v>12</v>
      </c>
      <c r="F965" t="s">
        <v>231</v>
      </c>
      <c r="G965" t="s">
        <v>777</v>
      </c>
      <c r="H965" s="8" t="s">
        <v>1067</v>
      </c>
      <c r="I965">
        <f t="shared" si="58"/>
        <v>24</v>
      </c>
      <c r="J965">
        <f t="shared" si="59"/>
        <v>10.886216880000001</v>
      </c>
      <c r="K965">
        <v>0.19600000000000001</v>
      </c>
      <c r="L965" s="8">
        <f t="shared" si="60"/>
        <v>2.1336985084800002</v>
      </c>
    </row>
    <row r="966" spans="1:12" x14ac:dyDescent="0.2">
      <c r="A966" s="4">
        <v>43374</v>
      </c>
      <c r="B966" t="s">
        <v>48</v>
      </c>
      <c r="C966">
        <v>1</v>
      </c>
      <c r="D966">
        <v>1</v>
      </c>
      <c r="E966">
        <v>12</v>
      </c>
      <c r="F966" t="s">
        <v>232</v>
      </c>
      <c r="G966" t="s">
        <v>777</v>
      </c>
      <c r="H966" s="8" t="s">
        <v>1067</v>
      </c>
      <c r="I966">
        <f t="shared" si="58"/>
        <v>12</v>
      </c>
      <c r="J966">
        <f t="shared" si="59"/>
        <v>5.4431084400000005</v>
      </c>
      <c r="K966">
        <v>0.19600000000000001</v>
      </c>
      <c r="L966" s="8">
        <f t="shared" si="60"/>
        <v>1.0668492542400001</v>
      </c>
    </row>
    <row r="967" spans="1:12" x14ac:dyDescent="0.2">
      <c r="A967" s="4">
        <v>43437</v>
      </c>
      <c r="B967" t="s">
        <v>538</v>
      </c>
      <c r="C967">
        <v>2</v>
      </c>
      <c r="D967">
        <v>4</v>
      </c>
      <c r="E967">
        <v>11.01</v>
      </c>
      <c r="F967" t="s">
        <v>435</v>
      </c>
      <c r="G967" s="6" t="s">
        <v>864</v>
      </c>
      <c r="H967" s="9" t="s">
        <v>1071</v>
      </c>
      <c r="I967">
        <f t="shared" si="58"/>
        <v>88.08</v>
      </c>
      <c r="J967">
        <f t="shared" si="59"/>
        <v>39.952415949600002</v>
      </c>
      <c r="K967">
        <v>6.7539999999999996</v>
      </c>
      <c r="L967">
        <f t="shared" si="60"/>
        <v>269.83861732359838</v>
      </c>
    </row>
    <row r="968" spans="1:12" x14ac:dyDescent="0.2">
      <c r="A968" s="4">
        <v>43434</v>
      </c>
      <c r="B968" t="s">
        <v>538</v>
      </c>
      <c r="C968">
        <v>1</v>
      </c>
      <c r="D968">
        <v>4</v>
      </c>
      <c r="E968">
        <v>11.01</v>
      </c>
      <c r="F968" t="s">
        <v>435</v>
      </c>
      <c r="G968" t="s">
        <v>902</v>
      </c>
      <c r="H968" s="9" t="s">
        <v>1071</v>
      </c>
      <c r="I968">
        <f t="shared" si="58"/>
        <v>44.04</v>
      </c>
      <c r="J968">
        <f t="shared" si="59"/>
        <v>19.976207974800001</v>
      </c>
      <c r="K968">
        <v>6.7539999999999996</v>
      </c>
      <c r="L968">
        <f t="shared" si="60"/>
        <v>134.91930866179919</v>
      </c>
    </row>
    <row r="969" spans="1:12" x14ac:dyDescent="0.2">
      <c r="A969" s="4">
        <v>43372</v>
      </c>
      <c r="B969" t="s">
        <v>48</v>
      </c>
      <c r="C969">
        <v>4</v>
      </c>
      <c r="D969">
        <v>1</v>
      </c>
      <c r="E969">
        <v>4.172698091</v>
      </c>
      <c r="F969" t="s">
        <v>193</v>
      </c>
      <c r="G969" t="s">
        <v>193</v>
      </c>
      <c r="H969" s="8" t="s">
        <v>1067</v>
      </c>
      <c r="I969">
        <f t="shared" si="58"/>
        <v>16.690792364</v>
      </c>
      <c r="J969">
        <f t="shared" si="59"/>
        <v>7.5708160655646637</v>
      </c>
      <c r="K969">
        <v>1.6639999999999999</v>
      </c>
      <c r="L969" s="8">
        <f t="shared" si="60"/>
        <v>12.5978379330996</v>
      </c>
    </row>
    <row r="970" spans="1:12" x14ac:dyDescent="0.2">
      <c r="A970" s="4">
        <v>43371</v>
      </c>
      <c r="B970" t="s">
        <v>48</v>
      </c>
      <c r="C970">
        <v>5</v>
      </c>
      <c r="D970">
        <v>1</v>
      </c>
      <c r="E970">
        <v>4.172698091</v>
      </c>
      <c r="F970" t="s">
        <v>193</v>
      </c>
      <c r="G970" t="s">
        <v>193</v>
      </c>
      <c r="H970" s="8" t="s">
        <v>1067</v>
      </c>
      <c r="I970">
        <f t="shared" si="58"/>
        <v>20.863490455000001</v>
      </c>
      <c r="J970">
        <f t="shared" si="59"/>
        <v>9.4635200819558296</v>
      </c>
      <c r="K970">
        <v>1.6639999999999999</v>
      </c>
      <c r="L970" s="8">
        <f t="shared" si="60"/>
        <v>15.747297416374499</v>
      </c>
    </row>
    <row r="971" spans="1:12" x14ac:dyDescent="0.2">
      <c r="A971" s="4">
        <v>43371</v>
      </c>
      <c r="B971" t="s">
        <v>48</v>
      </c>
      <c r="C971">
        <v>2</v>
      </c>
      <c r="D971">
        <v>1</v>
      </c>
      <c r="E971">
        <v>4.17</v>
      </c>
      <c r="F971" t="s">
        <v>193</v>
      </c>
      <c r="G971" t="s">
        <v>193</v>
      </c>
      <c r="H971" s="8" t="s">
        <v>1067</v>
      </c>
      <c r="I971">
        <f t="shared" si="58"/>
        <v>8.34</v>
      </c>
      <c r="J971">
        <f t="shared" si="59"/>
        <v>3.7829603658000002</v>
      </c>
      <c r="K971">
        <v>1.6639999999999999</v>
      </c>
      <c r="L971" s="8">
        <f t="shared" si="60"/>
        <v>6.2948460486912001</v>
      </c>
    </row>
    <row r="972" spans="1:12" x14ac:dyDescent="0.2">
      <c r="A972" s="4">
        <v>43374</v>
      </c>
      <c r="B972" t="s">
        <v>48</v>
      </c>
      <c r="C972">
        <v>4</v>
      </c>
      <c r="D972">
        <v>1</v>
      </c>
      <c r="E972">
        <v>4.172698091</v>
      </c>
      <c r="F972" t="s">
        <v>193</v>
      </c>
      <c r="G972" t="s">
        <v>193</v>
      </c>
      <c r="H972" s="8" t="s">
        <v>1067</v>
      </c>
      <c r="I972">
        <f t="shared" si="58"/>
        <v>16.690792364</v>
      </c>
      <c r="J972">
        <f t="shared" si="59"/>
        <v>7.5708160655646637</v>
      </c>
      <c r="K972">
        <v>1.6639999999999999</v>
      </c>
      <c r="L972" s="8">
        <f t="shared" si="60"/>
        <v>12.5978379330996</v>
      </c>
    </row>
    <row r="973" spans="1:12" x14ac:dyDescent="0.2">
      <c r="A973" s="4">
        <v>43375</v>
      </c>
      <c r="B973" t="s">
        <v>48</v>
      </c>
      <c r="C973">
        <v>2</v>
      </c>
      <c r="D973">
        <v>1</v>
      </c>
      <c r="E973">
        <v>4.172698091</v>
      </c>
      <c r="F973" t="s">
        <v>193</v>
      </c>
      <c r="G973" t="s">
        <v>193</v>
      </c>
      <c r="H973" s="8" t="s">
        <v>1067</v>
      </c>
      <c r="I973">
        <f t="shared" si="58"/>
        <v>8.345396182</v>
      </c>
      <c r="J973">
        <f t="shared" si="59"/>
        <v>3.7854080327823318</v>
      </c>
      <c r="K973">
        <v>1.6639999999999999</v>
      </c>
      <c r="L973" s="8">
        <f t="shared" si="60"/>
        <v>6.2989189665497998</v>
      </c>
    </row>
    <row r="974" spans="1:12" x14ac:dyDescent="0.2">
      <c r="A974" s="4">
        <v>43376</v>
      </c>
      <c r="B974" t="s">
        <v>48</v>
      </c>
      <c r="C974">
        <v>2</v>
      </c>
      <c r="D974">
        <v>1</v>
      </c>
      <c r="E974">
        <v>4.172698091</v>
      </c>
      <c r="F974" t="s">
        <v>193</v>
      </c>
      <c r="G974" t="s">
        <v>193</v>
      </c>
      <c r="H974" s="8" t="s">
        <v>1067</v>
      </c>
      <c r="I974">
        <f t="shared" si="58"/>
        <v>8.345396182</v>
      </c>
      <c r="J974">
        <f t="shared" si="59"/>
        <v>3.7854080327823318</v>
      </c>
      <c r="K974">
        <v>1.6639999999999999</v>
      </c>
      <c r="L974" s="8">
        <f t="shared" si="60"/>
        <v>6.2989189665497998</v>
      </c>
    </row>
    <row r="975" spans="1:12" x14ac:dyDescent="0.2">
      <c r="A975" s="4">
        <v>43377</v>
      </c>
      <c r="B975" t="s">
        <v>48</v>
      </c>
      <c r="C975" s="28">
        <v>4</v>
      </c>
      <c r="D975">
        <v>1</v>
      </c>
      <c r="E975">
        <v>4.172698091</v>
      </c>
      <c r="F975" t="s">
        <v>278</v>
      </c>
      <c r="G975" t="s">
        <v>798</v>
      </c>
      <c r="H975" s="8" t="s">
        <v>1067</v>
      </c>
      <c r="I975">
        <f t="shared" si="58"/>
        <v>16.690792364</v>
      </c>
      <c r="J975">
        <f t="shared" si="59"/>
        <v>7.5708160655646637</v>
      </c>
      <c r="K975">
        <v>1.6639999999999999</v>
      </c>
      <c r="L975" s="8">
        <f t="shared" si="60"/>
        <v>12.5978379330996</v>
      </c>
    </row>
    <row r="976" spans="1:12" x14ac:dyDescent="0.2">
      <c r="A976" s="4">
        <v>43372</v>
      </c>
      <c r="B976" t="s">
        <v>48</v>
      </c>
      <c r="C976">
        <v>3</v>
      </c>
      <c r="D976">
        <v>1</v>
      </c>
      <c r="E976">
        <v>10</v>
      </c>
      <c r="F976" t="s">
        <v>70</v>
      </c>
      <c r="G976" t="s">
        <v>194</v>
      </c>
      <c r="H976" s="8" t="s">
        <v>1067</v>
      </c>
      <c r="I976">
        <f t="shared" si="58"/>
        <v>30</v>
      </c>
      <c r="J976">
        <f t="shared" si="59"/>
        <v>13.607771100000001</v>
      </c>
      <c r="K976">
        <v>0.47</v>
      </c>
      <c r="L976" s="8">
        <f t="shared" si="60"/>
        <v>6.395652417</v>
      </c>
    </row>
    <row r="977" spans="1:12" x14ac:dyDescent="0.2">
      <c r="A977" s="4">
        <v>43372</v>
      </c>
      <c r="B977" t="s">
        <v>48</v>
      </c>
      <c r="C977">
        <v>1</v>
      </c>
      <c r="D977">
        <v>1</v>
      </c>
      <c r="E977">
        <v>25</v>
      </c>
      <c r="F977" t="s">
        <v>194</v>
      </c>
      <c r="G977" t="s">
        <v>194</v>
      </c>
      <c r="H977" s="8" t="s">
        <v>1067</v>
      </c>
      <c r="I977">
        <f t="shared" si="58"/>
        <v>25</v>
      </c>
      <c r="J977">
        <f t="shared" si="59"/>
        <v>11.33980925</v>
      </c>
      <c r="K977">
        <v>0.47</v>
      </c>
      <c r="L977" s="8">
        <f t="shared" si="60"/>
        <v>5.3297103474999998</v>
      </c>
    </row>
    <row r="978" spans="1:12" x14ac:dyDescent="0.2">
      <c r="A978" s="4">
        <v>43372</v>
      </c>
      <c r="B978" t="s">
        <v>48</v>
      </c>
      <c r="C978">
        <v>8</v>
      </c>
      <c r="D978">
        <v>1</v>
      </c>
      <c r="E978">
        <v>10</v>
      </c>
      <c r="F978" t="s">
        <v>195</v>
      </c>
      <c r="G978" t="s">
        <v>194</v>
      </c>
      <c r="H978" s="8" t="s">
        <v>1067</v>
      </c>
      <c r="I978">
        <f t="shared" si="58"/>
        <v>80</v>
      </c>
      <c r="J978">
        <f t="shared" si="59"/>
        <v>36.287389600000004</v>
      </c>
      <c r="K978">
        <v>0.47</v>
      </c>
      <c r="L978" s="8">
        <f t="shared" si="60"/>
        <v>17.055073112000002</v>
      </c>
    </row>
    <row r="979" spans="1:12" x14ac:dyDescent="0.2">
      <c r="A979" s="4">
        <v>43371</v>
      </c>
      <c r="B979" t="s">
        <v>48</v>
      </c>
      <c r="C979">
        <v>2</v>
      </c>
      <c r="D979">
        <v>1</v>
      </c>
      <c r="E979">
        <v>10</v>
      </c>
      <c r="F979" t="s">
        <v>70</v>
      </c>
      <c r="G979" t="s">
        <v>194</v>
      </c>
      <c r="H979" s="8" t="s">
        <v>1067</v>
      </c>
      <c r="I979">
        <f t="shared" si="58"/>
        <v>20</v>
      </c>
      <c r="J979">
        <f t="shared" si="59"/>
        <v>9.0718474000000011</v>
      </c>
      <c r="K979">
        <v>0.47</v>
      </c>
      <c r="L979" s="8">
        <f t="shared" si="60"/>
        <v>4.2637682780000006</v>
      </c>
    </row>
    <row r="980" spans="1:12" x14ac:dyDescent="0.2">
      <c r="A980" s="4">
        <v>43371</v>
      </c>
      <c r="B980" t="s">
        <v>48</v>
      </c>
      <c r="C980">
        <v>2</v>
      </c>
      <c r="D980">
        <v>1</v>
      </c>
      <c r="E980">
        <v>20</v>
      </c>
      <c r="F980" t="s">
        <v>76</v>
      </c>
      <c r="G980" t="s">
        <v>194</v>
      </c>
      <c r="H980" s="8" t="s">
        <v>1067</v>
      </c>
      <c r="I980">
        <f t="shared" si="58"/>
        <v>40</v>
      </c>
      <c r="J980">
        <f t="shared" si="59"/>
        <v>18.143694800000002</v>
      </c>
      <c r="K980">
        <v>0.47</v>
      </c>
      <c r="L980" s="8">
        <f t="shared" si="60"/>
        <v>8.5275365560000012</v>
      </c>
    </row>
    <row r="981" spans="1:12" x14ac:dyDescent="0.2">
      <c r="A981" s="4">
        <v>43371</v>
      </c>
      <c r="B981" t="s">
        <v>48</v>
      </c>
      <c r="C981">
        <v>10</v>
      </c>
      <c r="D981">
        <v>1</v>
      </c>
      <c r="E981">
        <v>10</v>
      </c>
      <c r="F981" t="s">
        <v>195</v>
      </c>
      <c r="G981" t="s">
        <v>194</v>
      </c>
      <c r="H981" s="8" t="s">
        <v>1067</v>
      </c>
      <c r="I981">
        <f t="shared" si="58"/>
        <v>100</v>
      </c>
      <c r="J981">
        <f t="shared" si="59"/>
        <v>45.359237</v>
      </c>
      <c r="K981">
        <v>0.47</v>
      </c>
      <c r="L981" s="8">
        <f t="shared" si="60"/>
        <v>21.318841389999999</v>
      </c>
    </row>
    <row r="982" spans="1:12" x14ac:dyDescent="0.2">
      <c r="A982" s="4">
        <v>43371</v>
      </c>
      <c r="B982" t="s">
        <v>48</v>
      </c>
      <c r="C982">
        <v>1</v>
      </c>
      <c r="D982">
        <v>1</v>
      </c>
      <c r="E982">
        <v>23</v>
      </c>
      <c r="F982" t="s">
        <v>194</v>
      </c>
      <c r="G982" t="s">
        <v>194</v>
      </c>
      <c r="H982" s="8" t="s">
        <v>1067</v>
      </c>
      <c r="I982">
        <f t="shared" si="58"/>
        <v>23</v>
      </c>
      <c r="J982">
        <f t="shared" si="59"/>
        <v>10.43262451</v>
      </c>
      <c r="K982">
        <v>0.47</v>
      </c>
      <c r="L982" s="8">
        <f t="shared" si="60"/>
        <v>4.9033335196999994</v>
      </c>
    </row>
    <row r="983" spans="1:12" x14ac:dyDescent="0.2">
      <c r="A983" s="4">
        <v>43372</v>
      </c>
      <c r="B983" t="s">
        <v>48</v>
      </c>
      <c r="C983">
        <v>3</v>
      </c>
      <c r="D983">
        <v>1</v>
      </c>
      <c r="E983">
        <v>10</v>
      </c>
      <c r="F983" t="s">
        <v>70</v>
      </c>
      <c r="G983" t="s">
        <v>194</v>
      </c>
      <c r="H983" s="8" t="s">
        <v>1067</v>
      </c>
      <c r="I983">
        <f t="shared" si="58"/>
        <v>30</v>
      </c>
      <c r="J983">
        <f t="shared" si="59"/>
        <v>13.607771100000001</v>
      </c>
      <c r="K983">
        <v>0.47</v>
      </c>
      <c r="L983" s="8">
        <f t="shared" si="60"/>
        <v>6.395652417</v>
      </c>
    </row>
    <row r="984" spans="1:12" x14ac:dyDescent="0.2">
      <c r="A984" s="4">
        <v>43372</v>
      </c>
      <c r="B984" t="s">
        <v>48</v>
      </c>
      <c r="C984">
        <v>3</v>
      </c>
      <c r="D984">
        <v>1</v>
      </c>
      <c r="E984">
        <v>10</v>
      </c>
      <c r="F984" t="s">
        <v>225</v>
      </c>
      <c r="G984" t="s">
        <v>194</v>
      </c>
      <c r="H984" s="8" t="s">
        <v>1067</v>
      </c>
      <c r="I984">
        <f t="shared" si="58"/>
        <v>30</v>
      </c>
      <c r="J984">
        <f t="shared" si="59"/>
        <v>13.607771100000001</v>
      </c>
      <c r="K984">
        <v>0.47</v>
      </c>
      <c r="L984" s="8">
        <f t="shared" si="60"/>
        <v>6.395652417</v>
      </c>
    </row>
    <row r="985" spans="1:12" x14ac:dyDescent="0.2">
      <c r="A985" s="4">
        <v>43374</v>
      </c>
      <c r="B985" t="s">
        <v>48</v>
      </c>
      <c r="C985">
        <v>7</v>
      </c>
      <c r="D985">
        <v>1</v>
      </c>
      <c r="E985">
        <v>10</v>
      </c>
      <c r="F985" t="s">
        <v>195</v>
      </c>
      <c r="G985" t="s">
        <v>194</v>
      </c>
      <c r="H985" s="8" t="s">
        <v>1067</v>
      </c>
      <c r="I985">
        <f t="shared" si="58"/>
        <v>70</v>
      </c>
      <c r="J985">
        <f t="shared" si="59"/>
        <v>31.751465900000003</v>
      </c>
      <c r="K985">
        <v>0.47</v>
      </c>
      <c r="L985" s="8">
        <f t="shared" si="60"/>
        <v>14.923188973</v>
      </c>
    </row>
    <row r="986" spans="1:12" x14ac:dyDescent="0.2">
      <c r="A986" s="4">
        <v>43375</v>
      </c>
      <c r="B986" t="s">
        <v>48</v>
      </c>
      <c r="C986">
        <v>1</v>
      </c>
      <c r="D986">
        <v>1</v>
      </c>
      <c r="E986">
        <v>25</v>
      </c>
      <c r="F986" t="s">
        <v>194</v>
      </c>
      <c r="G986" t="s">
        <v>194</v>
      </c>
      <c r="H986" s="8" t="s">
        <v>1067</v>
      </c>
      <c r="I986">
        <f t="shared" si="58"/>
        <v>25</v>
      </c>
      <c r="J986">
        <f t="shared" si="59"/>
        <v>11.33980925</v>
      </c>
      <c r="K986">
        <v>0.47</v>
      </c>
      <c r="L986" s="8">
        <f t="shared" si="60"/>
        <v>5.3297103474999998</v>
      </c>
    </row>
    <row r="987" spans="1:12" x14ac:dyDescent="0.2">
      <c r="A987" s="4">
        <v>43375</v>
      </c>
      <c r="B987" t="s">
        <v>48</v>
      </c>
      <c r="C987">
        <v>8</v>
      </c>
      <c r="D987">
        <v>1</v>
      </c>
      <c r="E987">
        <v>10</v>
      </c>
      <c r="F987" t="s">
        <v>77</v>
      </c>
      <c r="G987" t="s">
        <v>194</v>
      </c>
      <c r="H987" s="8" t="s">
        <v>1067</v>
      </c>
      <c r="I987">
        <f t="shared" si="58"/>
        <v>80</v>
      </c>
      <c r="J987">
        <f t="shared" si="59"/>
        <v>36.287389600000004</v>
      </c>
      <c r="K987">
        <v>0.47</v>
      </c>
      <c r="L987" s="8">
        <f t="shared" si="60"/>
        <v>17.055073112000002</v>
      </c>
    </row>
    <row r="988" spans="1:12" x14ac:dyDescent="0.2">
      <c r="A988" s="4">
        <v>43376</v>
      </c>
      <c r="B988" t="s">
        <v>48</v>
      </c>
      <c r="C988">
        <v>1</v>
      </c>
      <c r="D988">
        <v>1</v>
      </c>
      <c r="E988">
        <v>23</v>
      </c>
      <c r="F988" t="s">
        <v>194</v>
      </c>
      <c r="G988" t="s">
        <v>194</v>
      </c>
      <c r="H988" s="8" t="s">
        <v>1067</v>
      </c>
      <c r="I988">
        <f t="shared" si="58"/>
        <v>23</v>
      </c>
      <c r="J988">
        <f t="shared" si="59"/>
        <v>10.43262451</v>
      </c>
      <c r="K988">
        <v>0.47</v>
      </c>
      <c r="L988" s="8">
        <f t="shared" si="60"/>
        <v>4.9033335196999994</v>
      </c>
    </row>
    <row r="989" spans="1:12" x14ac:dyDescent="0.2">
      <c r="A989" s="4">
        <v>43376</v>
      </c>
      <c r="B989" t="s">
        <v>48</v>
      </c>
      <c r="C989">
        <v>5</v>
      </c>
      <c r="D989">
        <v>1</v>
      </c>
      <c r="E989">
        <v>10</v>
      </c>
      <c r="F989" t="s">
        <v>77</v>
      </c>
      <c r="G989" t="s">
        <v>194</v>
      </c>
      <c r="H989" s="8" t="s">
        <v>1067</v>
      </c>
      <c r="I989">
        <f t="shared" si="58"/>
        <v>50</v>
      </c>
      <c r="J989">
        <f t="shared" si="59"/>
        <v>22.6796185</v>
      </c>
      <c r="K989">
        <v>0.47</v>
      </c>
      <c r="L989" s="8">
        <f t="shared" si="60"/>
        <v>10.659420695</v>
      </c>
    </row>
    <row r="990" spans="1:12" x14ac:dyDescent="0.2">
      <c r="A990" s="4">
        <v>43377</v>
      </c>
      <c r="B990" t="s">
        <v>48</v>
      </c>
      <c r="C990" s="28">
        <v>1</v>
      </c>
      <c r="D990">
        <v>1</v>
      </c>
      <c r="E990">
        <v>10</v>
      </c>
      <c r="F990" t="s">
        <v>273</v>
      </c>
      <c r="G990" t="s">
        <v>334</v>
      </c>
      <c r="H990" s="8" t="s">
        <v>1067</v>
      </c>
      <c r="I990">
        <f t="shared" si="58"/>
        <v>10</v>
      </c>
      <c r="J990">
        <f t="shared" si="59"/>
        <v>4.5359237000000006</v>
      </c>
      <c r="K990">
        <v>0.47</v>
      </c>
      <c r="L990" s="8">
        <f t="shared" si="60"/>
        <v>2.1318841390000003</v>
      </c>
    </row>
    <row r="991" spans="1:12" x14ac:dyDescent="0.2">
      <c r="A991" s="4">
        <v>43377</v>
      </c>
      <c r="B991" t="s">
        <v>48</v>
      </c>
      <c r="C991" s="35">
        <v>7</v>
      </c>
      <c r="D991">
        <v>1</v>
      </c>
      <c r="E991" s="8">
        <v>10</v>
      </c>
      <c r="F991" s="8" t="s">
        <v>77</v>
      </c>
      <c r="G991" s="8" t="s">
        <v>194</v>
      </c>
      <c r="H991" s="8" t="s">
        <v>1067</v>
      </c>
      <c r="I991">
        <f t="shared" si="58"/>
        <v>70</v>
      </c>
      <c r="J991">
        <f t="shared" si="59"/>
        <v>31.751465900000003</v>
      </c>
      <c r="K991">
        <v>0.47</v>
      </c>
      <c r="L991" s="8">
        <f t="shared" si="60"/>
        <v>14.923188973</v>
      </c>
    </row>
    <row r="992" spans="1:12" x14ac:dyDescent="0.2">
      <c r="A992" s="4">
        <v>43434</v>
      </c>
      <c r="B992" t="s">
        <v>538</v>
      </c>
      <c r="C992">
        <v>4</v>
      </c>
      <c r="D992">
        <v>6</v>
      </c>
      <c r="E992">
        <v>10</v>
      </c>
      <c r="F992" t="s">
        <v>544</v>
      </c>
      <c r="G992" t="s">
        <v>857</v>
      </c>
      <c r="H992" s="9" t="s">
        <v>1071</v>
      </c>
      <c r="I992">
        <f t="shared" si="58"/>
        <v>240</v>
      </c>
      <c r="J992">
        <f t="shared" si="59"/>
        <v>108.86216880000001</v>
      </c>
      <c r="K992">
        <v>0.47</v>
      </c>
      <c r="L992">
        <f t="shared" si="60"/>
        <v>51.165219336</v>
      </c>
    </row>
    <row r="993" spans="1:12" x14ac:dyDescent="0.2">
      <c r="A993" s="4">
        <v>43434</v>
      </c>
      <c r="B993" t="s">
        <v>538</v>
      </c>
      <c r="C993">
        <v>4</v>
      </c>
      <c r="D993">
        <v>6</v>
      </c>
      <c r="E993">
        <v>10</v>
      </c>
      <c r="F993" t="s">
        <v>432</v>
      </c>
      <c r="G993" t="s">
        <v>857</v>
      </c>
      <c r="H993" s="9" t="s">
        <v>1071</v>
      </c>
      <c r="I993">
        <f t="shared" si="58"/>
        <v>240</v>
      </c>
      <c r="J993">
        <f t="shared" si="59"/>
        <v>108.86216880000001</v>
      </c>
      <c r="K993">
        <v>0.47</v>
      </c>
      <c r="L993">
        <f t="shared" si="60"/>
        <v>51.165219336</v>
      </c>
    </row>
    <row r="994" spans="1:12" x14ac:dyDescent="0.2">
      <c r="A994" s="4">
        <v>43434</v>
      </c>
      <c r="B994" t="s">
        <v>538</v>
      </c>
      <c r="C994">
        <v>8</v>
      </c>
      <c r="D994">
        <v>6</v>
      </c>
      <c r="E994">
        <v>10</v>
      </c>
      <c r="F994" t="s">
        <v>546</v>
      </c>
      <c r="G994" t="s">
        <v>857</v>
      </c>
      <c r="H994" s="9" t="s">
        <v>1071</v>
      </c>
      <c r="I994">
        <f t="shared" si="58"/>
        <v>480</v>
      </c>
      <c r="J994">
        <f t="shared" si="59"/>
        <v>217.72433760000001</v>
      </c>
      <c r="K994">
        <v>0.47</v>
      </c>
      <c r="L994">
        <f t="shared" si="60"/>
        <v>102.330438672</v>
      </c>
    </row>
    <row r="995" spans="1:12" x14ac:dyDescent="0.2">
      <c r="A995" s="4">
        <v>43437</v>
      </c>
      <c r="B995" t="s">
        <v>538</v>
      </c>
      <c r="C995">
        <v>2</v>
      </c>
      <c r="D995">
        <v>6</v>
      </c>
      <c r="E995">
        <v>10</v>
      </c>
      <c r="F995" t="s">
        <v>432</v>
      </c>
      <c r="G995" t="s">
        <v>857</v>
      </c>
      <c r="H995" s="9" t="s">
        <v>1071</v>
      </c>
      <c r="I995">
        <f t="shared" si="58"/>
        <v>120</v>
      </c>
      <c r="J995">
        <f t="shared" si="59"/>
        <v>54.431084400000003</v>
      </c>
      <c r="K995">
        <v>0.47</v>
      </c>
      <c r="L995">
        <f t="shared" si="60"/>
        <v>25.582609668</v>
      </c>
    </row>
    <row r="996" spans="1:12" x14ac:dyDescent="0.2">
      <c r="A996" s="4">
        <v>43439</v>
      </c>
      <c r="B996" t="s">
        <v>538</v>
      </c>
      <c r="C996">
        <v>6</v>
      </c>
      <c r="D996">
        <v>6</v>
      </c>
      <c r="E996">
        <v>10</v>
      </c>
      <c r="F996" t="s">
        <v>432</v>
      </c>
      <c r="G996" t="s">
        <v>857</v>
      </c>
      <c r="H996" s="9" t="s">
        <v>1071</v>
      </c>
      <c r="I996">
        <f t="shared" si="58"/>
        <v>360</v>
      </c>
      <c r="J996">
        <f t="shared" si="59"/>
        <v>163.29325320000001</v>
      </c>
      <c r="K996">
        <v>0.47</v>
      </c>
      <c r="L996">
        <f t="shared" si="60"/>
        <v>76.747829003999996</v>
      </c>
    </row>
    <row r="997" spans="1:12" x14ac:dyDescent="0.2">
      <c r="A997" s="4">
        <v>43439</v>
      </c>
      <c r="B997" t="s">
        <v>538</v>
      </c>
      <c r="C997">
        <v>1</v>
      </c>
      <c r="D997">
        <v>6</v>
      </c>
      <c r="E997">
        <v>10</v>
      </c>
      <c r="F997" t="s">
        <v>546</v>
      </c>
      <c r="G997" t="s">
        <v>857</v>
      </c>
      <c r="H997" s="9" t="s">
        <v>1071</v>
      </c>
      <c r="I997">
        <f t="shared" si="58"/>
        <v>60</v>
      </c>
      <c r="J997">
        <f t="shared" si="59"/>
        <v>27.215542200000002</v>
      </c>
      <c r="K997">
        <v>0.47</v>
      </c>
      <c r="L997">
        <f t="shared" si="60"/>
        <v>12.791304834</v>
      </c>
    </row>
    <row r="998" spans="1:12" x14ac:dyDescent="0.2">
      <c r="A998" s="4">
        <v>43437</v>
      </c>
      <c r="B998" t="s">
        <v>538</v>
      </c>
      <c r="C998">
        <v>1</v>
      </c>
      <c r="D998">
        <v>6</v>
      </c>
      <c r="E998">
        <v>10</v>
      </c>
      <c r="F998" t="s">
        <v>574</v>
      </c>
      <c r="G998" s="6" t="s">
        <v>917</v>
      </c>
      <c r="H998" s="9" t="s">
        <v>1071</v>
      </c>
      <c r="I998">
        <f t="shared" si="58"/>
        <v>60</v>
      </c>
      <c r="J998">
        <f t="shared" si="59"/>
        <v>27.215542200000002</v>
      </c>
      <c r="K998">
        <v>0.11799999999999999</v>
      </c>
      <c r="L998">
        <f t="shared" si="60"/>
        <v>3.2114339796000002</v>
      </c>
    </row>
    <row r="999" spans="1:12" x14ac:dyDescent="0.2">
      <c r="A999" s="4">
        <v>43434</v>
      </c>
      <c r="B999" t="s">
        <v>531</v>
      </c>
      <c r="C999">
        <v>2</v>
      </c>
      <c r="D999">
        <v>12</v>
      </c>
      <c r="E999">
        <f>60*0.0661387</f>
        <v>3.9683219999999997</v>
      </c>
      <c r="F999" t="s">
        <v>534</v>
      </c>
      <c r="G999" s="6" t="s">
        <v>892</v>
      </c>
      <c r="H999" s="9" t="s">
        <v>1071</v>
      </c>
      <c r="I999">
        <f t="shared" si="58"/>
        <v>95.239727999999985</v>
      </c>
      <c r="J999">
        <f t="shared" si="59"/>
        <v>43.200013941675351</v>
      </c>
      <c r="K999">
        <v>1.28</v>
      </c>
      <c r="L999">
        <f t="shared" si="60"/>
        <v>55.296017845344451</v>
      </c>
    </row>
    <row r="1000" spans="1:12" x14ac:dyDescent="0.2">
      <c r="A1000" s="4">
        <v>43434</v>
      </c>
      <c r="B1000" t="s">
        <v>531</v>
      </c>
      <c r="C1000">
        <v>2</v>
      </c>
      <c r="D1000">
        <v>6</v>
      </c>
      <c r="E1000">
        <f>12*0.0661387</f>
        <v>0.79366439999999994</v>
      </c>
      <c r="F1000" t="s">
        <v>414</v>
      </c>
      <c r="G1000" s="6" t="s">
        <v>894</v>
      </c>
      <c r="H1000" s="9" t="s">
        <v>1071</v>
      </c>
      <c r="I1000">
        <f t="shared" si="58"/>
        <v>9.5239727999999992</v>
      </c>
      <c r="J1000">
        <f t="shared" si="59"/>
        <v>4.3200013941675364</v>
      </c>
      <c r="K1000">
        <v>1.28</v>
      </c>
      <c r="L1000">
        <f t="shared" si="60"/>
        <v>5.5296017845344467</v>
      </c>
    </row>
    <row r="1001" spans="1:12" x14ac:dyDescent="0.2">
      <c r="A1001" s="4">
        <v>43434</v>
      </c>
      <c r="B1001" t="s">
        <v>531</v>
      </c>
      <c r="C1001">
        <v>2</v>
      </c>
      <c r="D1001">
        <v>6</v>
      </c>
      <c r="E1001">
        <f>12*0.0661387</f>
        <v>0.79366439999999994</v>
      </c>
      <c r="F1001" t="s">
        <v>415</v>
      </c>
      <c r="G1001" s="6" t="s">
        <v>894</v>
      </c>
      <c r="H1001" s="9" t="s">
        <v>1071</v>
      </c>
      <c r="I1001">
        <f t="shared" si="58"/>
        <v>9.5239727999999992</v>
      </c>
      <c r="J1001">
        <f t="shared" si="59"/>
        <v>4.3200013941675364</v>
      </c>
      <c r="K1001">
        <v>1.28</v>
      </c>
      <c r="L1001">
        <f t="shared" si="60"/>
        <v>5.5296017845344467</v>
      </c>
    </row>
    <row r="1002" spans="1:12" x14ac:dyDescent="0.2">
      <c r="A1002" s="4">
        <v>43437</v>
      </c>
      <c r="B1002" t="s">
        <v>531</v>
      </c>
      <c r="C1002">
        <v>1</v>
      </c>
      <c r="D1002">
        <v>24</v>
      </c>
      <c r="E1002">
        <f>12*0.0661387</f>
        <v>0.79366439999999994</v>
      </c>
      <c r="F1002" t="s">
        <v>408</v>
      </c>
      <c r="G1002" s="6" t="s">
        <v>913</v>
      </c>
      <c r="H1002" s="9" t="s">
        <v>1071</v>
      </c>
      <c r="I1002">
        <f t="shared" si="58"/>
        <v>19.047945599999998</v>
      </c>
      <c r="J1002">
        <f t="shared" si="59"/>
        <v>8.6400027883350727</v>
      </c>
      <c r="K1002">
        <v>1.28</v>
      </c>
      <c r="L1002">
        <f t="shared" si="60"/>
        <v>11.059203569068893</v>
      </c>
    </row>
    <row r="1003" spans="1:12" x14ac:dyDescent="0.2">
      <c r="A1003" s="4">
        <v>43437</v>
      </c>
      <c r="B1003" t="s">
        <v>531</v>
      </c>
      <c r="C1003">
        <v>1</v>
      </c>
      <c r="D1003">
        <v>6</v>
      </c>
      <c r="E1003">
        <f>12*0.0661387</f>
        <v>0.79366439999999994</v>
      </c>
      <c r="F1003" t="s">
        <v>415</v>
      </c>
      <c r="G1003" s="6" t="s">
        <v>913</v>
      </c>
      <c r="H1003" s="9" t="s">
        <v>1071</v>
      </c>
      <c r="I1003">
        <f t="shared" si="58"/>
        <v>4.7619863999999996</v>
      </c>
      <c r="J1003">
        <f t="shared" si="59"/>
        <v>2.1600006970837682</v>
      </c>
      <c r="K1003">
        <v>1.28</v>
      </c>
      <c r="L1003">
        <f t="shared" si="60"/>
        <v>2.7648008922672234</v>
      </c>
    </row>
    <row r="1004" spans="1:12" x14ac:dyDescent="0.2">
      <c r="A1004" s="4">
        <v>43434</v>
      </c>
      <c r="B1004" t="s">
        <v>538</v>
      </c>
      <c r="C1004">
        <v>1</v>
      </c>
      <c r="D1004">
        <v>6</v>
      </c>
      <c r="E1004">
        <f>66.5/16</f>
        <v>4.15625</v>
      </c>
      <c r="F1004" t="s">
        <v>427</v>
      </c>
      <c r="G1004" t="s">
        <v>862</v>
      </c>
      <c r="H1004" s="9" t="s">
        <v>1072</v>
      </c>
      <c r="I1004">
        <f t="shared" si="58"/>
        <v>24.9375</v>
      </c>
      <c r="J1004">
        <f t="shared" si="59"/>
        <v>11.311459726875</v>
      </c>
      <c r="K1004">
        <v>2.1480000000000001</v>
      </c>
      <c r="L1004">
        <f t="shared" si="60"/>
        <v>24.297015493327503</v>
      </c>
    </row>
    <row r="1005" spans="1:12" x14ac:dyDescent="0.2">
      <c r="A1005" s="4">
        <v>43437</v>
      </c>
      <c r="B1005" t="s">
        <v>538</v>
      </c>
      <c r="C1005">
        <v>1</v>
      </c>
      <c r="D1005">
        <v>6</v>
      </c>
      <c r="E1005">
        <f>66.5/16</f>
        <v>4.15625</v>
      </c>
      <c r="F1005" t="s">
        <v>427</v>
      </c>
      <c r="G1005" t="s">
        <v>862</v>
      </c>
      <c r="H1005" s="9" t="s">
        <v>1072</v>
      </c>
      <c r="I1005">
        <f t="shared" si="58"/>
        <v>24.9375</v>
      </c>
      <c r="J1005">
        <f t="shared" si="59"/>
        <v>11.311459726875</v>
      </c>
      <c r="K1005">
        <v>2.1480000000000001</v>
      </c>
      <c r="L1005">
        <f t="shared" si="60"/>
        <v>24.297015493327503</v>
      </c>
    </row>
    <row r="1006" spans="1:12" x14ac:dyDescent="0.2">
      <c r="A1006" s="4">
        <v>43434</v>
      </c>
      <c r="B1006" t="s">
        <v>530</v>
      </c>
      <c r="C1006">
        <v>1</v>
      </c>
      <c r="D1006">
        <v>1</v>
      </c>
      <c r="E1006">
        <v>72.5</v>
      </c>
      <c r="F1006" t="s">
        <v>400</v>
      </c>
      <c r="G1006" t="s">
        <v>852</v>
      </c>
      <c r="H1006" s="9" t="s">
        <v>1072</v>
      </c>
      <c r="I1006">
        <f t="shared" si="58"/>
        <v>72.5</v>
      </c>
      <c r="J1006">
        <f t="shared" si="59"/>
        <v>32.885446825000002</v>
      </c>
      <c r="K1006">
        <v>2.5710000000000002</v>
      </c>
      <c r="L1006">
        <f t="shared" si="60"/>
        <v>84.548483787075014</v>
      </c>
    </row>
    <row r="1007" spans="1:12" x14ac:dyDescent="0.2">
      <c r="A1007" s="4">
        <v>43437</v>
      </c>
      <c r="B1007" t="s">
        <v>530</v>
      </c>
      <c r="C1007">
        <v>1</v>
      </c>
      <c r="D1007">
        <v>1</v>
      </c>
      <c r="E1007">
        <v>124.53</v>
      </c>
      <c r="F1007" t="s">
        <v>568</v>
      </c>
      <c r="G1007" t="s">
        <v>852</v>
      </c>
      <c r="H1007" s="9" t="s">
        <v>1072</v>
      </c>
      <c r="I1007">
        <f t="shared" si="58"/>
        <v>124.53</v>
      </c>
      <c r="J1007">
        <f t="shared" si="59"/>
        <v>56.485857836100003</v>
      </c>
      <c r="K1007">
        <v>2.5710000000000002</v>
      </c>
      <c r="L1007">
        <f t="shared" si="60"/>
        <v>145.22514049661311</v>
      </c>
    </row>
    <row r="1008" spans="1:12" x14ac:dyDescent="0.2">
      <c r="A1008" s="4">
        <v>43437</v>
      </c>
      <c r="B1008" t="s">
        <v>530</v>
      </c>
      <c r="C1008">
        <v>4</v>
      </c>
      <c r="D1008">
        <v>160</v>
      </c>
      <c r="E1008">
        <f>1/16</f>
        <v>6.25E-2</v>
      </c>
      <c r="F1008" t="s">
        <v>569</v>
      </c>
      <c r="G1008" t="s">
        <v>852</v>
      </c>
      <c r="H1008" s="9" t="s">
        <v>1072</v>
      </c>
      <c r="I1008">
        <f t="shared" si="58"/>
        <v>40</v>
      </c>
      <c r="J1008">
        <f t="shared" si="59"/>
        <v>18.143694800000002</v>
      </c>
      <c r="K1008">
        <v>2.5710000000000002</v>
      </c>
      <c r="L1008">
        <f t="shared" si="60"/>
        <v>46.647439330800012</v>
      </c>
    </row>
    <row r="1009" spans="1:12" x14ac:dyDescent="0.2">
      <c r="A1009" s="4">
        <v>43437</v>
      </c>
      <c r="B1009" t="s">
        <v>530</v>
      </c>
      <c r="C1009">
        <v>4</v>
      </c>
      <c r="D1009">
        <v>2</v>
      </c>
      <c r="E1009">
        <v>6</v>
      </c>
      <c r="F1009" t="s">
        <v>402</v>
      </c>
      <c r="G1009" t="s">
        <v>912</v>
      </c>
      <c r="H1009" s="9" t="s">
        <v>1072</v>
      </c>
      <c r="I1009">
        <f t="shared" si="58"/>
        <v>48</v>
      </c>
      <c r="J1009">
        <f t="shared" si="59"/>
        <v>21.772433760000002</v>
      </c>
      <c r="K1009">
        <v>2.5710000000000002</v>
      </c>
      <c r="L1009">
        <f t="shared" si="60"/>
        <v>55.976927196960006</v>
      </c>
    </row>
    <row r="1010" spans="1:12" x14ac:dyDescent="0.2">
      <c r="A1010" s="4">
        <v>43439</v>
      </c>
      <c r="B1010" t="s">
        <v>530</v>
      </c>
      <c r="C1010">
        <v>3</v>
      </c>
      <c r="D1010">
        <v>160</v>
      </c>
      <c r="E1010">
        <f>1/16</f>
        <v>6.25E-2</v>
      </c>
      <c r="F1010" t="s">
        <v>569</v>
      </c>
      <c r="G1010" t="s">
        <v>852</v>
      </c>
      <c r="H1010" s="9" t="s">
        <v>1072</v>
      </c>
      <c r="I1010">
        <f t="shared" si="58"/>
        <v>30</v>
      </c>
      <c r="J1010">
        <f t="shared" si="59"/>
        <v>13.607771100000001</v>
      </c>
      <c r="K1010">
        <v>2.5710000000000002</v>
      </c>
      <c r="L1010">
        <f t="shared" si="60"/>
        <v>34.985579498100002</v>
      </c>
    </row>
    <row r="1011" spans="1:12" x14ac:dyDescent="0.2">
      <c r="A1011" s="4">
        <v>43434</v>
      </c>
      <c r="B1011" t="s">
        <v>538</v>
      </c>
      <c r="C1011">
        <v>1</v>
      </c>
      <c r="D1011">
        <v>4</v>
      </c>
      <c r="E1011">
        <v>8.41</v>
      </c>
      <c r="F1011" t="s">
        <v>558</v>
      </c>
      <c r="G1011" t="s">
        <v>872</v>
      </c>
      <c r="H1011" s="9" t="s">
        <v>1071</v>
      </c>
      <c r="I1011">
        <f t="shared" si="58"/>
        <v>33.64</v>
      </c>
      <c r="J1011">
        <f t="shared" si="59"/>
        <v>15.258847326800002</v>
      </c>
      <c r="K1011">
        <v>0.34</v>
      </c>
      <c r="L1011">
        <f t="shared" si="60"/>
        <v>5.1880080911120006</v>
      </c>
    </row>
    <row r="1012" spans="1:12" x14ac:dyDescent="0.2">
      <c r="A1012" s="4">
        <v>43437</v>
      </c>
      <c r="B1012" t="s">
        <v>538</v>
      </c>
      <c r="C1012">
        <v>1</v>
      </c>
      <c r="D1012">
        <v>2</v>
      </c>
      <c r="E1012" s="6">
        <f>5*2.39</f>
        <v>11.950000000000001</v>
      </c>
      <c r="F1012" t="s">
        <v>450</v>
      </c>
      <c r="G1012" t="s">
        <v>872</v>
      </c>
      <c r="H1012" s="9" t="s">
        <v>1071</v>
      </c>
      <c r="I1012">
        <f t="shared" si="58"/>
        <v>23.900000000000002</v>
      </c>
      <c r="J1012">
        <f t="shared" si="59"/>
        <v>10.840857643000001</v>
      </c>
      <c r="K1012">
        <v>0.34</v>
      </c>
      <c r="L1012">
        <f t="shared" si="60"/>
        <v>3.6858915986200009</v>
      </c>
    </row>
    <row r="1013" spans="1:12" x14ac:dyDescent="0.2">
      <c r="A1013" s="4">
        <v>43439</v>
      </c>
      <c r="B1013" t="s">
        <v>538</v>
      </c>
      <c r="C1013">
        <v>1</v>
      </c>
      <c r="D1013">
        <v>4</v>
      </c>
      <c r="E1013">
        <v>8.41</v>
      </c>
      <c r="F1013" t="s">
        <v>596</v>
      </c>
      <c r="G1013" t="s">
        <v>872</v>
      </c>
      <c r="H1013" s="9" t="s">
        <v>1071</v>
      </c>
      <c r="I1013">
        <f t="shared" si="58"/>
        <v>33.64</v>
      </c>
      <c r="J1013">
        <f t="shared" si="59"/>
        <v>15.258847326800002</v>
      </c>
      <c r="K1013">
        <v>0.34</v>
      </c>
      <c r="L1013">
        <f t="shared" si="60"/>
        <v>5.1880080911120006</v>
      </c>
    </row>
    <row r="1014" spans="1:12" x14ac:dyDescent="0.2">
      <c r="A1014" s="4">
        <v>43437</v>
      </c>
      <c r="B1014" t="s">
        <v>538</v>
      </c>
      <c r="C1014">
        <v>1</v>
      </c>
      <c r="D1014">
        <v>6</v>
      </c>
      <c r="E1014">
        <v>2</v>
      </c>
      <c r="F1014" t="s">
        <v>570</v>
      </c>
      <c r="G1014" s="6" t="s">
        <v>985</v>
      </c>
      <c r="H1014" s="9" t="s">
        <v>1071</v>
      </c>
      <c r="I1014">
        <f t="shared" si="58"/>
        <v>12</v>
      </c>
      <c r="J1014">
        <f t="shared" si="59"/>
        <v>5.4431084400000005</v>
      </c>
      <c r="K1014">
        <v>0.34699999999999998</v>
      </c>
      <c r="L1014">
        <f t="shared" si="60"/>
        <v>1.88875862868</v>
      </c>
    </row>
    <row r="1015" spans="1:12" x14ac:dyDescent="0.2">
      <c r="A1015" s="4">
        <v>43437</v>
      </c>
      <c r="B1015" t="s">
        <v>538</v>
      </c>
      <c r="C1015">
        <v>1</v>
      </c>
      <c r="D1015">
        <v>4</v>
      </c>
      <c r="E1015">
        <v>8.41</v>
      </c>
      <c r="F1015" t="s">
        <v>576</v>
      </c>
      <c r="G1015" t="s">
        <v>873</v>
      </c>
      <c r="H1015" s="9" t="s">
        <v>1071</v>
      </c>
      <c r="I1015">
        <f t="shared" si="58"/>
        <v>33.64</v>
      </c>
      <c r="J1015">
        <f t="shared" si="59"/>
        <v>15.258847326800002</v>
      </c>
      <c r="K1015">
        <v>0.78</v>
      </c>
      <c r="L1015">
        <f t="shared" si="60"/>
        <v>11.901900914904001</v>
      </c>
    </row>
    <row r="1016" spans="1:12" x14ac:dyDescent="0.2">
      <c r="A1016" s="4">
        <v>43437</v>
      </c>
      <c r="B1016" t="s">
        <v>538</v>
      </c>
      <c r="C1016">
        <v>1</v>
      </c>
      <c r="D1016">
        <v>4</v>
      </c>
      <c r="E1016">
        <v>8.41</v>
      </c>
      <c r="F1016" t="s">
        <v>578</v>
      </c>
      <c r="G1016" t="s">
        <v>873</v>
      </c>
      <c r="H1016" s="9" t="s">
        <v>1071</v>
      </c>
      <c r="I1016">
        <f t="shared" si="58"/>
        <v>33.64</v>
      </c>
      <c r="J1016">
        <f t="shared" si="59"/>
        <v>15.258847326800002</v>
      </c>
      <c r="K1016">
        <v>0.78</v>
      </c>
      <c r="L1016">
        <f t="shared" si="60"/>
        <v>11.901900914904001</v>
      </c>
    </row>
    <row r="1017" spans="1:12" x14ac:dyDescent="0.2">
      <c r="A1017" s="4">
        <v>43439</v>
      </c>
      <c r="B1017" t="s">
        <v>538</v>
      </c>
      <c r="C1017">
        <v>1</v>
      </c>
      <c r="D1017">
        <v>8</v>
      </c>
      <c r="E1017">
        <f>12*0.0661387</f>
        <v>0.79366439999999994</v>
      </c>
      <c r="F1017" t="s">
        <v>599</v>
      </c>
      <c r="G1017" s="6" t="s">
        <v>856</v>
      </c>
      <c r="H1017" s="9" t="s">
        <v>1071</v>
      </c>
      <c r="I1017">
        <f t="shared" si="58"/>
        <v>6.3493151999999995</v>
      </c>
      <c r="J1017">
        <f t="shared" si="59"/>
        <v>2.8800009294450239</v>
      </c>
      <c r="K1017">
        <v>1.28</v>
      </c>
      <c r="L1017">
        <f t="shared" si="60"/>
        <v>3.6864011896896307</v>
      </c>
    </row>
    <row r="1018" spans="1:12" x14ac:dyDescent="0.2">
      <c r="A1018" s="4">
        <v>43439</v>
      </c>
      <c r="B1018" t="s">
        <v>531</v>
      </c>
      <c r="C1018">
        <v>1</v>
      </c>
      <c r="D1018">
        <v>6</v>
      </c>
      <c r="E1018">
        <f>12*0.0661387</f>
        <v>0.79366439999999994</v>
      </c>
      <c r="F1018" t="s">
        <v>415</v>
      </c>
      <c r="G1018" s="6" t="s">
        <v>856</v>
      </c>
      <c r="H1018" s="9" t="s">
        <v>1071</v>
      </c>
      <c r="I1018">
        <f t="shared" si="58"/>
        <v>4.7619863999999996</v>
      </c>
      <c r="J1018">
        <f t="shared" si="59"/>
        <v>2.1600006970837682</v>
      </c>
      <c r="K1018">
        <v>1.28</v>
      </c>
      <c r="L1018">
        <f t="shared" si="60"/>
        <v>2.7648008922672234</v>
      </c>
    </row>
    <row r="1019" spans="1:12" x14ac:dyDescent="0.2">
      <c r="A1019" s="4">
        <v>43434</v>
      </c>
      <c r="B1019" t="s">
        <v>538</v>
      </c>
      <c r="C1019">
        <v>2</v>
      </c>
      <c r="D1019">
        <v>12</v>
      </c>
      <c r="E1019">
        <v>2</v>
      </c>
      <c r="F1019" t="s">
        <v>557</v>
      </c>
      <c r="G1019" s="14" t="s">
        <v>871</v>
      </c>
      <c r="H1019" s="9" t="s">
        <v>1071</v>
      </c>
      <c r="I1019">
        <f t="shared" si="58"/>
        <v>48</v>
      </c>
      <c r="J1019">
        <f t="shared" si="59"/>
        <v>21.772433760000002</v>
      </c>
      <c r="L1019">
        <f t="shared" si="60"/>
        <v>0</v>
      </c>
    </row>
    <row r="1020" spans="1:12" x14ac:dyDescent="0.2">
      <c r="A1020" s="4">
        <v>43376</v>
      </c>
      <c r="B1020" t="s">
        <v>48</v>
      </c>
      <c r="C1020">
        <v>3</v>
      </c>
      <c r="D1020">
        <v>1</v>
      </c>
      <c r="E1020">
        <f>(6*32)/16</f>
        <v>12</v>
      </c>
      <c r="F1020" t="s">
        <v>239</v>
      </c>
      <c r="G1020" t="s">
        <v>1092</v>
      </c>
      <c r="H1020" s="8" t="s">
        <v>1091</v>
      </c>
      <c r="I1020">
        <f t="shared" si="58"/>
        <v>36</v>
      </c>
      <c r="J1020">
        <f t="shared" si="59"/>
        <v>16.329325319999999</v>
      </c>
      <c r="K1020">
        <v>1.33</v>
      </c>
      <c r="L1020" s="8">
        <f t="shared" si="60"/>
        <v>21.718002675600001</v>
      </c>
    </row>
    <row r="1021" spans="1:12" x14ac:dyDescent="0.2">
      <c r="A1021" s="4">
        <v>43434</v>
      </c>
      <c r="B1021" t="s">
        <v>517</v>
      </c>
      <c r="C1021">
        <v>10</v>
      </c>
      <c r="D1021">
        <v>2</v>
      </c>
      <c r="E1021">
        <v>6</v>
      </c>
      <c r="F1021" t="s">
        <v>383</v>
      </c>
      <c r="G1021" t="s">
        <v>846</v>
      </c>
      <c r="H1021" s="9" t="s">
        <v>1073</v>
      </c>
      <c r="I1021">
        <f t="shared" si="58"/>
        <v>120</v>
      </c>
      <c r="J1021">
        <f t="shared" si="59"/>
        <v>54.431084400000003</v>
      </c>
      <c r="K1021">
        <v>1.33</v>
      </c>
      <c r="L1021">
        <f t="shared" si="60"/>
        <v>72.393342252000011</v>
      </c>
    </row>
    <row r="1022" spans="1:12" x14ac:dyDescent="0.2">
      <c r="A1022" s="4">
        <v>43434</v>
      </c>
      <c r="B1022" t="s">
        <v>517</v>
      </c>
      <c r="C1022">
        <v>10</v>
      </c>
      <c r="D1022">
        <v>2</v>
      </c>
      <c r="E1022">
        <v>6</v>
      </c>
      <c r="F1022" t="s">
        <v>384</v>
      </c>
      <c r="G1022" t="s">
        <v>846</v>
      </c>
      <c r="H1022" s="9" t="s">
        <v>1073</v>
      </c>
      <c r="I1022">
        <f t="shared" si="58"/>
        <v>120</v>
      </c>
      <c r="J1022">
        <f t="shared" si="59"/>
        <v>54.431084400000003</v>
      </c>
      <c r="K1022">
        <v>1.33</v>
      </c>
      <c r="L1022">
        <f t="shared" si="60"/>
        <v>72.393342252000011</v>
      </c>
    </row>
    <row r="1023" spans="1:12" ht="17" thickBot="1" x14ac:dyDescent="0.25">
      <c r="A1023" s="26">
        <v>43439</v>
      </c>
      <c r="B1023" s="12" t="s">
        <v>517</v>
      </c>
      <c r="C1023" s="12">
        <v>2</v>
      </c>
      <c r="D1023" s="12">
        <v>2</v>
      </c>
      <c r="E1023" s="12">
        <v>6</v>
      </c>
      <c r="F1023" s="12" t="s">
        <v>384</v>
      </c>
      <c r="G1023" s="12" t="s">
        <v>846</v>
      </c>
      <c r="H1023" s="63" t="s">
        <v>1073</v>
      </c>
      <c r="I1023" s="12">
        <f t="shared" si="58"/>
        <v>24</v>
      </c>
      <c r="J1023" s="12">
        <f t="shared" si="59"/>
        <v>10.886216880000001</v>
      </c>
      <c r="K1023" s="12">
        <v>1.33</v>
      </c>
      <c r="L1023" s="12">
        <f t="shared" si="60"/>
        <v>14.478668450400002</v>
      </c>
    </row>
    <row r="1024" spans="1:12" x14ac:dyDescent="0.2">
      <c r="A1024" s="10">
        <v>43434</v>
      </c>
      <c r="B1024" s="8" t="s">
        <v>525</v>
      </c>
      <c r="C1024" s="8">
        <v>2</v>
      </c>
      <c r="D1024" s="8">
        <v>2</v>
      </c>
      <c r="E1024">
        <v>5</v>
      </c>
      <c r="F1024" t="s">
        <v>398</v>
      </c>
      <c r="G1024" s="6" t="s">
        <v>890</v>
      </c>
      <c r="H1024" s="6" t="s">
        <v>1072</v>
      </c>
      <c r="I1024">
        <f t="shared" si="58"/>
        <v>20</v>
      </c>
      <c r="J1024">
        <f t="shared" si="59"/>
        <v>9.0718474000000011</v>
      </c>
      <c r="K1024">
        <f>(0.5*32.846)+(0.5*5.56)</f>
        <v>19.202999999999999</v>
      </c>
      <c r="L1024">
        <f t="shared" si="60"/>
        <v>174.20668562220001</v>
      </c>
    </row>
    <row r="1025" spans="1:12" x14ac:dyDescent="0.2">
      <c r="A1025" s="4">
        <v>43439</v>
      </c>
      <c r="B1025" t="s">
        <v>525</v>
      </c>
      <c r="C1025">
        <v>1</v>
      </c>
      <c r="D1025">
        <v>2</v>
      </c>
      <c r="E1025">
        <v>5</v>
      </c>
      <c r="F1025" t="s">
        <v>398</v>
      </c>
      <c r="G1025" t="s">
        <v>890</v>
      </c>
      <c r="H1025" t="s">
        <v>1072</v>
      </c>
      <c r="I1025">
        <f t="shared" si="58"/>
        <v>10</v>
      </c>
      <c r="J1025">
        <f t="shared" si="59"/>
        <v>4.5359237000000006</v>
      </c>
      <c r="K1025">
        <f>(0.5*32.846)+(0.5*5.56)</f>
        <v>19.202999999999999</v>
      </c>
      <c r="L1025">
        <f t="shared" si="60"/>
        <v>87.103342811100006</v>
      </c>
    </row>
    <row r="1026" spans="1:12" x14ac:dyDescent="0.2">
      <c r="A1026" s="4">
        <v>43399</v>
      </c>
      <c r="B1026" t="s">
        <v>22</v>
      </c>
      <c r="C1026">
        <v>1</v>
      </c>
      <c r="D1026">
        <v>1</v>
      </c>
      <c r="E1026">
        <v>100</v>
      </c>
      <c r="F1026" t="s">
        <v>26</v>
      </c>
      <c r="G1026" t="s">
        <v>767</v>
      </c>
      <c r="H1026" t="s">
        <v>1071</v>
      </c>
      <c r="I1026">
        <f t="shared" si="58"/>
        <v>100</v>
      </c>
      <c r="J1026">
        <f t="shared" si="59"/>
        <v>45.359237</v>
      </c>
      <c r="K1026">
        <v>0.22800000000000001</v>
      </c>
      <c r="L1026">
        <f t="shared" si="60"/>
        <v>10.341906036000001</v>
      </c>
    </row>
    <row r="1027" spans="1:12" x14ac:dyDescent="0.2">
      <c r="A1027" s="4">
        <v>43399</v>
      </c>
      <c r="B1027" t="s">
        <v>22</v>
      </c>
      <c r="C1027">
        <v>1</v>
      </c>
      <c r="D1027">
        <v>1</v>
      </c>
      <c r="E1027">
        <v>159.6</v>
      </c>
      <c r="F1027" t="s">
        <v>284</v>
      </c>
      <c r="G1027" t="s">
        <v>767</v>
      </c>
      <c r="H1027" t="s">
        <v>1071</v>
      </c>
      <c r="I1027">
        <f t="shared" ref="I1027:I1069" si="61">C1027*D1027*E1027</f>
        <v>159.6</v>
      </c>
      <c r="J1027">
        <f t="shared" ref="J1027:J1090" si="62">CONVERT(I1027,"lbm","kg")</f>
        <v>72.393342252000011</v>
      </c>
      <c r="K1027">
        <v>0.22800000000000001</v>
      </c>
      <c r="L1027">
        <f t="shared" ref="L1027:L1090" si="63">J1027*K1027</f>
        <v>16.505682033456004</v>
      </c>
    </row>
    <row r="1028" spans="1:12" x14ac:dyDescent="0.2">
      <c r="A1028" s="4">
        <v>43403</v>
      </c>
      <c r="B1028" t="s">
        <v>22</v>
      </c>
      <c r="C1028">
        <v>1</v>
      </c>
      <c r="D1028">
        <v>1</v>
      </c>
      <c r="E1028">
        <v>158.4</v>
      </c>
      <c r="F1028" t="s">
        <v>289</v>
      </c>
      <c r="G1028" t="s">
        <v>767</v>
      </c>
      <c r="H1028" t="s">
        <v>1071</v>
      </c>
      <c r="I1028">
        <f t="shared" si="61"/>
        <v>158.4</v>
      </c>
      <c r="J1028">
        <f t="shared" si="62"/>
        <v>71.849031408000016</v>
      </c>
      <c r="K1028">
        <v>0.22800000000000001</v>
      </c>
      <c r="L1028">
        <f t="shared" si="63"/>
        <v>16.381579161024003</v>
      </c>
    </row>
    <row r="1029" spans="1:12" x14ac:dyDescent="0.2">
      <c r="A1029" s="4">
        <v>43403</v>
      </c>
      <c r="B1029" t="s">
        <v>22</v>
      </c>
      <c r="C1029">
        <v>1</v>
      </c>
      <c r="D1029">
        <v>1</v>
      </c>
      <c r="E1029">
        <v>159.6</v>
      </c>
      <c r="F1029" t="s">
        <v>290</v>
      </c>
      <c r="G1029" t="s">
        <v>767</v>
      </c>
      <c r="H1029" t="s">
        <v>1071</v>
      </c>
      <c r="I1029">
        <f t="shared" si="61"/>
        <v>159.6</v>
      </c>
      <c r="J1029">
        <f t="shared" si="62"/>
        <v>72.393342252000011</v>
      </c>
      <c r="K1029">
        <v>0.22800000000000001</v>
      </c>
      <c r="L1029">
        <f t="shared" si="63"/>
        <v>16.505682033456004</v>
      </c>
    </row>
    <row r="1030" spans="1:12" x14ac:dyDescent="0.2">
      <c r="A1030" s="4">
        <v>43437</v>
      </c>
      <c r="B1030" t="s">
        <v>538</v>
      </c>
      <c r="C1030">
        <v>1</v>
      </c>
      <c r="D1030">
        <v>6</v>
      </c>
      <c r="E1030">
        <v>10</v>
      </c>
      <c r="F1030" t="s">
        <v>577</v>
      </c>
      <c r="G1030" s="6" t="s">
        <v>918</v>
      </c>
      <c r="H1030" t="s">
        <v>1071</v>
      </c>
      <c r="I1030">
        <f t="shared" si="61"/>
        <v>60</v>
      </c>
      <c r="J1030">
        <f t="shared" si="62"/>
        <v>27.215542200000002</v>
      </c>
      <c r="K1030">
        <v>3.25</v>
      </c>
      <c r="L1030">
        <f t="shared" si="63"/>
        <v>88.450512150000009</v>
      </c>
    </row>
    <row r="1031" spans="1:12" x14ac:dyDescent="0.2">
      <c r="A1031" s="4">
        <v>43434</v>
      </c>
      <c r="B1031" t="s">
        <v>538</v>
      </c>
      <c r="C1031">
        <v>2</v>
      </c>
      <c r="D1031">
        <v>6</v>
      </c>
      <c r="E1031">
        <v>6.6138700000000004</v>
      </c>
      <c r="F1031" t="s">
        <v>447</v>
      </c>
      <c r="G1031" t="s">
        <v>870</v>
      </c>
      <c r="H1031" t="s">
        <v>1071</v>
      </c>
      <c r="I1031">
        <f t="shared" si="61"/>
        <v>79.366440000000011</v>
      </c>
      <c r="J1031">
        <f t="shared" si="62"/>
        <v>36.000011618062807</v>
      </c>
      <c r="K1031">
        <v>0.84599999999999997</v>
      </c>
      <c r="L1031">
        <f t="shared" si="63"/>
        <v>30.456009828881133</v>
      </c>
    </row>
    <row r="1032" spans="1:12" x14ac:dyDescent="0.2">
      <c r="A1032" s="4">
        <v>43402</v>
      </c>
      <c r="B1032" t="s">
        <v>48</v>
      </c>
      <c r="C1032" s="28">
        <v>6</v>
      </c>
      <c r="D1032">
        <v>1</v>
      </c>
      <c r="E1032">
        <v>11</v>
      </c>
      <c r="F1032" t="s">
        <v>337</v>
      </c>
      <c r="G1032" t="s">
        <v>816</v>
      </c>
      <c r="H1032" t="s">
        <v>1071</v>
      </c>
      <c r="I1032">
        <f t="shared" si="61"/>
        <v>66</v>
      </c>
      <c r="J1032">
        <f t="shared" si="62"/>
        <v>29.937096420000003</v>
      </c>
      <c r="K1032">
        <v>2.1709999999999998</v>
      </c>
      <c r="L1032">
        <f t="shared" si="63"/>
        <v>64.993436327820007</v>
      </c>
    </row>
    <row r="1033" spans="1:12" x14ac:dyDescent="0.2">
      <c r="A1033" s="4">
        <v>43403</v>
      </c>
      <c r="B1033" t="s">
        <v>48</v>
      </c>
      <c r="C1033" s="28">
        <v>4</v>
      </c>
      <c r="D1033">
        <v>1</v>
      </c>
      <c r="E1033">
        <v>11</v>
      </c>
      <c r="F1033" t="s">
        <v>337</v>
      </c>
      <c r="G1033" t="s">
        <v>816</v>
      </c>
      <c r="H1033" t="s">
        <v>1071</v>
      </c>
      <c r="I1033">
        <f t="shared" si="61"/>
        <v>44</v>
      </c>
      <c r="J1033">
        <f t="shared" si="62"/>
        <v>19.958064280000002</v>
      </c>
      <c r="K1033">
        <v>2.1709999999999998</v>
      </c>
      <c r="L1033">
        <f t="shared" si="63"/>
        <v>43.328957551880002</v>
      </c>
    </row>
    <row r="1034" spans="1:12" x14ac:dyDescent="0.2">
      <c r="A1034" s="4">
        <v>43434</v>
      </c>
      <c r="B1034" t="s">
        <v>531</v>
      </c>
      <c r="C1034">
        <v>4</v>
      </c>
      <c r="D1034">
        <v>4</v>
      </c>
      <c r="E1034">
        <v>6</v>
      </c>
      <c r="F1034" t="s">
        <v>537</v>
      </c>
      <c r="G1034" t="s">
        <v>858</v>
      </c>
      <c r="H1034" t="s">
        <v>1071</v>
      </c>
      <c r="I1034">
        <f t="shared" si="61"/>
        <v>96</v>
      </c>
      <c r="J1034">
        <f t="shared" si="62"/>
        <v>43.544867520000004</v>
      </c>
      <c r="K1034">
        <v>0.374</v>
      </c>
      <c r="L1034">
        <f t="shared" si="63"/>
        <v>16.285780452480001</v>
      </c>
    </row>
    <row r="1035" spans="1:12" x14ac:dyDescent="0.2">
      <c r="A1035" s="4">
        <v>43437</v>
      </c>
      <c r="B1035" t="s">
        <v>531</v>
      </c>
      <c r="C1035">
        <v>5</v>
      </c>
      <c r="D1035">
        <v>4</v>
      </c>
      <c r="E1035">
        <v>6</v>
      </c>
      <c r="F1035" t="s">
        <v>413</v>
      </c>
      <c r="G1035" t="s">
        <v>858</v>
      </c>
      <c r="H1035" t="s">
        <v>1071</v>
      </c>
      <c r="I1035">
        <f t="shared" si="61"/>
        <v>120</v>
      </c>
      <c r="J1035">
        <f t="shared" si="62"/>
        <v>54.431084400000003</v>
      </c>
      <c r="K1035">
        <v>0.374</v>
      </c>
      <c r="L1035">
        <f t="shared" si="63"/>
        <v>20.3572255656</v>
      </c>
    </row>
    <row r="1036" spans="1:12" x14ac:dyDescent="0.2">
      <c r="A1036" s="4">
        <v>43400</v>
      </c>
      <c r="B1036" t="s">
        <v>48</v>
      </c>
      <c r="C1036" s="28">
        <v>8</v>
      </c>
      <c r="D1036">
        <v>1</v>
      </c>
      <c r="E1036">
        <v>40</v>
      </c>
      <c r="F1036" t="s">
        <v>249</v>
      </c>
      <c r="G1036" t="s">
        <v>783</v>
      </c>
      <c r="H1036" t="s">
        <v>1071</v>
      </c>
      <c r="I1036">
        <f t="shared" si="61"/>
        <v>320</v>
      </c>
      <c r="J1036">
        <f t="shared" si="62"/>
        <v>145.14955840000002</v>
      </c>
      <c r="K1036">
        <v>0.374</v>
      </c>
      <c r="L1036">
        <f t="shared" si="63"/>
        <v>54.285934841600003</v>
      </c>
    </row>
    <row r="1037" spans="1:12" x14ac:dyDescent="0.2">
      <c r="B1037" t="s">
        <v>48</v>
      </c>
      <c r="C1037" s="28">
        <v>8</v>
      </c>
      <c r="D1037">
        <v>1</v>
      </c>
      <c r="E1037">
        <v>40</v>
      </c>
      <c r="F1037" t="s">
        <v>249</v>
      </c>
      <c r="G1037" t="s">
        <v>783</v>
      </c>
      <c r="H1037" t="s">
        <v>1071</v>
      </c>
      <c r="I1037">
        <f t="shared" si="61"/>
        <v>320</v>
      </c>
      <c r="J1037">
        <f t="shared" si="62"/>
        <v>145.14955840000002</v>
      </c>
      <c r="K1037">
        <v>0.374</v>
      </c>
      <c r="L1037">
        <f t="shared" si="63"/>
        <v>54.285934841600003</v>
      </c>
    </row>
    <row r="1038" spans="1:12" x14ac:dyDescent="0.2">
      <c r="B1038" t="s">
        <v>48</v>
      </c>
      <c r="C1038" s="28">
        <v>5</v>
      </c>
      <c r="D1038">
        <v>1</v>
      </c>
      <c r="E1038">
        <v>40</v>
      </c>
      <c r="F1038" t="s">
        <v>249</v>
      </c>
      <c r="G1038" t="s">
        <v>783</v>
      </c>
      <c r="H1038" t="s">
        <v>1071</v>
      </c>
      <c r="I1038">
        <f t="shared" si="61"/>
        <v>200</v>
      </c>
      <c r="J1038">
        <f t="shared" si="62"/>
        <v>90.718474000000001</v>
      </c>
      <c r="K1038">
        <v>0.374</v>
      </c>
      <c r="L1038">
        <f t="shared" si="63"/>
        <v>33.928709275999999</v>
      </c>
    </row>
    <row r="1039" spans="1:12" x14ac:dyDescent="0.2">
      <c r="A1039" s="4">
        <v>43404</v>
      </c>
      <c r="B1039" t="s">
        <v>48</v>
      </c>
      <c r="C1039" s="28">
        <v>8</v>
      </c>
      <c r="D1039">
        <v>1</v>
      </c>
      <c r="E1039">
        <v>40</v>
      </c>
      <c r="F1039" t="s">
        <v>249</v>
      </c>
      <c r="G1039" t="s">
        <v>783</v>
      </c>
      <c r="H1039" t="s">
        <v>1071</v>
      </c>
      <c r="I1039">
        <f t="shared" si="61"/>
        <v>320</v>
      </c>
      <c r="J1039">
        <f t="shared" si="62"/>
        <v>145.14955840000002</v>
      </c>
      <c r="K1039">
        <v>0.374</v>
      </c>
      <c r="L1039">
        <f t="shared" si="63"/>
        <v>54.285934841600003</v>
      </c>
    </row>
    <row r="1040" spans="1:12" x14ac:dyDescent="0.2">
      <c r="A1040" s="4">
        <v>43405</v>
      </c>
      <c r="B1040" t="s">
        <v>48</v>
      </c>
      <c r="C1040" s="28">
        <v>7</v>
      </c>
      <c r="D1040">
        <v>1</v>
      </c>
      <c r="E1040">
        <v>40</v>
      </c>
      <c r="F1040" t="s">
        <v>249</v>
      </c>
      <c r="G1040" t="s">
        <v>783</v>
      </c>
      <c r="H1040" t="s">
        <v>1071</v>
      </c>
      <c r="I1040">
        <f t="shared" si="61"/>
        <v>280</v>
      </c>
      <c r="J1040">
        <f t="shared" si="62"/>
        <v>127.00586360000001</v>
      </c>
      <c r="K1040">
        <v>0.374</v>
      </c>
      <c r="L1040">
        <f t="shared" si="63"/>
        <v>47.500192986400002</v>
      </c>
    </row>
    <row r="1041" spans="1:12" x14ac:dyDescent="0.2">
      <c r="A1041" s="4">
        <v>43399</v>
      </c>
      <c r="B1041" t="s">
        <v>48</v>
      </c>
      <c r="C1041" s="28">
        <v>8</v>
      </c>
      <c r="D1041">
        <v>1</v>
      </c>
      <c r="E1041">
        <v>40</v>
      </c>
      <c r="F1041" t="s">
        <v>249</v>
      </c>
      <c r="G1041" t="s">
        <v>783</v>
      </c>
      <c r="H1041" t="s">
        <v>1071</v>
      </c>
      <c r="I1041">
        <f t="shared" si="61"/>
        <v>320</v>
      </c>
      <c r="J1041">
        <f t="shared" si="62"/>
        <v>145.14955840000002</v>
      </c>
      <c r="K1041">
        <v>0.374</v>
      </c>
      <c r="L1041">
        <f t="shared" si="63"/>
        <v>54.285934841600003</v>
      </c>
    </row>
    <row r="1042" spans="1:12" x14ac:dyDescent="0.2">
      <c r="A1042" s="28"/>
      <c r="B1042" t="s">
        <v>48</v>
      </c>
      <c r="C1042" s="28">
        <v>2</v>
      </c>
      <c r="D1042">
        <v>1</v>
      </c>
      <c r="E1042">
        <v>1</v>
      </c>
      <c r="F1042" t="s">
        <v>305</v>
      </c>
      <c r="G1042" t="s">
        <v>184</v>
      </c>
      <c r="H1042" t="s">
        <v>1071</v>
      </c>
      <c r="I1042">
        <f t="shared" si="61"/>
        <v>2</v>
      </c>
      <c r="J1042">
        <f t="shared" si="62"/>
        <v>0.90718474000000004</v>
      </c>
      <c r="K1042">
        <v>0.221</v>
      </c>
      <c r="L1042">
        <f t="shared" si="63"/>
        <v>0.20048782754000002</v>
      </c>
    </row>
    <row r="1043" spans="1:12" x14ac:dyDescent="0.2">
      <c r="B1043" t="s">
        <v>48</v>
      </c>
      <c r="C1043" s="28">
        <v>2</v>
      </c>
      <c r="D1043">
        <v>1</v>
      </c>
      <c r="E1043">
        <v>1</v>
      </c>
      <c r="F1043" t="s">
        <v>305</v>
      </c>
      <c r="G1043" t="s">
        <v>184</v>
      </c>
      <c r="H1043" t="s">
        <v>1071</v>
      </c>
      <c r="I1043">
        <f t="shared" si="61"/>
        <v>2</v>
      </c>
      <c r="J1043">
        <f t="shared" si="62"/>
        <v>0.90718474000000004</v>
      </c>
      <c r="K1043">
        <v>0.221</v>
      </c>
      <c r="L1043">
        <f t="shared" si="63"/>
        <v>0.20048782754000002</v>
      </c>
    </row>
    <row r="1044" spans="1:12" x14ac:dyDescent="0.2">
      <c r="B1044" t="s">
        <v>48</v>
      </c>
      <c r="C1044" s="28">
        <v>3</v>
      </c>
      <c r="D1044">
        <v>1</v>
      </c>
      <c r="E1044">
        <v>1</v>
      </c>
      <c r="F1044" t="s">
        <v>305</v>
      </c>
      <c r="G1044" t="s">
        <v>184</v>
      </c>
      <c r="H1044" t="s">
        <v>1071</v>
      </c>
      <c r="I1044">
        <f t="shared" si="61"/>
        <v>3</v>
      </c>
      <c r="J1044">
        <f t="shared" si="62"/>
        <v>1.3607771100000001</v>
      </c>
      <c r="K1044">
        <v>0.221</v>
      </c>
      <c r="L1044">
        <f t="shared" si="63"/>
        <v>0.30073174131000002</v>
      </c>
    </row>
    <row r="1045" spans="1:12" x14ac:dyDescent="0.2">
      <c r="B1045" t="s">
        <v>48</v>
      </c>
      <c r="C1045" s="28">
        <v>3</v>
      </c>
      <c r="D1045">
        <v>1</v>
      </c>
      <c r="E1045">
        <v>1</v>
      </c>
      <c r="F1045" t="s">
        <v>305</v>
      </c>
      <c r="G1045" t="s">
        <v>184</v>
      </c>
      <c r="H1045" t="s">
        <v>1071</v>
      </c>
      <c r="I1045">
        <f t="shared" si="61"/>
        <v>3</v>
      </c>
      <c r="J1045">
        <f t="shared" si="62"/>
        <v>1.3607771100000001</v>
      </c>
      <c r="K1045">
        <v>0.221</v>
      </c>
      <c r="L1045">
        <f t="shared" si="63"/>
        <v>0.30073174131000002</v>
      </c>
    </row>
    <row r="1046" spans="1:12" x14ac:dyDescent="0.2">
      <c r="A1046" s="4">
        <v>43434</v>
      </c>
      <c r="B1046" t="s">
        <v>538</v>
      </c>
      <c r="C1046">
        <v>3</v>
      </c>
      <c r="D1046">
        <v>6</v>
      </c>
      <c r="E1046">
        <v>10</v>
      </c>
      <c r="F1046" t="s">
        <v>420</v>
      </c>
      <c r="G1046" t="s">
        <v>898</v>
      </c>
      <c r="H1046" t="s">
        <v>1071</v>
      </c>
      <c r="I1046">
        <f t="shared" si="61"/>
        <v>180</v>
      </c>
      <c r="J1046">
        <f t="shared" si="62"/>
        <v>81.646626600000005</v>
      </c>
      <c r="K1046">
        <v>0.308</v>
      </c>
      <c r="L1046">
        <f t="shared" si="63"/>
        <v>25.1471609928</v>
      </c>
    </row>
    <row r="1047" spans="1:12" x14ac:dyDescent="0.2">
      <c r="A1047" s="4">
        <v>43439</v>
      </c>
      <c r="B1047" t="s">
        <v>538</v>
      </c>
      <c r="C1047">
        <v>1</v>
      </c>
      <c r="D1047">
        <v>6</v>
      </c>
      <c r="E1047">
        <v>10</v>
      </c>
      <c r="F1047" t="s">
        <v>420</v>
      </c>
      <c r="G1047" t="s">
        <v>898</v>
      </c>
      <c r="H1047" t="s">
        <v>1071</v>
      </c>
      <c r="I1047">
        <f t="shared" si="61"/>
        <v>60</v>
      </c>
      <c r="J1047">
        <f t="shared" si="62"/>
        <v>27.215542200000002</v>
      </c>
      <c r="K1047">
        <v>0.308</v>
      </c>
      <c r="L1047">
        <f t="shared" si="63"/>
        <v>8.3823869976000012</v>
      </c>
    </row>
    <row r="1048" spans="1:12" x14ac:dyDescent="0.2">
      <c r="A1048" s="4">
        <v>43434</v>
      </c>
      <c r="B1048" t="s">
        <v>538</v>
      </c>
      <c r="C1048">
        <v>2</v>
      </c>
      <c r="D1048">
        <v>6</v>
      </c>
      <c r="E1048">
        <v>10</v>
      </c>
      <c r="F1048" t="s">
        <v>565</v>
      </c>
      <c r="G1048" t="s">
        <v>935</v>
      </c>
      <c r="H1048" t="s">
        <v>1071</v>
      </c>
      <c r="I1048">
        <f t="shared" si="61"/>
        <v>120</v>
      </c>
      <c r="J1048">
        <f t="shared" si="62"/>
        <v>54.431084400000003</v>
      </c>
      <c r="K1048">
        <v>0.308</v>
      </c>
      <c r="L1048">
        <f t="shared" si="63"/>
        <v>16.764773995200002</v>
      </c>
    </row>
    <row r="1049" spans="1:12" x14ac:dyDescent="0.2">
      <c r="A1049" s="4">
        <v>43434</v>
      </c>
      <c r="B1049" t="s">
        <v>538</v>
      </c>
      <c r="C1049">
        <v>3</v>
      </c>
      <c r="D1049">
        <v>6</v>
      </c>
      <c r="E1049">
        <v>10</v>
      </c>
      <c r="F1049" t="s">
        <v>540</v>
      </c>
      <c r="G1049" t="s">
        <v>897</v>
      </c>
      <c r="H1049" t="s">
        <v>1071</v>
      </c>
      <c r="I1049">
        <f t="shared" si="61"/>
        <v>180</v>
      </c>
      <c r="J1049">
        <f t="shared" si="62"/>
        <v>81.646626600000005</v>
      </c>
      <c r="K1049">
        <v>0.308</v>
      </c>
      <c r="L1049">
        <f t="shared" si="63"/>
        <v>25.1471609928</v>
      </c>
    </row>
    <row r="1050" spans="1:12" x14ac:dyDescent="0.2">
      <c r="A1050" s="4">
        <v>43439</v>
      </c>
      <c r="B1050" t="s">
        <v>538</v>
      </c>
      <c r="C1050">
        <v>1</v>
      </c>
      <c r="D1050">
        <v>6</v>
      </c>
      <c r="E1050">
        <v>10</v>
      </c>
      <c r="F1050" t="s">
        <v>440</v>
      </c>
      <c r="G1050" t="s">
        <v>922</v>
      </c>
      <c r="H1050" t="s">
        <v>1071</v>
      </c>
      <c r="I1050">
        <f t="shared" si="61"/>
        <v>60</v>
      </c>
      <c r="J1050">
        <f t="shared" si="62"/>
        <v>27.215542200000002</v>
      </c>
      <c r="K1050">
        <v>0.308</v>
      </c>
      <c r="L1050">
        <f t="shared" si="63"/>
        <v>8.3823869976000012</v>
      </c>
    </row>
    <row r="1051" spans="1:12" x14ac:dyDescent="0.2">
      <c r="A1051" s="4">
        <v>43439</v>
      </c>
      <c r="B1051" t="s">
        <v>538</v>
      </c>
      <c r="C1051">
        <v>1</v>
      </c>
      <c r="D1051">
        <v>1</v>
      </c>
      <c r="E1051">
        <v>20</v>
      </c>
      <c r="F1051" t="s">
        <v>591</v>
      </c>
      <c r="G1051" t="s">
        <v>920</v>
      </c>
      <c r="H1051" t="s">
        <v>1071</v>
      </c>
      <c r="I1051">
        <f t="shared" si="61"/>
        <v>20</v>
      </c>
      <c r="J1051">
        <f t="shared" si="62"/>
        <v>9.0718474000000011</v>
      </c>
      <c r="K1051">
        <v>0.308</v>
      </c>
      <c r="L1051">
        <f t="shared" si="63"/>
        <v>2.7941289992000002</v>
      </c>
    </row>
    <row r="1052" spans="1:12" x14ac:dyDescent="0.2">
      <c r="B1052" t="s">
        <v>48</v>
      </c>
      <c r="C1052" s="28">
        <v>4</v>
      </c>
      <c r="D1052">
        <v>1</v>
      </c>
      <c r="E1052">
        <v>10</v>
      </c>
      <c r="F1052" t="s">
        <v>358</v>
      </c>
      <c r="G1052" t="s">
        <v>833</v>
      </c>
      <c r="H1052" t="s">
        <v>1071</v>
      </c>
      <c r="I1052">
        <f t="shared" si="61"/>
        <v>40</v>
      </c>
      <c r="J1052">
        <f t="shared" si="62"/>
        <v>18.143694800000002</v>
      </c>
      <c r="K1052">
        <v>0.754</v>
      </c>
      <c r="L1052">
        <f t="shared" si="63"/>
        <v>13.680345879200003</v>
      </c>
    </row>
    <row r="1053" spans="1:12" x14ac:dyDescent="0.2">
      <c r="A1053" s="28"/>
      <c r="B1053" t="s">
        <v>48</v>
      </c>
      <c r="C1053" s="28">
        <v>5</v>
      </c>
      <c r="D1053">
        <v>1</v>
      </c>
      <c r="E1053">
        <v>10</v>
      </c>
      <c r="F1053" t="s">
        <v>297</v>
      </c>
      <c r="G1053" t="s">
        <v>936</v>
      </c>
      <c r="H1053" t="s">
        <v>1071</v>
      </c>
      <c r="I1053">
        <f t="shared" si="61"/>
        <v>50</v>
      </c>
      <c r="J1053">
        <f t="shared" si="62"/>
        <v>22.6796185</v>
      </c>
      <c r="K1053">
        <v>0.66200000000000003</v>
      </c>
      <c r="L1053">
        <f t="shared" si="63"/>
        <v>15.013907447000001</v>
      </c>
    </row>
    <row r="1054" spans="1:12" x14ac:dyDescent="0.2">
      <c r="B1054" t="s">
        <v>48</v>
      </c>
      <c r="C1054" s="28">
        <v>2</v>
      </c>
      <c r="D1054">
        <v>1</v>
      </c>
      <c r="E1054">
        <v>10</v>
      </c>
      <c r="F1054" t="s">
        <v>297</v>
      </c>
      <c r="G1054" t="s">
        <v>936</v>
      </c>
      <c r="H1054" t="s">
        <v>1071</v>
      </c>
      <c r="I1054">
        <f t="shared" si="61"/>
        <v>20</v>
      </c>
      <c r="J1054">
        <f t="shared" si="62"/>
        <v>9.0718474000000011</v>
      </c>
      <c r="K1054">
        <v>0.66200000000000003</v>
      </c>
      <c r="L1054">
        <f t="shared" si="63"/>
        <v>6.0055629788000013</v>
      </c>
    </row>
    <row r="1055" spans="1:12" x14ac:dyDescent="0.2">
      <c r="B1055" t="s">
        <v>48</v>
      </c>
      <c r="C1055" s="28">
        <v>5</v>
      </c>
      <c r="D1055">
        <v>1</v>
      </c>
      <c r="E1055">
        <v>10</v>
      </c>
      <c r="F1055" t="s">
        <v>347</v>
      </c>
      <c r="G1055" t="s">
        <v>936</v>
      </c>
      <c r="H1055" t="s">
        <v>1071</v>
      </c>
      <c r="I1055">
        <f t="shared" si="61"/>
        <v>50</v>
      </c>
      <c r="J1055">
        <f t="shared" si="62"/>
        <v>22.6796185</v>
      </c>
      <c r="K1055">
        <v>0.66200000000000003</v>
      </c>
      <c r="L1055">
        <f t="shared" si="63"/>
        <v>15.013907447000001</v>
      </c>
    </row>
    <row r="1056" spans="1:12" x14ac:dyDescent="0.2">
      <c r="B1056" t="s">
        <v>48</v>
      </c>
      <c r="C1056" s="28">
        <v>4</v>
      </c>
      <c r="D1056">
        <v>1</v>
      </c>
      <c r="E1056">
        <v>10</v>
      </c>
      <c r="F1056" t="s">
        <v>297</v>
      </c>
      <c r="G1056" t="s">
        <v>936</v>
      </c>
      <c r="H1056" t="s">
        <v>1071</v>
      </c>
      <c r="I1056">
        <f t="shared" si="61"/>
        <v>40</v>
      </c>
      <c r="J1056">
        <f t="shared" si="62"/>
        <v>18.143694800000002</v>
      </c>
      <c r="K1056">
        <v>0.66200000000000003</v>
      </c>
      <c r="L1056">
        <f t="shared" si="63"/>
        <v>12.011125957600003</v>
      </c>
    </row>
    <row r="1057" spans="1:12" x14ac:dyDescent="0.2">
      <c r="A1057" s="4">
        <v>43405</v>
      </c>
      <c r="B1057" t="s">
        <v>48</v>
      </c>
      <c r="C1057" s="28">
        <v>4</v>
      </c>
      <c r="D1057">
        <v>1</v>
      </c>
      <c r="E1057">
        <v>10</v>
      </c>
      <c r="F1057" t="s">
        <v>236</v>
      </c>
      <c r="G1057" t="s">
        <v>936</v>
      </c>
      <c r="H1057" t="s">
        <v>1071</v>
      </c>
      <c r="I1057">
        <f t="shared" si="61"/>
        <v>40</v>
      </c>
      <c r="J1057">
        <f t="shared" si="62"/>
        <v>18.143694800000002</v>
      </c>
      <c r="K1057">
        <v>0.66200000000000003</v>
      </c>
      <c r="L1057">
        <f t="shared" si="63"/>
        <v>12.011125957600003</v>
      </c>
    </row>
    <row r="1058" spans="1:12" x14ac:dyDescent="0.2">
      <c r="B1058" t="s">
        <v>48</v>
      </c>
      <c r="C1058" s="28">
        <v>8</v>
      </c>
      <c r="D1058">
        <v>1</v>
      </c>
      <c r="E1058">
        <v>10</v>
      </c>
      <c r="F1058" t="s">
        <v>297</v>
      </c>
      <c r="G1058" t="s">
        <v>936</v>
      </c>
      <c r="H1058" t="s">
        <v>1071</v>
      </c>
      <c r="I1058">
        <f t="shared" si="61"/>
        <v>80</v>
      </c>
      <c r="J1058">
        <f t="shared" si="62"/>
        <v>36.287389600000004</v>
      </c>
      <c r="K1058">
        <v>0.66200000000000003</v>
      </c>
      <c r="L1058">
        <f t="shared" si="63"/>
        <v>24.022251915200005</v>
      </c>
    </row>
    <row r="1059" spans="1:12" x14ac:dyDescent="0.2">
      <c r="A1059" s="4">
        <v>43399</v>
      </c>
      <c r="B1059" t="s">
        <v>175</v>
      </c>
      <c r="C1059" s="28">
        <v>1</v>
      </c>
      <c r="D1059">
        <v>1</v>
      </c>
      <c r="E1059">
        <v>81.040000000000006</v>
      </c>
      <c r="F1059" t="s">
        <v>177</v>
      </c>
      <c r="G1059" t="s">
        <v>10</v>
      </c>
      <c r="H1059" t="s">
        <v>1072</v>
      </c>
      <c r="I1059">
        <f t="shared" si="61"/>
        <v>81.040000000000006</v>
      </c>
      <c r="J1059">
        <f t="shared" si="62"/>
        <v>36.759125664800003</v>
      </c>
      <c r="K1059">
        <v>32.845999999999997</v>
      </c>
      <c r="L1059">
        <f t="shared" si="63"/>
        <v>1207.3902415860207</v>
      </c>
    </row>
    <row r="1060" spans="1:12" x14ac:dyDescent="0.2">
      <c r="A1060" s="4">
        <v>43399</v>
      </c>
      <c r="B1060" t="s">
        <v>283</v>
      </c>
      <c r="C1060" s="28">
        <v>1</v>
      </c>
      <c r="D1060">
        <v>1</v>
      </c>
      <c r="E1060">
        <v>120</v>
      </c>
      <c r="F1060" t="s">
        <v>12</v>
      </c>
      <c r="G1060" t="s">
        <v>10</v>
      </c>
      <c r="H1060" t="s">
        <v>1072</v>
      </c>
      <c r="I1060">
        <f t="shared" si="61"/>
        <v>120</v>
      </c>
      <c r="J1060">
        <f t="shared" si="62"/>
        <v>54.431084400000003</v>
      </c>
      <c r="K1060">
        <v>32.845999999999997</v>
      </c>
      <c r="L1060">
        <f t="shared" si="63"/>
        <v>1787.8433982023998</v>
      </c>
    </row>
    <row r="1061" spans="1:12" x14ac:dyDescent="0.2">
      <c r="A1061" s="4">
        <v>43399</v>
      </c>
      <c r="B1061" t="s">
        <v>283</v>
      </c>
      <c r="C1061" s="28">
        <v>1</v>
      </c>
      <c r="D1061">
        <v>1</v>
      </c>
      <c r="E1061">
        <v>40</v>
      </c>
      <c r="F1061" t="s">
        <v>11</v>
      </c>
      <c r="G1061" t="s">
        <v>10</v>
      </c>
      <c r="H1061" t="s">
        <v>1072</v>
      </c>
      <c r="I1061">
        <f t="shared" si="61"/>
        <v>40</v>
      </c>
      <c r="J1061">
        <f t="shared" si="62"/>
        <v>18.143694800000002</v>
      </c>
      <c r="K1061">
        <v>32.845999999999997</v>
      </c>
      <c r="L1061">
        <f t="shared" si="63"/>
        <v>595.94779940080002</v>
      </c>
    </row>
    <row r="1062" spans="1:12" x14ac:dyDescent="0.2">
      <c r="A1062" s="4">
        <v>43399</v>
      </c>
      <c r="B1062" t="s">
        <v>283</v>
      </c>
      <c r="C1062" s="28">
        <v>1</v>
      </c>
      <c r="D1062">
        <v>1</v>
      </c>
      <c r="E1062">
        <v>100</v>
      </c>
      <c r="F1062" t="s">
        <v>11</v>
      </c>
      <c r="G1062" t="s">
        <v>10</v>
      </c>
      <c r="H1062" t="s">
        <v>1072</v>
      </c>
      <c r="I1062">
        <f t="shared" si="61"/>
        <v>100</v>
      </c>
      <c r="J1062">
        <f t="shared" si="62"/>
        <v>45.359237</v>
      </c>
      <c r="K1062">
        <v>32.845999999999997</v>
      </c>
      <c r="L1062">
        <f t="shared" si="63"/>
        <v>1489.8694985019999</v>
      </c>
    </row>
    <row r="1063" spans="1:12" x14ac:dyDescent="0.2">
      <c r="A1063" s="4">
        <v>43399</v>
      </c>
      <c r="B1063" t="s">
        <v>283</v>
      </c>
      <c r="C1063" s="28">
        <v>1</v>
      </c>
      <c r="D1063">
        <v>1</v>
      </c>
      <c r="E1063">
        <v>240</v>
      </c>
      <c r="F1063" t="s">
        <v>12</v>
      </c>
      <c r="G1063" t="s">
        <v>10</v>
      </c>
      <c r="H1063" t="s">
        <v>1072</v>
      </c>
      <c r="I1063">
        <f t="shared" si="61"/>
        <v>240</v>
      </c>
      <c r="J1063">
        <f t="shared" si="62"/>
        <v>108.86216880000001</v>
      </c>
      <c r="K1063">
        <v>32.845999999999997</v>
      </c>
      <c r="L1063">
        <f t="shared" si="63"/>
        <v>3575.6867964047997</v>
      </c>
    </row>
    <row r="1064" spans="1:12" x14ac:dyDescent="0.2">
      <c r="A1064" s="4">
        <v>43434</v>
      </c>
      <c r="B1064" t="s">
        <v>525</v>
      </c>
      <c r="C1064">
        <v>1</v>
      </c>
      <c r="D1064">
        <v>1</v>
      </c>
      <c r="E1064">
        <v>220.62</v>
      </c>
      <c r="F1064" t="s">
        <v>397</v>
      </c>
      <c r="G1064" t="s">
        <v>850</v>
      </c>
      <c r="H1064" t="s">
        <v>1072</v>
      </c>
      <c r="I1064">
        <f t="shared" si="61"/>
        <v>220.62</v>
      </c>
      <c r="J1064">
        <f t="shared" si="62"/>
        <v>100.0715486694</v>
      </c>
      <c r="K1064">
        <v>32.845999999999997</v>
      </c>
      <c r="L1064">
        <f t="shared" si="63"/>
        <v>3286.9500875951121</v>
      </c>
    </row>
    <row r="1065" spans="1:12" x14ac:dyDescent="0.2">
      <c r="A1065" s="4">
        <v>43439</v>
      </c>
      <c r="B1065" t="s">
        <v>525</v>
      </c>
      <c r="C1065">
        <v>4</v>
      </c>
      <c r="D1065">
        <v>1</v>
      </c>
      <c r="E1065">
        <v>10</v>
      </c>
      <c r="F1065" t="s">
        <v>588</v>
      </c>
      <c r="G1065" t="s">
        <v>10</v>
      </c>
      <c r="H1065" t="s">
        <v>1072</v>
      </c>
      <c r="I1065">
        <f t="shared" si="61"/>
        <v>40</v>
      </c>
      <c r="J1065">
        <f t="shared" si="62"/>
        <v>18.143694800000002</v>
      </c>
      <c r="K1065">
        <v>32.845999999999997</v>
      </c>
      <c r="L1065">
        <f t="shared" si="63"/>
        <v>595.94779940080002</v>
      </c>
    </row>
    <row r="1066" spans="1:12" x14ac:dyDescent="0.2">
      <c r="A1066" s="4">
        <v>43439</v>
      </c>
      <c r="B1066" t="s">
        <v>525</v>
      </c>
      <c r="C1066">
        <v>1</v>
      </c>
      <c r="D1066">
        <v>1</v>
      </c>
      <c r="E1066">
        <v>143.28</v>
      </c>
      <c r="F1066" t="s">
        <v>397</v>
      </c>
      <c r="G1066" t="s">
        <v>850</v>
      </c>
      <c r="H1066" t="s">
        <v>1072</v>
      </c>
      <c r="I1066">
        <f t="shared" si="61"/>
        <v>143.28</v>
      </c>
      <c r="J1066">
        <f t="shared" si="62"/>
        <v>64.990714773600004</v>
      </c>
      <c r="K1066">
        <v>32.845999999999997</v>
      </c>
      <c r="L1066">
        <f t="shared" si="63"/>
        <v>2134.6850174536653</v>
      </c>
    </row>
    <row r="1067" spans="1:12" x14ac:dyDescent="0.2">
      <c r="B1067" t="s">
        <v>48</v>
      </c>
      <c r="C1067" s="28">
        <v>1</v>
      </c>
      <c r="D1067">
        <v>1</v>
      </c>
      <c r="E1067">
        <v>25</v>
      </c>
      <c r="F1067" t="s">
        <v>361</v>
      </c>
      <c r="G1067" t="s">
        <v>820</v>
      </c>
      <c r="H1067" t="s">
        <v>1071</v>
      </c>
      <c r="I1067">
        <f t="shared" si="61"/>
        <v>25</v>
      </c>
      <c r="J1067">
        <f t="shared" si="62"/>
        <v>11.33980925</v>
      </c>
      <c r="K1067">
        <v>0.19400000000000001</v>
      </c>
      <c r="L1067">
        <f t="shared" si="63"/>
        <v>2.1999229945000001</v>
      </c>
    </row>
    <row r="1068" spans="1:12" x14ac:dyDescent="0.2">
      <c r="A1068" s="4">
        <v>43434</v>
      </c>
      <c r="B1068" t="s">
        <v>531</v>
      </c>
      <c r="C1068">
        <v>4</v>
      </c>
      <c r="D1068">
        <v>40</v>
      </c>
      <c r="E1068">
        <f>4/16</f>
        <v>0.25</v>
      </c>
      <c r="F1068" t="s">
        <v>536</v>
      </c>
      <c r="G1068" s="6" t="s">
        <v>893</v>
      </c>
      <c r="H1068" t="s">
        <v>1071</v>
      </c>
      <c r="I1068">
        <f t="shared" si="61"/>
        <v>40</v>
      </c>
      <c r="J1068">
        <f t="shared" si="62"/>
        <v>18.143694800000002</v>
      </c>
      <c r="K1068">
        <v>3.5270000000000001</v>
      </c>
      <c r="L1068">
        <f t="shared" si="63"/>
        <v>63.992811559600007</v>
      </c>
    </row>
    <row r="1069" spans="1:12" x14ac:dyDescent="0.2">
      <c r="A1069" s="4">
        <v>43434</v>
      </c>
      <c r="B1069" t="s">
        <v>531</v>
      </c>
      <c r="C1069">
        <v>2</v>
      </c>
      <c r="D1069">
        <v>2</v>
      </c>
      <c r="E1069">
        <v>5</v>
      </c>
      <c r="F1069" t="s">
        <v>535</v>
      </c>
      <c r="G1069" s="14" t="s">
        <v>1087</v>
      </c>
      <c r="H1069" s="6" t="s">
        <v>1071</v>
      </c>
      <c r="I1069">
        <f t="shared" si="61"/>
        <v>20</v>
      </c>
      <c r="J1069">
        <f t="shared" si="62"/>
        <v>9.0718474000000011</v>
      </c>
      <c r="K1069">
        <v>0</v>
      </c>
      <c r="L1069">
        <f t="shared" si="63"/>
        <v>0</v>
      </c>
    </row>
    <row r="1070" spans="1:12" x14ac:dyDescent="0.2">
      <c r="A1070" s="4">
        <v>43434</v>
      </c>
      <c r="B1070" t="s">
        <v>531</v>
      </c>
      <c r="C1070">
        <v>2</v>
      </c>
      <c r="D1070">
        <v>210</v>
      </c>
      <c r="E1070" t="s">
        <v>1017</v>
      </c>
      <c r="F1070" t="s">
        <v>409</v>
      </c>
      <c r="G1070" s="14" t="s">
        <v>1086</v>
      </c>
      <c r="H1070" s="9" t="s">
        <v>1071</v>
      </c>
      <c r="I1070">
        <v>0</v>
      </c>
      <c r="J1070">
        <f t="shared" si="62"/>
        <v>0</v>
      </c>
      <c r="K1070">
        <v>2.2999999999999998</v>
      </c>
      <c r="L1070">
        <f t="shared" si="63"/>
        <v>0</v>
      </c>
    </row>
    <row r="1071" spans="1:12" x14ac:dyDescent="0.2">
      <c r="A1071" s="4">
        <v>43434</v>
      </c>
      <c r="B1071" t="s">
        <v>531</v>
      </c>
      <c r="C1071">
        <v>4</v>
      </c>
      <c r="D1071">
        <v>48</v>
      </c>
      <c r="E1071">
        <v>0.18124999999999999</v>
      </c>
      <c r="F1071" t="s">
        <v>417</v>
      </c>
      <c r="G1071" s="6" t="s">
        <v>895</v>
      </c>
      <c r="H1071" t="s">
        <v>1071</v>
      </c>
      <c r="I1071">
        <f t="shared" ref="I1071:I1102" si="64">C1071*D1071*E1071</f>
        <v>34.799999999999997</v>
      </c>
      <c r="J1071">
        <f t="shared" si="62"/>
        <v>15.785014475999999</v>
      </c>
      <c r="K1071">
        <v>6.87</v>
      </c>
      <c r="L1071">
        <f t="shared" si="63"/>
        <v>108.44304945012</v>
      </c>
    </row>
    <row r="1072" spans="1:12" x14ac:dyDescent="0.2">
      <c r="B1072" t="s">
        <v>48</v>
      </c>
      <c r="C1072" s="28">
        <v>4</v>
      </c>
      <c r="D1072">
        <v>1</v>
      </c>
      <c r="E1072">
        <v>6</v>
      </c>
      <c r="F1072" t="s">
        <v>252</v>
      </c>
      <c r="G1072" t="s">
        <v>252</v>
      </c>
      <c r="H1072" t="s">
        <v>1071</v>
      </c>
      <c r="I1072">
        <f t="shared" si="64"/>
        <v>24</v>
      </c>
      <c r="J1072">
        <f t="shared" si="62"/>
        <v>10.886216880000001</v>
      </c>
      <c r="K1072">
        <v>0.59899999999999998</v>
      </c>
      <c r="L1072">
        <f t="shared" si="63"/>
        <v>6.5208439111200001</v>
      </c>
    </row>
    <row r="1073" spans="1:12" x14ac:dyDescent="0.2">
      <c r="B1073" t="s">
        <v>48</v>
      </c>
      <c r="C1073" s="28">
        <v>5</v>
      </c>
      <c r="D1073">
        <v>1</v>
      </c>
      <c r="E1073">
        <v>6</v>
      </c>
      <c r="F1073" t="s">
        <v>252</v>
      </c>
      <c r="G1073" t="s">
        <v>252</v>
      </c>
      <c r="H1073" t="s">
        <v>1071</v>
      </c>
      <c r="I1073">
        <f t="shared" si="64"/>
        <v>30</v>
      </c>
      <c r="J1073">
        <f t="shared" si="62"/>
        <v>13.607771100000001</v>
      </c>
      <c r="K1073">
        <v>0.59899999999999998</v>
      </c>
      <c r="L1073">
        <f t="shared" si="63"/>
        <v>8.151054888900001</v>
      </c>
    </row>
    <row r="1074" spans="1:12" x14ac:dyDescent="0.2">
      <c r="A1074" s="4">
        <v>43434</v>
      </c>
      <c r="B1074" t="s">
        <v>538</v>
      </c>
      <c r="C1074">
        <v>1</v>
      </c>
      <c r="D1074">
        <v>1</v>
      </c>
      <c r="E1074">
        <v>25</v>
      </c>
      <c r="F1074" t="s">
        <v>551</v>
      </c>
      <c r="G1074" s="6" t="s">
        <v>868</v>
      </c>
      <c r="H1074" t="s">
        <v>1071</v>
      </c>
      <c r="I1074">
        <f t="shared" si="64"/>
        <v>25</v>
      </c>
      <c r="J1074">
        <f t="shared" si="62"/>
        <v>11.33980925</v>
      </c>
      <c r="K1074">
        <v>1.28</v>
      </c>
      <c r="L1074">
        <f t="shared" si="63"/>
        <v>14.514955840000001</v>
      </c>
    </row>
    <row r="1075" spans="1:12" x14ac:dyDescent="0.2">
      <c r="A1075" s="4">
        <v>43439</v>
      </c>
      <c r="B1075" t="s">
        <v>531</v>
      </c>
      <c r="C1075">
        <v>1</v>
      </c>
      <c r="D1075">
        <v>10</v>
      </c>
      <c r="E1075">
        <v>1</v>
      </c>
      <c r="F1075" t="s">
        <v>410</v>
      </c>
      <c r="G1075" s="6" t="s">
        <v>868</v>
      </c>
      <c r="H1075" t="s">
        <v>1071</v>
      </c>
      <c r="I1075">
        <f t="shared" si="64"/>
        <v>10</v>
      </c>
      <c r="J1075">
        <f t="shared" si="62"/>
        <v>4.5359237000000006</v>
      </c>
      <c r="K1075">
        <v>1.28</v>
      </c>
      <c r="L1075">
        <f t="shared" si="63"/>
        <v>5.8059823360000005</v>
      </c>
    </row>
    <row r="1076" spans="1:12" x14ac:dyDescent="0.2">
      <c r="A1076" s="28"/>
      <c r="B1076" t="s">
        <v>48</v>
      </c>
      <c r="C1076" s="28">
        <v>10</v>
      </c>
      <c r="D1076">
        <v>1</v>
      </c>
      <c r="E1076">
        <v>12</v>
      </c>
      <c r="F1076" t="s">
        <v>298</v>
      </c>
      <c r="G1076" t="s">
        <v>784</v>
      </c>
      <c r="H1076" t="s">
        <v>1071</v>
      </c>
      <c r="I1076">
        <f t="shared" si="64"/>
        <v>120</v>
      </c>
      <c r="J1076">
        <f t="shared" si="62"/>
        <v>54.431084400000003</v>
      </c>
      <c r="K1076">
        <v>0.79700000000000004</v>
      </c>
      <c r="L1076">
        <f t="shared" si="63"/>
        <v>43.381574266800001</v>
      </c>
    </row>
    <row r="1077" spans="1:12" x14ac:dyDescent="0.2">
      <c r="B1077" t="s">
        <v>48</v>
      </c>
      <c r="C1077" s="28">
        <v>4</v>
      </c>
      <c r="D1077">
        <v>1</v>
      </c>
      <c r="E1077">
        <v>12</v>
      </c>
      <c r="F1077" t="s">
        <v>298</v>
      </c>
      <c r="G1077" t="s">
        <v>784</v>
      </c>
      <c r="H1077" t="s">
        <v>1071</v>
      </c>
      <c r="I1077">
        <f t="shared" si="64"/>
        <v>48</v>
      </c>
      <c r="J1077">
        <f t="shared" si="62"/>
        <v>21.772433760000002</v>
      </c>
      <c r="K1077">
        <v>0.79700000000000004</v>
      </c>
      <c r="L1077">
        <f t="shared" si="63"/>
        <v>17.352629706720002</v>
      </c>
    </row>
    <row r="1078" spans="1:12" x14ac:dyDescent="0.2">
      <c r="B1078" t="s">
        <v>48</v>
      </c>
      <c r="C1078" s="28">
        <v>10</v>
      </c>
      <c r="D1078">
        <v>1</v>
      </c>
      <c r="E1078">
        <v>12</v>
      </c>
      <c r="F1078" t="s">
        <v>298</v>
      </c>
      <c r="G1078" t="s">
        <v>784</v>
      </c>
      <c r="H1078" t="s">
        <v>1071</v>
      </c>
      <c r="I1078">
        <f t="shared" si="64"/>
        <v>120</v>
      </c>
      <c r="J1078">
        <f t="shared" si="62"/>
        <v>54.431084400000003</v>
      </c>
      <c r="K1078">
        <v>0.79700000000000004</v>
      </c>
      <c r="L1078">
        <f t="shared" si="63"/>
        <v>43.381574266800001</v>
      </c>
    </row>
    <row r="1079" spans="1:12" x14ac:dyDescent="0.2">
      <c r="B1079" t="s">
        <v>48</v>
      </c>
      <c r="C1079" s="28">
        <v>10</v>
      </c>
      <c r="D1079">
        <v>1</v>
      </c>
      <c r="E1079">
        <v>12</v>
      </c>
      <c r="F1079" t="s">
        <v>298</v>
      </c>
      <c r="G1079" t="s">
        <v>784</v>
      </c>
      <c r="H1079" t="s">
        <v>1071</v>
      </c>
      <c r="I1079">
        <f t="shared" si="64"/>
        <v>120</v>
      </c>
      <c r="J1079">
        <f t="shared" si="62"/>
        <v>54.431084400000003</v>
      </c>
      <c r="K1079">
        <v>0.79700000000000004</v>
      </c>
      <c r="L1079">
        <f t="shared" si="63"/>
        <v>43.381574266800001</v>
      </c>
    </row>
    <row r="1080" spans="1:12" x14ac:dyDescent="0.2">
      <c r="B1080" t="s">
        <v>48</v>
      </c>
      <c r="C1080" s="28">
        <v>6</v>
      </c>
      <c r="D1080">
        <v>1</v>
      </c>
      <c r="E1080">
        <v>12</v>
      </c>
      <c r="F1080" t="s">
        <v>359</v>
      </c>
      <c r="G1080" t="s">
        <v>204</v>
      </c>
      <c r="H1080" t="s">
        <v>1071</v>
      </c>
      <c r="I1080">
        <f t="shared" si="64"/>
        <v>72</v>
      </c>
      <c r="J1080">
        <f t="shared" si="62"/>
        <v>32.658650639999998</v>
      </c>
      <c r="K1080">
        <v>0.79700000000000004</v>
      </c>
      <c r="L1080">
        <f t="shared" si="63"/>
        <v>26.028944560079999</v>
      </c>
    </row>
    <row r="1081" spans="1:12" x14ac:dyDescent="0.2">
      <c r="B1081" t="s">
        <v>48</v>
      </c>
      <c r="C1081" s="28">
        <v>10</v>
      </c>
      <c r="D1081">
        <v>1</v>
      </c>
      <c r="E1081">
        <v>12</v>
      </c>
      <c r="F1081" t="s">
        <v>298</v>
      </c>
      <c r="G1081" t="s">
        <v>784</v>
      </c>
      <c r="H1081" t="s">
        <v>1071</v>
      </c>
      <c r="I1081">
        <f t="shared" si="64"/>
        <v>120</v>
      </c>
      <c r="J1081">
        <f t="shared" si="62"/>
        <v>54.431084400000003</v>
      </c>
      <c r="K1081">
        <v>0.79700000000000004</v>
      </c>
      <c r="L1081">
        <f t="shared" si="63"/>
        <v>43.381574266800001</v>
      </c>
    </row>
    <row r="1082" spans="1:12" x14ac:dyDescent="0.2">
      <c r="B1082" t="s">
        <v>48</v>
      </c>
      <c r="C1082" s="28">
        <v>2</v>
      </c>
      <c r="D1082">
        <v>1</v>
      </c>
      <c r="E1082">
        <v>20</v>
      </c>
      <c r="F1082" t="s">
        <v>355</v>
      </c>
      <c r="G1082" t="s">
        <v>832</v>
      </c>
      <c r="H1082" t="s">
        <v>1071</v>
      </c>
      <c r="I1082">
        <f t="shared" si="64"/>
        <v>40</v>
      </c>
      <c r="J1082">
        <f t="shared" si="62"/>
        <v>18.143694800000002</v>
      </c>
      <c r="K1082">
        <v>0.49</v>
      </c>
      <c r="L1082">
        <f t="shared" si="63"/>
        <v>8.8904104520000011</v>
      </c>
    </row>
    <row r="1083" spans="1:12" x14ac:dyDescent="0.2">
      <c r="A1083" s="4">
        <v>43439</v>
      </c>
      <c r="B1083" t="s">
        <v>531</v>
      </c>
      <c r="C1083">
        <v>2</v>
      </c>
      <c r="D1083">
        <v>12</v>
      </c>
      <c r="E1083">
        <f>6*(3.5/16)</f>
        <v>1.3125</v>
      </c>
      <c r="F1083" t="s">
        <v>589</v>
      </c>
      <c r="G1083" s="6" t="s">
        <v>880</v>
      </c>
      <c r="H1083" t="s">
        <v>1071</v>
      </c>
      <c r="I1083">
        <f t="shared" si="64"/>
        <v>31.5</v>
      </c>
      <c r="J1083">
        <f t="shared" si="62"/>
        <v>14.288159655000001</v>
      </c>
      <c r="K1083">
        <v>1.28</v>
      </c>
      <c r="L1083">
        <f t="shared" si="63"/>
        <v>18.288844358400002</v>
      </c>
    </row>
    <row r="1084" spans="1:12" x14ac:dyDescent="0.2">
      <c r="A1084" s="4">
        <v>43434</v>
      </c>
      <c r="B1084" t="s">
        <v>517</v>
      </c>
      <c r="C1084">
        <v>2</v>
      </c>
      <c r="D1084">
        <v>36</v>
      </c>
      <c r="E1084">
        <v>1</v>
      </c>
      <c r="F1084" t="s">
        <v>382</v>
      </c>
      <c r="G1084" t="s">
        <v>845</v>
      </c>
      <c r="H1084" t="s">
        <v>1073</v>
      </c>
      <c r="I1084">
        <f t="shared" si="64"/>
        <v>72</v>
      </c>
      <c r="J1084">
        <f t="shared" si="62"/>
        <v>32.658650639999998</v>
      </c>
      <c r="K1084">
        <v>11.52</v>
      </c>
      <c r="L1084">
        <f t="shared" si="63"/>
        <v>376.22765537279997</v>
      </c>
    </row>
    <row r="1085" spans="1:12" x14ac:dyDescent="0.2">
      <c r="B1085" t="s">
        <v>48</v>
      </c>
      <c r="C1085" s="28">
        <v>2</v>
      </c>
      <c r="D1085">
        <v>1</v>
      </c>
      <c r="E1085">
        <f>4*5.29</f>
        <v>21.16</v>
      </c>
      <c r="F1085" t="s">
        <v>379</v>
      </c>
      <c r="G1085" t="s">
        <v>1075</v>
      </c>
      <c r="H1085" t="s">
        <v>1071</v>
      </c>
      <c r="I1085">
        <f t="shared" si="64"/>
        <v>42.32</v>
      </c>
      <c r="J1085">
        <f t="shared" si="62"/>
        <v>19.196029098400004</v>
      </c>
      <c r="K1085">
        <v>0.13400000000000001</v>
      </c>
      <c r="L1085">
        <f t="shared" si="63"/>
        <v>2.5722678991856007</v>
      </c>
    </row>
    <row r="1086" spans="1:12" x14ac:dyDescent="0.2">
      <c r="B1086" t="s">
        <v>48</v>
      </c>
      <c r="C1086" s="28">
        <v>3</v>
      </c>
      <c r="D1086">
        <v>1</v>
      </c>
      <c r="E1086">
        <v>45</v>
      </c>
      <c r="F1086" t="s">
        <v>338</v>
      </c>
      <c r="G1086" t="s">
        <v>817</v>
      </c>
      <c r="H1086" t="s">
        <v>1071</v>
      </c>
      <c r="I1086">
        <f t="shared" si="64"/>
        <v>135</v>
      </c>
      <c r="J1086">
        <f t="shared" si="62"/>
        <v>61.23496995</v>
      </c>
      <c r="K1086">
        <v>0.219</v>
      </c>
      <c r="L1086">
        <f t="shared" si="63"/>
        <v>13.41045841905</v>
      </c>
    </row>
    <row r="1087" spans="1:12" x14ac:dyDescent="0.2">
      <c r="B1087" t="s">
        <v>48</v>
      </c>
      <c r="C1087" s="28">
        <v>2</v>
      </c>
      <c r="D1087">
        <v>1</v>
      </c>
      <c r="E1087">
        <v>45</v>
      </c>
      <c r="F1087" t="s">
        <v>338</v>
      </c>
      <c r="G1087" t="s">
        <v>817</v>
      </c>
      <c r="H1087" t="s">
        <v>1071</v>
      </c>
      <c r="I1087">
        <f t="shared" si="64"/>
        <v>90</v>
      </c>
      <c r="J1087">
        <f t="shared" si="62"/>
        <v>40.823313300000002</v>
      </c>
      <c r="K1087">
        <v>0.219</v>
      </c>
      <c r="L1087">
        <f t="shared" si="63"/>
        <v>8.9403056127000013</v>
      </c>
    </row>
    <row r="1088" spans="1:12" x14ac:dyDescent="0.2">
      <c r="A1088" s="4">
        <v>43434</v>
      </c>
      <c r="B1088" t="s">
        <v>538</v>
      </c>
      <c r="C1088">
        <v>4</v>
      </c>
      <c r="D1088">
        <v>1</v>
      </c>
      <c r="E1088">
        <v>35</v>
      </c>
      <c r="F1088" t="s">
        <v>441</v>
      </c>
      <c r="G1088" t="s">
        <v>905</v>
      </c>
      <c r="H1088" t="s">
        <v>1071</v>
      </c>
      <c r="I1088">
        <f t="shared" si="64"/>
        <v>140</v>
      </c>
      <c r="J1088">
        <f t="shared" si="62"/>
        <v>63.502931800000006</v>
      </c>
      <c r="K1088">
        <v>2.6459999999999999</v>
      </c>
      <c r="L1088">
        <f t="shared" si="63"/>
        <v>168.02875754280001</v>
      </c>
    </row>
    <row r="1089" spans="1:12" x14ac:dyDescent="0.2">
      <c r="A1089" s="28"/>
      <c r="B1089" t="s">
        <v>48</v>
      </c>
      <c r="C1089" s="28">
        <v>3</v>
      </c>
      <c r="D1089">
        <v>1</v>
      </c>
      <c r="E1089">
        <v>27</v>
      </c>
      <c r="F1089" t="s">
        <v>311</v>
      </c>
      <c r="G1089" t="s">
        <v>102</v>
      </c>
      <c r="H1089" t="s">
        <v>1071</v>
      </c>
      <c r="I1089">
        <f t="shared" si="64"/>
        <v>81</v>
      </c>
      <c r="J1089">
        <f t="shared" si="62"/>
        <v>36.74098197</v>
      </c>
      <c r="K1089">
        <v>0.49</v>
      </c>
      <c r="L1089">
        <f t="shared" si="63"/>
        <v>18.003081165299999</v>
      </c>
    </row>
    <row r="1090" spans="1:12" x14ac:dyDescent="0.2">
      <c r="B1090" t="s">
        <v>48</v>
      </c>
      <c r="C1090" s="28">
        <v>5</v>
      </c>
      <c r="D1090">
        <v>1</v>
      </c>
      <c r="E1090">
        <v>27</v>
      </c>
      <c r="F1090" t="s">
        <v>311</v>
      </c>
      <c r="G1090" t="s">
        <v>788</v>
      </c>
      <c r="H1090" t="s">
        <v>1071</v>
      </c>
      <c r="I1090">
        <f t="shared" si="64"/>
        <v>135</v>
      </c>
      <c r="J1090">
        <f t="shared" si="62"/>
        <v>61.23496995</v>
      </c>
      <c r="K1090">
        <v>0.49</v>
      </c>
      <c r="L1090">
        <f t="shared" si="63"/>
        <v>30.005135275499999</v>
      </c>
    </row>
    <row r="1091" spans="1:12" x14ac:dyDescent="0.2">
      <c r="B1091" t="s">
        <v>48</v>
      </c>
      <c r="C1091" s="28">
        <v>7</v>
      </c>
      <c r="D1091">
        <v>1</v>
      </c>
      <c r="E1091">
        <v>27</v>
      </c>
      <c r="F1091" t="s">
        <v>311</v>
      </c>
      <c r="G1091" t="s">
        <v>788</v>
      </c>
      <c r="H1091" t="s">
        <v>1071</v>
      </c>
      <c r="I1091">
        <f t="shared" si="64"/>
        <v>189</v>
      </c>
      <c r="J1091">
        <f t="shared" ref="J1091:J1154" si="65">CONVERT(I1091,"lbm","kg")</f>
        <v>85.728957930000007</v>
      </c>
      <c r="K1091">
        <v>0.49</v>
      </c>
      <c r="L1091">
        <f t="shared" ref="L1091:L1154" si="66">J1091*K1091</f>
        <v>42.007189385700002</v>
      </c>
    </row>
    <row r="1092" spans="1:12" x14ac:dyDescent="0.2">
      <c r="B1092" t="s">
        <v>48</v>
      </c>
      <c r="C1092" s="28">
        <v>8</v>
      </c>
      <c r="D1092">
        <v>1</v>
      </c>
      <c r="E1092">
        <v>27</v>
      </c>
      <c r="F1092" t="s">
        <v>311</v>
      </c>
      <c r="G1092" t="s">
        <v>788</v>
      </c>
      <c r="H1092" t="s">
        <v>1071</v>
      </c>
      <c r="I1092">
        <f t="shared" si="64"/>
        <v>216</v>
      </c>
      <c r="J1092">
        <f t="shared" si="65"/>
        <v>97.975951920000014</v>
      </c>
      <c r="K1092">
        <v>0.49</v>
      </c>
      <c r="L1092">
        <f t="shared" si="66"/>
        <v>48.008216440800005</v>
      </c>
    </row>
    <row r="1093" spans="1:12" x14ac:dyDescent="0.2">
      <c r="B1093" t="s">
        <v>48</v>
      </c>
      <c r="C1093" s="28">
        <v>8</v>
      </c>
      <c r="D1093">
        <v>1</v>
      </c>
      <c r="E1093">
        <v>27</v>
      </c>
      <c r="F1093" t="s">
        <v>366</v>
      </c>
      <c r="G1093" t="s">
        <v>788</v>
      </c>
      <c r="H1093" t="s">
        <v>1071</v>
      </c>
      <c r="I1093">
        <f t="shared" si="64"/>
        <v>216</v>
      </c>
      <c r="J1093">
        <f t="shared" si="65"/>
        <v>97.975951920000014</v>
      </c>
      <c r="K1093">
        <v>0.49</v>
      </c>
      <c r="L1093">
        <f t="shared" si="66"/>
        <v>48.008216440800005</v>
      </c>
    </row>
    <row r="1094" spans="1:12" x14ac:dyDescent="0.2">
      <c r="A1094" s="28"/>
      <c r="B1094" t="s">
        <v>48</v>
      </c>
      <c r="C1094" s="28">
        <v>2</v>
      </c>
      <c r="D1094">
        <v>1</v>
      </c>
      <c r="E1094">
        <v>50</v>
      </c>
      <c r="F1094" t="s">
        <v>299</v>
      </c>
      <c r="G1094" t="s">
        <v>299</v>
      </c>
      <c r="H1094" t="s">
        <v>1071</v>
      </c>
      <c r="I1094">
        <f t="shared" si="64"/>
        <v>100</v>
      </c>
      <c r="J1094">
        <f t="shared" si="65"/>
        <v>45.359237</v>
      </c>
      <c r="K1094">
        <v>9.1999999999999998E-2</v>
      </c>
      <c r="L1094">
        <f t="shared" si="66"/>
        <v>4.1730498039999997</v>
      </c>
    </row>
    <row r="1095" spans="1:12" x14ac:dyDescent="0.2">
      <c r="A1095" s="28"/>
      <c r="B1095" t="s">
        <v>48</v>
      </c>
      <c r="C1095" s="28">
        <v>2</v>
      </c>
      <c r="D1095">
        <v>1</v>
      </c>
      <c r="E1095">
        <v>20</v>
      </c>
      <c r="F1095" t="s">
        <v>269</v>
      </c>
      <c r="G1095" t="s">
        <v>299</v>
      </c>
      <c r="H1095" t="s">
        <v>1071</v>
      </c>
      <c r="I1095">
        <f t="shared" si="64"/>
        <v>40</v>
      </c>
      <c r="J1095">
        <f t="shared" si="65"/>
        <v>18.143694800000002</v>
      </c>
      <c r="K1095">
        <v>9.1999999999999998E-2</v>
      </c>
      <c r="L1095">
        <f t="shared" si="66"/>
        <v>1.6692199216000001</v>
      </c>
    </row>
    <row r="1096" spans="1:12" x14ac:dyDescent="0.2">
      <c r="A1096" s="28"/>
      <c r="B1096" t="s">
        <v>48</v>
      </c>
      <c r="C1096" s="28">
        <v>2</v>
      </c>
      <c r="D1096">
        <v>1</v>
      </c>
      <c r="E1096">
        <v>20</v>
      </c>
      <c r="F1096" t="s">
        <v>322</v>
      </c>
      <c r="G1096" t="s">
        <v>299</v>
      </c>
      <c r="H1096" t="s">
        <v>1071</v>
      </c>
      <c r="I1096">
        <f t="shared" si="64"/>
        <v>40</v>
      </c>
      <c r="J1096">
        <f t="shared" si="65"/>
        <v>18.143694800000002</v>
      </c>
      <c r="K1096">
        <v>9.1999999999999998E-2</v>
      </c>
      <c r="L1096">
        <f t="shared" si="66"/>
        <v>1.6692199216000001</v>
      </c>
    </row>
    <row r="1097" spans="1:12" x14ac:dyDescent="0.2">
      <c r="B1097" t="s">
        <v>48</v>
      </c>
      <c r="C1097" s="28">
        <v>2</v>
      </c>
      <c r="D1097">
        <v>1</v>
      </c>
      <c r="E1097">
        <v>20</v>
      </c>
      <c r="F1097" t="s">
        <v>269</v>
      </c>
      <c r="G1097" t="s">
        <v>299</v>
      </c>
      <c r="H1097" t="s">
        <v>1071</v>
      </c>
      <c r="I1097">
        <f t="shared" si="64"/>
        <v>40</v>
      </c>
      <c r="J1097">
        <f t="shared" si="65"/>
        <v>18.143694800000002</v>
      </c>
      <c r="K1097">
        <v>9.1999999999999998E-2</v>
      </c>
      <c r="L1097">
        <f t="shared" si="66"/>
        <v>1.6692199216000001</v>
      </c>
    </row>
    <row r="1098" spans="1:12" x14ac:dyDescent="0.2">
      <c r="B1098" t="s">
        <v>48</v>
      </c>
      <c r="C1098" s="28">
        <v>1</v>
      </c>
      <c r="D1098">
        <v>1</v>
      </c>
      <c r="E1098">
        <v>20</v>
      </c>
      <c r="F1098" t="s">
        <v>269</v>
      </c>
      <c r="G1098" t="s">
        <v>299</v>
      </c>
      <c r="H1098" t="s">
        <v>1071</v>
      </c>
      <c r="I1098">
        <f t="shared" si="64"/>
        <v>20</v>
      </c>
      <c r="J1098">
        <f t="shared" si="65"/>
        <v>9.0718474000000011</v>
      </c>
      <c r="K1098">
        <v>9.1999999999999998E-2</v>
      </c>
      <c r="L1098">
        <f t="shared" si="66"/>
        <v>0.83460996080000005</v>
      </c>
    </row>
    <row r="1099" spans="1:12" x14ac:dyDescent="0.2">
      <c r="B1099" t="s">
        <v>48</v>
      </c>
      <c r="C1099" s="28">
        <v>1</v>
      </c>
      <c r="D1099">
        <v>1</v>
      </c>
      <c r="E1099">
        <v>50</v>
      </c>
      <c r="F1099" t="s">
        <v>299</v>
      </c>
      <c r="G1099" t="s">
        <v>299</v>
      </c>
      <c r="H1099" t="s">
        <v>1071</v>
      </c>
      <c r="I1099">
        <f t="shared" si="64"/>
        <v>50</v>
      </c>
      <c r="J1099">
        <f t="shared" si="65"/>
        <v>22.6796185</v>
      </c>
      <c r="K1099">
        <v>9.1999999999999998E-2</v>
      </c>
      <c r="L1099">
        <f t="shared" si="66"/>
        <v>2.0865249019999998</v>
      </c>
    </row>
    <row r="1100" spans="1:12" x14ac:dyDescent="0.2">
      <c r="B1100" t="s">
        <v>48</v>
      </c>
      <c r="C1100" s="28">
        <v>2</v>
      </c>
      <c r="D1100">
        <v>1</v>
      </c>
      <c r="E1100">
        <v>20</v>
      </c>
      <c r="F1100" t="s">
        <v>269</v>
      </c>
      <c r="G1100" t="s">
        <v>299</v>
      </c>
      <c r="H1100" t="s">
        <v>1071</v>
      </c>
      <c r="I1100">
        <f t="shared" si="64"/>
        <v>40</v>
      </c>
      <c r="J1100">
        <f t="shared" si="65"/>
        <v>18.143694800000002</v>
      </c>
      <c r="K1100">
        <v>9.1999999999999998E-2</v>
      </c>
      <c r="L1100">
        <f t="shared" si="66"/>
        <v>1.6692199216000001</v>
      </c>
    </row>
    <row r="1101" spans="1:12" x14ac:dyDescent="0.2">
      <c r="B1101" t="s">
        <v>48</v>
      </c>
      <c r="C1101" s="28">
        <v>1</v>
      </c>
      <c r="D1101">
        <v>1</v>
      </c>
      <c r="E1101">
        <v>50</v>
      </c>
      <c r="F1101" t="s">
        <v>299</v>
      </c>
      <c r="G1101" t="s">
        <v>299</v>
      </c>
      <c r="H1101" t="s">
        <v>1071</v>
      </c>
      <c r="I1101">
        <f t="shared" si="64"/>
        <v>50</v>
      </c>
      <c r="J1101">
        <f t="shared" si="65"/>
        <v>22.6796185</v>
      </c>
      <c r="K1101">
        <v>9.1999999999999998E-2</v>
      </c>
      <c r="L1101">
        <f t="shared" si="66"/>
        <v>2.0865249019999998</v>
      </c>
    </row>
    <row r="1102" spans="1:12" x14ac:dyDescent="0.2">
      <c r="B1102" t="s">
        <v>48</v>
      </c>
      <c r="C1102" s="28">
        <v>1</v>
      </c>
      <c r="D1102">
        <v>1</v>
      </c>
      <c r="E1102">
        <v>20</v>
      </c>
      <c r="F1102" t="s">
        <v>269</v>
      </c>
      <c r="G1102" t="s">
        <v>299</v>
      </c>
      <c r="H1102" t="s">
        <v>1071</v>
      </c>
      <c r="I1102">
        <f t="shared" si="64"/>
        <v>20</v>
      </c>
      <c r="J1102">
        <f t="shared" si="65"/>
        <v>9.0718474000000011</v>
      </c>
      <c r="K1102">
        <v>9.1999999999999998E-2</v>
      </c>
      <c r="L1102">
        <f t="shared" si="66"/>
        <v>0.83460996080000005</v>
      </c>
    </row>
    <row r="1103" spans="1:12" x14ac:dyDescent="0.2">
      <c r="B1103" t="s">
        <v>48</v>
      </c>
      <c r="C1103" s="28">
        <v>1</v>
      </c>
      <c r="D1103">
        <v>1</v>
      </c>
      <c r="E1103">
        <v>50</v>
      </c>
      <c r="F1103" t="s">
        <v>87</v>
      </c>
      <c r="G1103" t="s">
        <v>87</v>
      </c>
      <c r="H1103" t="s">
        <v>1071</v>
      </c>
      <c r="I1103">
        <f t="shared" ref="I1103:I1134" si="67">C1103*D1103*E1103</f>
        <v>50</v>
      </c>
      <c r="J1103">
        <f t="shared" si="65"/>
        <v>22.6796185</v>
      </c>
      <c r="K1103">
        <v>9.1999999999999998E-2</v>
      </c>
      <c r="L1103">
        <f t="shared" si="66"/>
        <v>2.0865249019999998</v>
      </c>
    </row>
    <row r="1104" spans="1:12" x14ac:dyDescent="0.2">
      <c r="B1104" t="s">
        <v>48</v>
      </c>
      <c r="C1104" s="28">
        <v>1</v>
      </c>
      <c r="D1104">
        <v>1</v>
      </c>
      <c r="E1104">
        <v>50</v>
      </c>
      <c r="F1104" t="s">
        <v>299</v>
      </c>
      <c r="G1104" t="s">
        <v>299</v>
      </c>
      <c r="H1104" t="s">
        <v>1071</v>
      </c>
      <c r="I1104">
        <f t="shared" si="67"/>
        <v>50</v>
      </c>
      <c r="J1104">
        <f t="shared" si="65"/>
        <v>22.6796185</v>
      </c>
      <c r="K1104">
        <v>9.1999999999999998E-2</v>
      </c>
      <c r="L1104">
        <f t="shared" si="66"/>
        <v>2.0865249019999998</v>
      </c>
    </row>
    <row r="1105" spans="1:12" x14ac:dyDescent="0.2">
      <c r="B1105" t="s">
        <v>48</v>
      </c>
      <c r="C1105" s="28">
        <v>1</v>
      </c>
      <c r="D1105">
        <v>1</v>
      </c>
      <c r="E1105">
        <v>20</v>
      </c>
      <c r="F1105" t="s">
        <v>269</v>
      </c>
      <c r="G1105" t="s">
        <v>299</v>
      </c>
      <c r="H1105" t="s">
        <v>1071</v>
      </c>
      <c r="I1105">
        <f t="shared" si="67"/>
        <v>20</v>
      </c>
      <c r="J1105">
        <f t="shared" si="65"/>
        <v>9.0718474000000011</v>
      </c>
      <c r="K1105">
        <v>9.1999999999999998E-2</v>
      </c>
      <c r="L1105">
        <f t="shared" si="66"/>
        <v>0.83460996080000005</v>
      </c>
    </row>
    <row r="1106" spans="1:12" x14ac:dyDescent="0.2">
      <c r="A1106" s="28"/>
      <c r="B1106" t="s">
        <v>48</v>
      </c>
      <c r="C1106" s="28">
        <v>3</v>
      </c>
      <c r="D1106">
        <v>1</v>
      </c>
      <c r="E1106">
        <v>12</v>
      </c>
      <c r="F1106" t="s">
        <v>323</v>
      </c>
      <c r="G1106" t="s">
        <v>619</v>
      </c>
      <c r="H1106" t="s">
        <v>1071</v>
      </c>
      <c r="I1106">
        <f t="shared" si="67"/>
        <v>36</v>
      </c>
      <c r="J1106">
        <f t="shared" si="65"/>
        <v>16.329325319999999</v>
      </c>
      <c r="K1106">
        <v>0.93400000000000005</v>
      </c>
      <c r="L1106">
        <f t="shared" si="66"/>
        <v>15.25158984888</v>
      </c>
    </row>
    <row r="1107" spans="1:12" x14ac:dyDescent="0.2">
      <c r="B1107" t="s">
        <v>48</v>
      </c>
      <c r="C1107" s="28">
        <v>3</v>
      </c>
      <c r="D1107">
        <v>1</v>
      </c>
      <c r="E1107">
        <v>12</v>
      </c>
      <c r="F1107" t="s">
        <v>323</v>
      </c>
      <c r="G1107" t="s">
        <v>619</v>
      </c>
      <c r="H1107" t="s">
        <v>1071</v>
      </c>
      <c r="I1107">
        <f t="shared" si="67"/>
        <v>36</v>
      </c>
      <c r="J1107">
        <f t="shared" si="65"/>
        <v>16.329325319999999</v>
      </c>
      <c r="K1107">
        <v>0.93400000000000005</v>
      </c>
      <c r="L1107">
        <f t="shared" si="66"/>
        <v>15.25158984888</v>
      </c>
    </row>
    <row r="1108" spans="1:12" x14ac:dyDescent="0.2">
      <c r="B1108" t="s">
        <v>48</v>
      </c>
      <c r="C1108" s="28">
        <v>2</v>
      </c>
      <c r="D1108">
        <v>1</v>
      </c>
      <c r="E1108">
        <v>12</v>
      </c>
      <c r="F1108" t="s">
        <v>351</v>
      </c>
      <c r="G1108" t="s">
        <v>619</v>
      </c>
      <c r="H1108" t="s">
        <v>1071</v>
      </c>
      <c r="I1108">
        <f t="shared" si="67"/>
        <v>24</v>
      </c>
      <c r="J1108">
        <f t="shared" si="65"/>
        <v>10.886216880000001</v>
      </c>
      <c r="K1108">
        <v>0.93400000000000005</v>
      </c>
      <c r="L1108">
        <f t="shared" si="66"/>
        <v>10.167726565920001</v>
      </c>
    </row>
    <row r="1109" spans="1:12" x14ac:dyDescent="0.2">
      <c r="B1109" t="s">
        <v>48</v>
      </c>
      <c r="C1109" s="28">
        <v>4</v>
      </c>
      <c r="D1109">
        <v>1</v>
      </c>
      <c r="E1109">
        <v>12</v>
      </c>
      <c r="F1109" t="s">
        <v>220</v>
      </c>
      <c r="G1109" t="s">
        <v>220</v>
      </c>
      <c r="H1109" t="s">
        <v>1071</v>
      </c>
      <c r="I1109">
        <f t="shared" si="67"/>
        <v>48</v>
      </c>
      <c r="J1109">
        <f t="shared" si="65"/>
        <v>21.772433760000002</v>
      </c>
      <c r="K1109">
        <v>0.93400000000000005</v>
      </c>
      <c r="L1109">
        <f t="shared" si="66"/>
        <v>20.335453131840001</v>
      </c>
    </row>
    <row r="1110" spans="1:12" x14ac:dyDescent="0.2">
      <c r="B1110" t="s">
        <v>48</v>
      </c>
      <c r="C1110" s="28">
        <v>4</v>
      </c>
      <c r="D1110">
        <v>1</v>
      </c>
      <c r="E1110">
        <v>12</v>
      </c>
      <c r="F1110" t="s">
        <v>323</v>
      </c>
      <c r="G1110" t="s">
        <v>619</v>
      </c>
      <c r="H1110" t="s">
        <v>1071</v>
      </c>
      <c r="I1110">
        <f t="shared" si="67"/>
        <v>48</v>
      </c>
      <c r="J1110">
        <f t="shared" si="65"/>
        <v>21.772433760000002</v>
      </c>
      <c r="K1110">
        <v>0.93400000000000005</v>
      </c>
      <c r="L1110">
        <f t="shared" si="66"/>
        <v>20.335453131840001</v>
      </c>
    </row>
    <row r="1111" spans="1:12" x14ac:dyDescent="0.2">
      <c r="A1111" s="28"/>
      <c r="B1111" t="s">
        <v>48</v>
      </c>
      <c r="C1111" s="28">
        <v>2</v>
      </c>
      <c r="D1111">
        <v>1</v>
      </c>
      <c r="E1111">
        <v>20</v>
      </c>
      <c r="F1111" t="s">
        <v>324</v>
      </c>
      <c r="G1111" t="s">
        <v>352</v>
      </c>
      <c r="H1111" t="s">
        <v>1071</v>
      </c>
      <c r="I1111">
        <f t="shared" si="67"/>
        <v>40</v>
      </c>
      <c r="J1111">
        <f t="shared" si="65"/>
        <v>18.143694800000002</v>
      </c>
      <c r="K1111">
        <v>0.33100000000000002</v>
      </c>
      <c r="L1111">
        <f t="shared" si="66"/>
        <v>6.0055629788000013</v>
      </c>
    </row>
    <row r="1112" spans="1:12" x14ac:dyDescent="0.2">
      <c r="B1112" t="s">
        <v>48</v>
      </c>
      <c r="C1112" s="28">
        <v>1</v>
      </c>
      <c r="D1112">
        <v>1</v>
      </c>
      <c r="E1112">
        <v>26</v>
      </c>
      <c r="F1112" t="s">
        <v>352</v>
      </c>
      <c r="G1112" t="s">
        <v>352</v>
      </c>
      <c r="H1112" t="s">
        <v>1071</v>
      </c>
      <c r="I1112">
        <f t="shared" si="67"/>
        <v>26</v>
      </c>
      <c r="J1112">
        <f t="shared" si="65"/>
        <v>11.793401620000001</v>
      </c>
      <c r="K1112">
        <v>0.33100000000000002</v>
      </c>
      <c r="L1112">
        <f t="shared" si="66"/>
        <v>3.9036159362200005</v>
      </c>
    </row>
    <row r="1113" spans="1:12" x14ac:dyDescent="0.2">
      <c r="B1113" t="s">
        <v>48</v>
      </c>
      <c r="C1113" s="28">
        <v>1</v>
      </c>
      <c r="D1113">
        <v>1</v>
      </c>
      <c r="E1113">
        <v>36</v>
      </c>
      <c r="F1113" t="s">
        <v>352</v>
      </c>
      <c r="G1113" t="s">
        <v>352</v>
      </c>
      <c r="H1113" t="s">
        <v>1071</v>
      </c>
      <c r="I1113">
        <f t="shared" si="67"/>
        <v>36</v>
      </c>
      <c r="J1113">
        <f t="shared" si="65"/>
        <v>16.329325319999999</v>
      </c>
      <c r="K1113">
        <v>0.33100000000000002</v>
      </c>
      <c r="L1113">
        <f t="shared" si="66"/>
        <v>5.4050066809199997</v>
      </c>
    </row>
    <row r="1114" spans="1:12" x14ac:dyDescent="0.2">
      <c r="A1114" s="4">
        <v>43434</v>
      </c>
      <c r="B1114" t="s">
        <v>538</v>
      </c>
      <c r="C1114">
        <v>2</v>
      </c>
      <c r="D1114">
        <v>4</v>
      </c>
      <c r="E1114">
        <v>30.3125</v>
      </c>
      <c r="F1114" t="s">
        <v>470</v>
      </c>
      <c r="G1114" s="6" t="s">
        <v>861</v>
      </c>
      <c r="H1114" t="s">
        <v>1071</v>
      </c>
      <c r="I1114">
        <f t="shared" si="67"/>
        <v>242.5</v>
      </c>
      <c r="J1114">
        <f t="shared" si="65"/>
        <v>109.99614972500001</v>
      </c>
      <c r="K1114">
        <v>1.61</v>
      </c>
      <c r="L1114">
        <f t="shared" si="66"/>
        <v>177.09380105725003</v>
      </c>
    </row>
    <row r="1115" spans="1:12" x14ac:dyDescent="0.2">
      <c r="A1115" s="4">
        <v>43434</v>
      </c>
      <c r="B1115" t="s">
        <v>538</v>
      </c>
      <c r="C1115">
        <v>2</v>
      </c>
      <c r="D1115">
        <v>4</v>
      </c>
      <c r="E1115">
        <v>40.3125</v>
      </c>
      <c r="F1115" t="s">
        <v>548</v>
      </c>
      <c r="G1115" s="6" t="s">
        <v>861</v>
      </c>
      <c r="H1115" t="s">
        <v>1071</v>
      </c>
      <c r="I1115">
        <f t="shared" si="67"/>
        <v>322.5</v>
      </c>
      <c r="J1115">
        <f t="shared" si="65"/>
        <v>146.28353932500002</v>
      </c>
      <c r="K1115">
        <v>1.61</v>
      </c>
      <c r="L1115">
        <f t="shared" si="66"/>
        <v>235.51649831325005</v>
      </c>
    </row>
    <row r="1116" spans="1:12" x14ac:dyDescent="0.2">
      <c r="A1116" s="4">
        <v>43437</v>
      </c>
      <c r="B1116" t="s">
        <v>538</v>
      </c>
      <c r="C1116">
        <v>1</v>
      </c>
      <c r="D1116">
        <v>4</v>
      </c>
      <c r="E1116">
        <v>1.8125</v>
      </c>
      <c r="F1116" t="s">
        <v>575</v>
      </c>
      <c r="G1116" s="6" t="s">
        <v>861</v>
      </c>
      <c r="H1116" t="s">
        <v>1071</v>
      </c>
      <c r="I1116">
        <f t="shared" si="67"/>
        <v>7.25</v>
      </c>
      <c r="J1116">
        <f t="shared" si="65"/>
        <v>3.2885446825</v>
      </c>
      <c r="K1116">
        <v>1.61</v>
      </c>
      <c r="L1116">
        <f t="shared" si="66"/>
        <v>5.294556938825</v>
      </c>
    </row>
    <row r="1117" spans="1:12" x14ac:dyDescent="0.2">
      <c r="A1117" s="4">
        <v>43437</v>
      </c>
      <c r="B1117" t="s">
        <v>538</v>
      </c>
      <c r="C1117">
        <v>1</v>
      </c>
      <c r="D1117">
        <v>4</v>
      </c>
      <c r="E1117">
        <v>2.5</v>
      </c>
      <c r="F1117" t="s">
        <v>436</v>
      </c>
      <c r="G1117" s="6" t="s">
        <v>861</v>
      </c>
      <c r="H1117" t="s">
        <v>1071</v>
      </c>
      <c r="I1117">
        <f t="shared" si="67"/>
        <v>10</v>
      </c>
      <c r="J1117">
        <f t="shared" si="65"/>
        <v>4.5359237000000006</v>
      </c>
      <c r="K1117">
        <v>1.61</v>
      </c>
      <c r="L1117">
        <f t="shared" si="66"/>
        <v>7.3028371570000017</v>
      </c>
    </row>
    <row r="1118" spans="1:12" x14ac:dyDescent="0.2">
      <c r="A1118" s="4">
        <v>43437</v>
      </c>
      <c r="B1118" t="s">
        <v>538</v>
      </c>
      <c r="C1118">
        <v>2</v>
      </c>
      <c r="D1118">
        <v>4</v>
      </c>
      <c r="E1118">
        <v>30.3125</v>
      </c>
      <c r="F1118" t="s">
        <v>470</v>
      </c>
      <c r="G1118" s="6" t="s">
        <v>861</v>
      </c>
      <c r="H1118" t="s">
        <v>1071</v>
      </c>
      <c r="I1118">
        <f t="shared" si="67"/>
        <v>242.5</v>
      </c>
      <c r="J1118">
        <f t="shared" si="65"/>
        <v>109.99614972500001</v>
      </c>
      <c r="K1118">
        <v>1.61</v>
      </c>
      <c r="L1118">
        <f t="shared" si="66"/>
        <v>177.09380105725003</v>
      </c>
    </row>
    <row r="1119" spans="1:12" x14ac:dyDescent="0.2">
      <c r="A1119" s="4">
        <v>43437</v>
      </c>
      <c r="B1119" t="s">
        <v>538</v>
      </c>
      <c r="C1119">
        <v>2</v>
      </c>
      <c r="D1119">
        <v>4</v>
      </c>
      <c r="E1119">
        <v>30.3125</v>
      </c>
      <c r="F1119" t="s">
        <v>580</v>
      </c>
      <c r="G1119" s="6" t="s">
        <v>861</v>
      </c>
      <c r="H1119" t="s">
        <v>1071</v>
      </c>
      <c r="I1119">
        <f t="shared" si="67"/>
        <v>242.5</v>
      </c>
      <c r="J1119">
        <f t="shared" si="65"/>
        <v>109.99614972500001</v>
      </c>
      <c r="K1119">
        <v>1.61</v>
      </c>
      <c r="L1119">
        <f t="shared" si="66"/>
        <v>177.09380105725003</v>
      </c>
    </row>
    <row r="1120" spans="1:12" x14ac:dyDescent="0.2">
      <c r="A1120" s="4">
        <v>43437</v>
      </c>
      <c r="B1120" t="s">
        <v>538</v>
      </c>
      <c r="C1120">
        <v>1</v>
      </c>
      <c r="D1120">
        <v>4</v>
      </c>
      <c r="E1120">
        <v>3.125</v>
      </c>
      <c r="F1120" t="s">
        <v>453</v>
      </c>
      <c r="G1120" s="6" t="s">
        <v>861</v>
      </c>
      <c r="H1120" t="s">
        <v>1071</v>
      </c>
      <c r="I1120">
        <f t="shared" si="67"/>
        <v>12.5</v>
      </c>
      <c r="J1120">
        <f t="shared" si="65"/>
        <v>5.669904625</v>
      </c>
      <c r="K1120">
        <v>1.61</v>
      </c>
      <c r="L1120">
        <f t="shared" si="66"/>
        <v>9.1285464462500006</v>
      </c>
    </row>
    <row r="1121" spans="1:12" x14ac:dyDescent="0.2">
      <c r="A1121" s="4">
        <v>43439</v>
      </c>
      <c r="B1121" t="s">
        <v>538</v>
      </c>
      <c r="C1121">
        <v>1</v>
      </c>
      <c r="D1121">
        <v>4</v>
      </c>
      <c r="E1121">
        <v>1.8125</v>
      </c>
      <c r="F1121" t="s">
        <v>575</v>
      </c>
      <c r="G1121" s="6" t="s">
        <v>861</v>
      </c>
      <c r="H1121" t="s">
        <v>1071</v>
      </c>
      <c r="I1121">
        <f t="shared" si="67"/>
        <v>7.25</v>
      </c>
      <c r="J1121">
        <f t="shared" si="65"/>
        <v>3.2885446825</v>
      </c>
      <c r="K1121">
        <v>1.61</v>
      </c>
      <c r="L1121">
        <f t="shared" si="66"/>
        <v>5.294556938825</v>
      </c>
    </row>
    <row r="1122" spans="1:12" x14ac:dyDescent="0.2">
      <c r="A1122" s="4">
        <v>43439</v>
      </c>
      <c r="B1122" t="s">
        <v>538</v>
      </c>
      <c r="C1122">
        <v>3</v>
      </c>
      <c r="D1122">
        <v>4</v>
      </c>
      <c r="E1122">
        <v>2.5</v>
      </c>
      <c r="F1122" t="s">
        <v>436</v>
      </c>
      <c r="G1122" s="6" t="s">
        <v>861</v>
      </c>
      <c r="H1122" t="s">
        <v>1071</v>
      </c>
      <c r="I1122">
        <f t="shared" si="67"/>
        <v>30</v>
      </c>
      <c r="J1122">
        <f t="shared" si="65"/>
        <v>13.607771100000001</v>
      </c>
      <c r="K1122">
        <v>1.61</v>
      </c>
      <c r="L1122">
        <f t="shared" si="66"/>
        <v>21.908511471000004</v>
      </c>
    </row>
    <row r="1123" spans="1:12" x14ac:dyDescent="0.2">
      <c r="A1123" s="4">
        <v>43439</v>
      </c>
      <c r="B1123" t="s">
        <v>538</v>
      </c>
      <c r="C1123">
        <v>3</v>
      </c>
      <c r="D1123">
        <v>4</v>
      </c>
      <c r="E1123">
        <v>30.3125</v>
      </c>
      <c r="F1123" t="s">
        <v>470</v>
      </c>
      <c r="G1123" s="6" t="s">
        <v>861</v>
      </c>
      <c r="H1123" t="s">
        <v>1071</v>
      </c>
      <c r="I1123">
        <f t="shared" si="67"/>
        <v>363.75</v>
      </c>
      <c r="J1123">
        <f t="shared" si="65"/>
        <v>164.99422458750001</v>
      </c>
      <c r="K1123">
        <v>1.61</v>
      </c>
      <c r="L1123">
        <f t="shared" si="66"/>
        <v>265.64070158587504</v>
      </c>
    </row>
    <row r="1124" spans="1:12" x14ac:dyDescent="0.2">
      <c r="A1124" s="4">
        <v>43439</v>
      </c>
      <c r="B1124" t="s">
        <v>538</v>
      </c>
      <c r="C1124">
        <v>1</v>
      </c>
      <c r="D1124">
        <v>4</v>
      </c>
      <c r="E1124">
        <v>30.3125</v>
      </c>
      <c r="F1124" t="s">
        <v>580</v>
      </c>
      <c r="G1124" s="6" t="s">
        <v>861</v>
      </c>
      <c r="H1124" t="s">
        <v>1071</v>
      </c>
      <c r="I1124">
        <f t="shared" si="67"/>
        <v>121.25</v>
      </c>
      <c r="J1124">
        <f t="shared" si="65"/>
        <v>54.998074862500005</v>
      </c>
      <c r="K1124">
        <v>1.61</v>
      </c>
      <c r="L1124">
        <f t="shared" si="66"/>
        <v>88.546900528625017</v>
      </c>
    </row>
    <row r="1125" spans="1:12" x14ac:dyDescent="0.2">
      <c r="A1125" s="4">
        <v>43439</v>
      </c>
      <c r="B1125" t="s">
        <v>538</v>
      </c>
      <c r="C1125">
        <v>4</v>
      </c>
      <c r="D1125">
        <v>4</v>
      </c>
      <c r="E1125">
        <v>40.3125</v>
      </c>
      <c r="F1125" t="s">
        <v>548</v>
      </c>
      <c r="G1125" s="6" t="s">
        <v>861</v>
      </c>
      <c r="H1125" t="s">
        <v>1071</v>
      </c>
      <c r="I1125">
        <f t="shared" si="67"/>
        <v>645</v>
      </c>
      <c r="J1125">
        <f t="shared" si="65"/>
        <v>292.56707865000004</v>
      </c>
      <c r="K1125">
        <v>1.61</v>
      </c>
      <c r="L1125">
        <f t="shared" si="66"/>
        <v>471.03299662650011</v>
      </c>
    </row>
    <row r="1126" spans="1:12" x14ac:dyDescent="0.2">
      <c r="A1126" s="4">
        <v>43439</v>
      </c>
      <c r="B1126" t="s">
        <v>538</v>
      </c>
      <c r="C1126">
        <v>1</v>
      </c>
      <c r="D1126">
        <v>4</v>
      </c>
      <c r="E1126">
        <v>3.125</v>
      </c>
      <c r="F1126" t="s">
        <v>453</v>
      </c>
      <c r="G1126" s="6" t="s">
        <v>861</v>
      </c>
      <c r="H1126" t="s">
        <v>1071</v>
      </c>
      <c r="I1126">
        <f t="shared" si="67"/>
        <v>12.5</v>
      </c>
      <c r="J1126">
        <f t="shared" si="65"/>
        <v>5.669904625</v>
      </c>
      <c r="K1126">
        <v>1.61</v>
      </c>
      <c r="L1126">
        <f t="shared" si="66"/>
        <v>9.1285464462500006</v>
      </c>
    </row>
    <row r="1127" spans="1:12" x14ac:dyDescent="0.2">
      <c r="A1127" s="4">
        <v>43434</v>
      </c>
      <c r="B1127" t="s">
        <v>538</v>
      </c>
      <c r="C1127">
        <v>2</v>
      </c>
      <c r="D1127">
        <v>4</v>
      </c>
      <c r="E1127">
        <v>30.0625</v>
      </c>
      <c r="F1127" t="s">
        <v>545</v>
      </c>
      <c r="G1127" s="6" t="s">
        <v>901</v>
      </c>
      <c r="H1127" t="s">
        <v>1071</v>
      </c>
      <c r="I1127">
        <f t="shared" si="67"/>
        <v>240.5</v>
      </c>
      <c r="J1127">
        <f t="shared" si="65"/>
        <v>109.088964985</v>
      </c>
      <c r="K1127">
        <v>1.61</v>
      </c>
      <c r="L1127">
        <f t="shared" si="66"/>
        <v>175.63323362585001</v>
      </c>
    </row>
    <row r="1128" spans="1:12" x14ac:dyDescent="0.2">
      <c r="A1128" s="4">
        <v>43434</v>
      </c>
      <c r="B1128" t="s">
        <v>538</v>
      </c>
      <c r="C1128">
        <v>2</v>
      </c>
      <c r="D1128">
        <v>4</v>
      </c>
      <c r="E1128">
        <v>2.5</v>
      </c>
      <c r="F1128" t="s">
        <v>436</v>
      </c>
      <c r="G1128" s="6" t="s">
        <v>903</v>
      </c>
      <c r="H1128" t="s">
        <v>1071</v>
      </c>
      <c r="I1128">
        <f t="shared" si="67"/>
        <v>20</v>
      </c>
      <c r="J1128">
        <f t="shared" si="65"/>
        <v>9.0718474000000011</v>
      </c>
      <c r="K1128">
        <v>1.61</v>
      </c>
      <c r="L1128">
        <f t="shared" si="66"/>
        <v>14.605674314000003</v>
      </c>
    </row>
    <row r="1129" spans="1:12" x14ac:dyDescent="0.2">
      <c r="A1129" s="4">
        <v>43434</v>
      </c>
      <c r="B1129" t="s">
        <v>538</v>
      </c>
      <c r="C1129">
        <v>4</v>
      </c>
      <c r="D1129">
        <v>4</v>
      </c>
      <c r="E1129">
        <v>3.125</v>
      </c>
      <c r="F1129" t="s">
        <v>453</v>
      </c>
      <c r="G1129" s="6" t="s">
        <v>910</v>
      </c>
      <c r="H1129" t="s">
        <v>1071</v>
      </c>
      <c r="I1129">
        <f t="shared" si="67"/>
        <v>50</v>
      </c>
      <c r="J1129">
        <f t="shared" si="65"/>
        <v>22.6796185</v>
      </c>
      <c r="K1129">
        <v>1.61</v>
      </c>
      <c r="L1129">
        <f t="shared" si="66"/>
        <v>36.514185785000002</v>
      </c>
    </row>
    <row r="1130" spans="1:12" x14ac:dyDescent="0.2">
      <c r="A1130" s="4">
        <v>43434</v>
      </c>
      <c r="B1130" t="s">
        <v>517</v>
      </c>
      <c r="C1130">
        <v>2</v>
      </c>
      <c r="D1130">
        <v>6</v>
      </c>
      <c r="E1130">
        <v>1</v>
      </c>
      <c r="F1130" t="s">
        <v>519</v>
      </c>
      <c r="G1130" t="s">
        <v>847</v>
      </c>
      <c r="H1130" t="s">
        <v>1073</v>
      </c>
      <c r="I1130">
        <f t="shared" si="67"/>
        <v>12</v>
      </c>
      <c r="J1130">
        <f t="shared" si="65"/>
        <v>5.4431084400000005</v>
      </c>
      <c r="K1130">
        <v>9.9740000000000002</v>
      </c>
      <c r="L1130">
        <f t="shared" si="66"/>
        <v>54.289563580560007</v>
      </c>
    </row>
    <row r="1131" spans="1:12" x14ac:dyDescent="0.2">
      <c r="A1131" s="4">
        <v>43434</v>
      </c>
      <c r="B1131" t="s">
        <v>517</v>
      </c>
      <c r="C1131">
        <v>2</v>
      </c>
      <c r="D1131">
        <v>6</v>
      </c>
      <c r="E1131">
        <v>3</v>
      </c>
      <c r="F1131" t="s">
        <v>387</v>
      </c>
      <c r="G1131" t="s">
        <v>847</v>
      </c>
      <c r="H1131" t="s">
        <v>1073</v>
      </c>
      <c r="I1131">
        <f t="shared" si="67"/>
        <v>36</v>
      </c>
      <c r="J1131">
        <f t="shared" si="65"/>
        <v>16.329325319999999</v>
      </c>
      <c r="K1131">
        <v>9.9740000000000002</v>
      </c>
      <c r="L1131">
        <f t="shared" si="66"/>
        <v>162.86869074167998</v>
      </c>
    </row>
    <row r="1132" spans="1:12" x14ac:dyDescent="0.2">
      <c r="A1132" s="4">
        <v>43434</v>
      </c>
      <c r="B1132" t="s">
        <v>517</v>
      </c>
      <c r="C1132">
        <v>2</v>
      </c>
      <c r="D1132">
        <v>4</v>
      </c>
      <c r="E1132">
        <v>5</v>
      </c>
      <c r="F1132" t="s">
        <v>389</v>
      </c>
      <c r="G1132" t="s">
        <v>847</v>
      </c>
      <c r="H1132" t="s">
        <v>1073</v>
      </c>
      <c r="I1132">
        <f t="shared" si="67"/>
        <v>40</v>
      </c>
      <c r="J1132">
        <f t="shared" si="65"/>
        <v>18.143694800000002</v>
      </c>
      <c r="K1132">
        <v>9.9740000000000002</v>
      </c>
      <c r="L1132">
        <f t="shared" si="66"/>
        <v>180.96521193520002</v>
      </c>
    </row>
    <row r="1133" spans="1:12" x14ac:dyDescent="0.2">
      <c r="A1133" s="4">
        <v>43434</v>
      </c>
      <c r="B1133" t="s">
        <v>517</v>
      </c>
      <c r="C1133">
        <v>15</v>
      </c>
      <c r="D1133">
        <v>4</v>
      </c>
      <c r="E1133">
        <v>5</v>
      </c>
      <c r="F1133" t="s">
        <v>521</v>
      </c>
      <c r="G1133" t="s">
        <v>847</v>
      </c>
      <c r="H1133" t="s">
        <v>1073</v>
      </c>
      <c r="I1133">
        <f t="shared" si="67"/>
        <v>300</v>
      </c>
      <c r="J1133">
        <f t="shared" si="65"/>
        <v>136.07771100000002</v>
      </c>
      <c r="K1133">
        <v>9.9740000000000002</v>
      </c>
      <c r="L1133">
        <f t="shared" si="66"/>
        <v>1357.2390895140002</v>
      </c>
    </row>
    <row r="1134" spans="1:12" x14ac:dyDescent="0.2">
      <c r="A1134" s="4">
        <v>43434</v>
      </c>
      <c r="B1134" t="s">
        <v>517</v>
      </c>
      <c r="C1134">
        <v>1</v>
      </c>
      <c r="D1134">
        <v>4</v>
      </c>
      <c r="E1134">
        <v>5</v>
      </c>
      <c r="F1134" t="s">
        <v>390</v>
      </c>
      <c r="G1134" t="s">
        <v>847</v>
      </c>
      <c r="H1134" t="s">
        <v>1073</v>
      </c>
      <c r="I1134">
        <f t="shared" si="67"/>
        <v>20</v>
      </c>
      <c r="J1134">
        <f t="shared" si="65"/>
        <v>9.0718474000000011</v>
      </c>
      <c r="K1134">
        <v>9.9740000000000002</v>
      </c>
      <c r="L1134">
        <f t="shared" si="66"/>
        <v>90.482605967600009</v>
      </c>
    </row>
    <row r="1135" spans="1:12" x14ac:dyDescent="0.2">
      <c r="A1135" s="4">
        <v>43434</v>
      </c>
      <c r="B1135" t="s">
        <v>517</v>
      </c>
      <c r="C1135">
        <v>4</v>
      </c>
      <c r="D1135">
        <v>4</v>
      </c>
      <c r="E1135">
        <v>5</v>
      </c>
      <c r="F1135" t="s">
        <v>391</v>
      </c>
      <c r="G1135" t="s">
        <v>847</v>
      </c>
      <c r="H1135" t="s">
        <v>1073</v>
      </c>
      <c r="I1135">
        <f t="shared" ref="I1135:I1166" si="68">C1135*D1135*E1135</f>
        <v>80</v>
      </c>
      <c r="J1135">
        <f t="shared" si="65"/>
        <v>36.287389600000004</v>
      </c>
      <c r="K1135">
        <v>9.9740000000000002</v>
      </c>
      <c r="L1135">
        <f t="shared" si="66"/>
        <v>361.93042387040003</v>
      </c>
    </row>
    <row r="1136" spans="1:12" x14ac:dyDescent="0.2">
      <c r="A1136" s="4">
        <v>43434</v>
      </c>
      <c r="B1136" t="s">
        <v>517</v>
      </c>
      <c r="C1136">
        <v>3</v>
      </c>
      <c r="D1136">
        <v>4</v>
      </c>
      <c r="E1136">
        <v>5</v>
      </c>
      <c r="F1136" t="s">
        <v>522</v>
      </c>
      <c r="G1136" t="s">
        <v>847</v>
      </c>
      <c r="H1136" t="s">
        <v>1073</v>
      </c>
      <c r="I1136">
        <f t="shared" si="68"/>
        <v>60</v>
      </c>
      <c r="J1136">
        <f t="shared" si="65"/>
        <v>27.215542200000002</v>
      </c>
      <c r="K1136">
        <v>9.9740000000000002</v>
      </c>
      <c r="L1136">
        <f t="shared" si="66"/>
        <v>271.44781790280001</v>
      </c>
    </row>
    <row r="1137" spans="1:12" x14ac:dyDescent="0.2">
      <c r="A1137" s="4">
        <v>43434</v>
      </c>
      <c r="B1137" t="s">
        <v>517</v>
      </c>
      <c r="C1137">
        <v>2</v>
      </c>
      <c r="D1137">
        <v>4</v>
      </c>
      <c r="E1137">
        <v>2.5</v>
      </c>
      <c r="F1137" t="s">
        <v>1008</v>
      </c>
      <c r="G1137" t="s">
        <v>847</v>
      </c>
      <c r="H1137" t="s">
        <v>1073</v>
      </c>
      <c r="I1137">
        <f t="shared" si="68"/>
        <v>20</v>
      </c>
      <c r="J1137">
        <f t="shared" si="65"/>
        <v>9.0718474000000011</v>
      </c>
      <c r="K1137">
        <v>9.9740000000000002</v>
      </c>
      <c r="L1137">
        <f t="shared" si="66"/>
        <v>90.482605967600009</v>
      </c>
    </row>
    <row r="1138" spans="1:12" x14ac:dyDescent="0.2">
      <c r="A1138" s="4">
        <v>43434</v>
      </c>
      <c r="B1138" t="s">
        <v>517</v>
      </c>
      <c r="C1138">
        <v>2</v>
      </c>
      <c r="D1138">
        <v>4</v>
      </c>
      <c r="E1138">
        <v>2.5</v>
      </c>
      <c r="F1138" t="s">
        <v>1009</v>
      </c>
      <c r="G1138" t="s">
        <v>847</v>
      </c>
      <c r="H1138" t="s">
        <v>1073</v>
      </c>
      <c r="I1138">
        <f t="shared" si="68"/>
        <v>20</v>
      </c>
      <c r="J1138">
        <f t="shared" si="65"/>
        <v>9.0718474000000011</v>
      </c>
      <c r="K1138">
        <v>9.9740000000000002</v>
      </c>
      <c r="L1138">
        <f t="shared" si="66"/>
        <v>90.482605967600009</v>
      </c>
    </row>
    <row r="1139" spans="1:12" x14ac:dyDescent="0.2">
      <c r="A1139" s="4">
        <v>43434</v>
      </c>
      <c r="B1139" t="s">
        <v>517</v>
      </c>
      <c r="C1139">
        <v>2</v>
      </c>
      <c r="D1139">
        <v>8</v>
      </c>
      <c r="E1139">
        <v>1.25</v>
      </c>
      <c r="F1139" t="s">
        <v>1010</v>
      </c>
      <c r="G1139" t="s">
        <v>847</v>
      </c>
      <c r="H1139" t="s">
        <v>1073</v>
      </c>
      <c r="I1139">
        <f t="shared" si="68"/>
        <v>20</v>
      </c>
      <c r="J1139">
        <f t="shared" si="65"/>
        <v>9.0718474000000011</v>
      </c>
      <c r="K1139">
        <v>9.9740000000000002</v>
      </c>
      <c r="L1139">
        <f t="shared" si="66"/>
        <v>90.482605967600009</v>
      </c>
    </row>
    <row r="1140" spans="1:12" x14ac:dyDescent="0.2">
      <c r="A1140" s="4">
        <v>43434</v>
      </c>
      <c r="B1140" t="s">
        <v>517</v>
      </c>
      <c r="C1140">
        <v>2</v>
      </c>
      <c r="D1140">
        <v>4</v>
      </c>
      <c r="E1140">
        <v>2.5</v>
      </c>
      <c r="F1140" t="s">
        <v>1011</v>
      </c>
      <c r="G1140" t="s">
        <v>847</v>
      </c>
      <c r="H1140" t="s">
        <v>1073</v>
      </c>
      <c r="I1140">
        <f t="shared" si="68"/>
        <v>20</v>
      </c>
      <c r="J1140">
        <f t="shared" si="65"/>
        <v>9.0718474000000011</v>
      </c>
      <c r="K1140">
        <v>9.9740000000000002</v>
      </c>
      <c r="L1140">
        <f t="shared" si="66"/>
        <v>90.482605967600009</v>
      </c>
    </row>
    <row r="1141" spans="1:12" x14ac:dyDescent="0.2">
      <c r="A1141" s="4">
        <v>43434</v>
      </c>
      <c r="B1141" t="s">
        <v>517</v>
      </c>
      <c r="C1141">
        <v>1</v>
      </c>
      <c r="D1141">
        <v>2</v>
      </c>
      <c r="E1141">
        <v>5</v>
      </c>
      <c r="F1141" t="s">
        <v>393</v>
      </c>
      <c r="G1141" t="s">
        <v>847</v>
      </c>
      <c r="H1141" t="s">
        <v>1073</v>
      </c>
      <c r="I1141">
        <f t="shared" si="68"/>
        <v>10</v>
      </c>
      <c r="J1141">
        <f t="shared" si="65"/>
        <v>4.5359237000000006</v>
      </c>
      <c r="K1141">
        <v>9.9740000000000002</v>
      </c>
      <c r="L1141">
        <f t="shared" si="66"/>
        <v>45.241302983800004</v>
      </c>
    </row>
    <row r="1142" spans="1:12" x14ac:dyDescent="0.2">
      <c r="A1142" s="4">
        <v>43434</v>
      </c>
      <c r="B1142" t="s">
        <v>517</v>
      </c>
      <c r="C1142">
        <v>1</v>
      </c>
      <c r="D1142">
        <v>6</v>
      </c>
      <c r="E1142">
        <v>2</v>
      </c>
      <c r="F1142" t="s">
        <v>523</v>
      </c>
      <c r="G1142" t="s">
        <v>847</v>
      </c>
      <c r="H1142" t="s">
        <v>1073</v>
      </c>
      <c r="I1142">
        <f t="shared" si="68"/>
        <v>12</v>
      </c>
      <c r="J1142">
        <f t="shared" si="65"/>
        <v>5.4431084400000005</v>
      </c>
      <c r="K1142">
        <v>9.9740000000000002</v>
      </c>
      <c r="L1142">
        <f t="shared" si="66"/>
        <v>54.289563580560007</v>
      </c>
    </row>
    <row r="1143" spans="1:12" x14ac:dyDescent="0.2">
      <c r="A1143" s="4">
        <v>43434</v>
      </c>
      <c r="B1143" t="s">
        <v>517</v>
      </c>
      <c r="C1143">
        <v>1</v>
      </c>
      <c r="D1143">
        <v>6</v>
      </c>
      <c r="E1143">
        <v>3</v>
      </c>
      <c r="F1143" t="s">
        <v>394</v>
      </c>
      <c r="G1143" t="s">
        <v>847</v>
      </c>
      <c r="H1143" t="s">
        <v>1073</v>
      </c>
      <c r="I1143">
        <f t="shared" si="68"/>
        <v>18</v>
      </c>
      <c r="J1143">
        <f t="shared" si="65"/>
        <v>8.1646626599999994</v>
      </c>
      <c r="K1143">
        <v>9.9740000000000002</v>
      </c>
      <c r="L1143">
        <f t="shared" si="66"/>
        <v>81.434345370839992</v>
      </c>
    </row>
    <row r="1144" spans="1:12" x14ac:dyDescent="0.2">
      <c r="A1144" s="4">
        <v>43437</v>
      </c>
      <c r="B1144" t="s">
        <v>517</v>
      </c>
      <c r="C1144">
        <v>4</v>
      </c>
      <c r="D1144">
        <v>4</v>
      </c>
      <c r="E1144">
        <v>5</v>
      </c>
      <c r="F1144" t="s">
        <v>391</v>
      </c>
      <c r="G1144" t="s">
        <v>847</v>
      </c>
      <c r="H1144" t="s">
        <v>1073</v>
      </c>
      <c r="I1144">
        <f t="shared" si="68"/>
        <v>80</v>
      </c>
      <c r="J1144">
        <f t="shared" si="65"/>
        <v>36.287389600000004</v>
      </c>
      <c r="K1144">
        <v>9.9740000000000002</v>
      </c>
      <c r="L1144">
        <f t="shared" si="66"/>
        <v>361.93042387040003</v>
      </c>
    </row>
    <row r="1145" spans="1:12" x14ac:dyDescent="0.2">
      <c r="A1145" s="4">
        <v>43437</v>
      </c>
      <c r="B1145" t="s">
        <v>517</v>
      </c>
      <c r="C1145">
        <v>6</v>
      </c>
      <c r="D1145">
        <v>4</v>
      </c>
      <c r="E1145">
        <v>5</v>
      </c>
      <c r="F1145" t="s">
        <v>392</v>
      </c>
      <c r="G1145" t="s">
        <v>847</v>
      </c>
      <c r="H1145" t="s">
        <v>1073</v>
      </c>
      <c r="I1145">
        <f t="shared" si="68"/>
        <v>120</v>
      </c>
      <c r="J1145">
        <f t="shared" si="65"/>
        <v>54.431084400000003</v>
      </c>
      <c r="K1145">
        <v>9.9740000000000002</v>
      </c>
      <c r="L1145">
        <f t="shared" si="66"/>
        <v>542.89563580560002</v>
      </c>
    </row>
    <row r="1146" spans="1:12" x14ac:dyDescent="0.2">
      <c r="A1146" s="4">
        <v>43437</v>
      </c>
      <c r="B1146" t="s">
        <v>517</v>
      </c>
      <c r="C1146">
        <v>3</v>
      </c>
      <c r="D1146">
        <v>2</v>
      </c>
      <c r="E1146">
        <v>5</v>
      </c>
      <c r="F1146" t="s">
        <v>393</v>
      </c>
      <c r="G1146" t="s">
        <v>847</v>
      </c>
      <c r="H1146" t="s">
        <v>1073</v>
      </c>
      <c r="I1146">
        <f t="shared" si="68"/>
        <v>30</v>
      </c>
      <c r="J1146">
        <f t="shared" si="65"/>
        <v>13.607771100000001</v>
      </c>
      <c r="K1146">
        <v>9.9740000000000002</v>
      </c>
      <c r="L1146">
        <f t="shared" si="66"/>
        <v>135.72390895140001</v>
      </c>
    </row>
    <row r="1147" spans="1:12" x14ac:dyDescent="0.2">
      <c r="A1147" s="4">
        <v>43439</v>
      </c>
      <c r="B1147" t="s">
        <v>517</v>
      </c>
      <c r="C1147">
        <v>1</v>
      </c>
      <c r="D1147">
        <v>10</v>
      </c>
      <c r="E1147">
        <v>3</v>
      </c>
      <c r="F1147" t="s">
        <v>587</v>
      </c>
      <c r="G1147" t="s">
        <v>847</v>
      </c>
      <c r="H1147" t="s">
        <v>1073</v>
      </c>
      <c r="I1147">
        <f t="shared" si="68"/>
        <v>30</v>
      </c>
      <c r="J1147">
        <f t="shared" si="65"/>
        <v>13.607771100000001</v>
      </c>
      <c r="K1147">
        <v>9.9740000000000002</v>
      </c>
      <c r="L1147">
        <f t="shared" si="66"/>
        <v>135.72390895140001</v>
      </c>
    </row>
    <row r="1148" spans="1:12" x14ac:dyDescent="0.2">
      <c r="A1148" s="4">
        <v>43439</v>
      </c>
      <c r="B1148" t="s">
        <v>517</v>
      </c>
      <c r="C1148">
        <v>2</v>
      </c>
      <c r="D1148">
        <v>4</v>
      </c>
      <c r="E1148">
        <v>5</v>
      </c>
      <c r="F1148" t="s">
        <v>390</v>
      </c>
      <c r="G1148" t="s">
        <v>847</v>
      </c>
      <c r="H1148" t="s">
        <v>1073</v>
      </c>
      <c r="I1148">
        <f t="shared" si="68"/>
        <v>40</v>
      </c>
      <c r="J1148">
        <f t="shared" si="65"/>
        <v>18.143694800000002</v>
      </c>
      <c r="K1148">
        <v>9.9740000000000002</v>
      </c>
      <c r="L1148">
        <f t="shared" si="66"/>
        <v>180.96521193520002</v>
      </c>
    </row>
    <row r="1149" spans="1:12" x14ac:dyDescent="0.2">
      <c r="A1149" s="4">
        <v>43439</v>
      </c>
      <c r="B1149" t="s">
        <v>517</v>
      </c>
      <c r="C1149">
        <v>2</v>
      </c>
      <c r="D1149">
        <v>4</v>
      </c>
      <c r="E1149">
        <v>5</v>
      </c>
      <c r="F1149" t="s">
        <v>391</v>
      </c>
      <c r="G1149" t="s">
        <v>847</v>
      </c>
      <c r="H1149" t="s">
        <v>1073</v>
      </c>
      <c r="I1149">
        <f t="shared" si="68"/>
        <v>40</v>
      </c>
      <c r="J1149">
        <f t="shared" si="65"/>
        <v>18.143694800000002</v>
      </c>
      <c r="K1149">
        <v>9.9740000000000002</v>
      </c>
      <c r="L1149">
        <f t="shared" si="66"/>
        <v>180.96521193520002</v>
      </c>
    </row>
    <row r="1150" spans="1:12" x14ac:dyDescent="0.2">
      <c r="A1150" s="4">
        <v>43439</v>
      </c>
      <c r="B1150" t="s">
        <v>517</v>
      </c>
      <c r="C1150">
        <v>5</v>
      </c>
      <c r="D1150">
        <v>4</v>
      </c>
      <c r="E1150">
        <v>5</v>
      </c>
      <c r="F1150" t="s">
        <v>392</v>
      </c>
      <c r="G1150" t="s">
        <v>847</v>
      </c>
      <c r="H1150" t="s">
        <v>1073</v>
      </c>
      <c r="I1150">
        <f t="shared" si="68"/>
        <v>100</v>
      </c>
      <c r="J1150">
        <f t="shared" si="65"/>
        <v>45.359237</v>
      </c>
      <c r="K1150">
        <v>9.9740000000000002</v>
      </c>
      <c r="L1150">
        <f t="shared" si="66"/>
        <v>452.413029838</v>
      </c>
    </row>
    <row r="1151" spans="1:12" x14ac:dyDescent="0.2">
      <c r="A1151" s="4">
        <v>43439</v>
      </c>
      <c r="B1151" t="s">
        <v>517</v>
      </c>
      <c r="C1151">
        <v>1</v>
      </c>
      <c r="D1151">
        <v>4</v>
      </c>
      <c r="E1151">
        <v>2.5</v>
      </c>
      <c r="F1151" t="s">
        <v>1008</v>
      </c>
      <c r="G1151" t="s">
        <v>847</v>
      </c>
      <c r="H1151" t="s">
        <v>1073</v>
      </c>
      <c r="I1151">
        <f t="shared" si="68"/>
        <v>10</v>
      </c>
      <c r="J1151">
        <f t="shared" si="65"/>
        <v>4.5359237000000006</v>
      </c>
      <c r="K1151">
        <v>9.9740000000000002</v>
      </c>
      <c r="L1151">
        <f t="shared" si="66"/>
        <v>45.241302983800004</v>
      </c>
    </row>
    <row r="1152" spans="1:12" x14ac:dyDescent="0.2">
      <c r="A1152" s="4">
        <v>43439</v>
      </c>
      <c r="B1152" t="s">
        <v>517</v>
      </c>
      <c r="C1152">
        <v>1</v>
      </c>
      <c r="D1152">
        <v>8</v>
      </c>
      <c r="E1152">
        <v>1.25</v>
      </c>
      <c r="F1152" t="s">
        <v>1010</v>
      </c>
      <c r="G1152" t="s">
        <v>847</v>
      </c>
      <c r="H1152" t="s">
        <v>1073</v>
      </c>
      <c r="I1152">
        <f t="shared" si="68"/>
        <v>10</v>
      </c>
      <c r="J1152">
        <f t="shared" si="65"/>
        <v>4.5359237000000006</v>
      </c>
      <c r="K1152">
        <v>9.9740000000000002</v>
      </c>
      <c r="L1152">
        <f t="shared" si="66"/>
        <v>45.241302983800004</v>
      </c>
    </row>
    <row r="1153" spans="1:12" x14ac:dyDescent="0.2">
      <c r="A1153" s="4">
        <v>43439</v>
      </c>
      <c r="B1153" t="s">
        <v>517</v>
      </c>
      <c r="C1153">
        <v>2</v>
      </c>
      <c r="D1153">
        <v>4</v>
      </c>
      <c r="E1153">
        <v>2.5</v>
      </c>
      <c r="F1153" t="s">
        <v>1011</v>
      </c>
      <c r="G1153" t="s">
        <v>847</v>
      </c>
      <c r="H1153" t="s">
        <v>1073</v>
      </c>
      <c r="I1153">
        <f t="shared" si="68"/>
        <v>20</v>
      </c>
      <c r="J1153">
        <f t="shared" si="65"/>
        <v>9.0718474000000011</v>
      </c>
      <c r="K1153">
        <v>9.9740000000000002</v>
      </c>
      <c r="L1153">
        <f t="shared" si="66"/>
        <v>90.482605967600009</v>
      </c>
    </row>
    <row r="1154" spans="1:12" x14ac:dyDescent="0.2">
      <c r="B1154" t="s">
        <v>48</v>
      </c>
      <c r="C1154" s="28">
        <v>2</v>
      </c>
      <c r="D1154">
        <v>1</v>
      </c>
      <c r="E1154">
        <v>30</v>
      </c>
      <c r="F1154" t="s">
        <v>354</v>
      </c>
      <c r="G1154" t="s">
        <v>831</v>
      </c>
      <c r="H1154" t="s">
        <v>1073</v>
      </c>
      <c r="I1154">
        <f t="shared" si="68"/>
        <v>60</v>
      </c>
      <c r="J1154">
        <f t="shared" si="65"/>
        <v>27.215542200000002</v>
      </c>
      <c r="K1154">
        <v>9.9740000000000002</v>
      </c>
      <c r="L1154">
        <f t="shared" si="66"/>
        <v>271.44781790280001</v>
      </c>
    </row>
    <row r="1155" spans="1:12" x14ac:dyDescent="0.2">
      <c r="A1155" s="4">
        <v>43399</v>
      </c>
      <c r="B1155" t="s">
        <v>175</v>
      </c>
      <c r="C1155" s="28">
        <v>1</v>
      </c>
      <c r="D1155">
        <v>1</v>
      </c>
      <c r="E1155">
        <v>80</v>
      </c>
      <c r="F1155" t="s">
        <v>31</v>
      </c>
      <c r="G1155" t="s">
        <v>755</v>
      </c>
      <c r="H1155" t="s">
        <v>1072</v>
      </c>
      <c r="I1155">
        <f t="shared" si="68"/>
        <v>80</v>
      </c>
      <c r="J1155">
        <f t="shared" ref="J1155:J1218" si="69">CONVERT(I1155,"lbm","kg")</f>
        <v>36.287389600000004</v>
      </c>
      <c r="K1155">
        <v>4.1879999999999997</v>
      </c>
      <c r="L1155">
        <f t="shared" ref="L1155:L1218" si="70">J1155*K1155</f>
        <v>151.9715876448</v>
      </c>
    </row>
    <row r="1156" spans="1:12" x14ac:dyDescent="0.2">
      <c r="A1156" s="4">
        <v>43403</v>
      </c>
      <c r="B1156" t="s">
        <v>175</v>
      </c>
      <c r="C1156" s="28">
        <v>1</v>
      </c>
      <c r="D1156">
        <v>1</v>
      </c>
      <c r="E1156">
        <v>280</v>
      </c>
      <c r="F1156" t="s">
        <v>31</v>
      </c>
      <c r="G1156" t="s">
        <v>755</v>
      </c>
      <c r="H1156" t="s">
        <v>1072</v>
      </c>
      <c r="I1156">
        <f t="shared" si="68"/>
        <v>280</v>
      </c>
      <c r="J1156">
        <f t="shared" si="69"/>
        <v>127.00586360000001</v>
      </c>
      <c r="K1156">
        <v>4.1879999999999997</v>
      </c>
      <c r="L1156">
        <f t="shared" si="70"/>
        <v>531.90055675680003</v>
      </c>
    </row>
    <row r="1157" spans="1:12" x14ac:dyDescent="0.2">
      <c r="A1157" s="4">
        <v>43404</v>
      </c>
      <c r="B1157" t="s">
        <v>201</v>
      </c>
      <c r="C1157">
        <v>13</v>
      </c>
      <c r="D1157">
        <v>1</v>
      </c>
      <c r="E1157">
        <v>20</v>
      </c>
      <c r="F1157" s="9" t="s">
        <v>51</v>
      </c>
      <c r="G1157" s="9" t="s">
        <v>755</v>
      </c>
      <c r="H1157" t="s">
        <v>1072</v>
      </c>
      <c r="I1157">
        <f t="shared" si="68"/>
        <v>260</v>
      </c>
      <c r="J1157">
        <f t="shared" si="69"/>
        <v>117.9340162</v>
      </c>
      <c r="K1157">
        <v>4.1879999999999997</v>
      </c>
      <c r="L1157">
        <f t="shared" si="70"/>
        <v>493.90765984559999</v>
      </c>
    </row>
    <row r="1158" spans="1:12" x14ac:dyDescent="0.2">
      <c r="A1158" s="4">
        <v>43404</v>
      </c>
      <c r="B1158" t="s">
        <v>201</v>
      </c>
      <c r="C1158">
        <v>15</v>
      </c>
      <c r="D1158">
        <v>1</v>
      </c>
      <c r="E1158">
        <v>20</v>
      </c>
      <c r="F1158" s="9" t="s">
        <v>295</v>
      </c>
      <c r="G1158" s="9" t="s">
        <v>755</v>
      </c>
      <c r="H1158" t="s">
        <v>1072</v>
      </c>
      <c r="I1158">
        <f t="shared" si="68"/>
        <v>300</v>
      </c>
      <c r="J1158">
        <f t="shared" si="69"/>
        <v>136.07771100000002</v>
      </c>
      <c r="K1158">
        <v>4.1879999999999997</v>
      </c>
      <c r="L1158">
        <f t="shared" si="70"/>
        <v>569.89345366800001</v>
      </c>
    </row>
    <row r="1159" spans="1:12" x14ac:dyDescent="0.2">
      <c r="A1159" s="4">
        <v>43404</v>
      </c>
      <c r="B1159" t="s">
        <v>201</v>
      </c>
      <c r="C1159">
        <v>16</v>
      </c>
      <c r="D1159">
        <v>1</v>
      </c>
      <c r="E1159">
        <v>20</v>
      </c>
      <c r="F1159" s="9" t="s">
        <v>200</v>
      </c>
      <c r="G1159" s="9" t="s">
        <v>755</v>
      </c>
      <c r="H1159" t="s">
        <v>1072</v>
      </c>
      <c r="I1159">
        <f t="shared" si="68"/>
        <v>320</v>
      </c>
      <c r="J1159">
        <f t="shared" si="69"/>
        <v>145.14955840000002</v>
      </c>
      <c r="K1159">
        <v>4.1879999999999997</v>
      </c>
      <c r="L1159">
        <f t="shared" si="70"/>
        <v>607.88635057919998</v>
      </c>
    </row>
    <row r="1160" spans="1:12" x14ac:dyDescent="0.2">
      <c r="A1160" s="4">
        <v>43404</v>
      </c>
      <c r="B1160" t="s">
        <v>201</v>
      </c>
      <c r="C1160">
        <v>4</v>
      </c>
      <c r="D1160">
        <v>1</v>
      </c>
      <c r="E1160">
        <v>40</v>
      </c>
      <c r="F1160" s="9" t="s">
        <v>52</v>
      </c>
      <c r="G1160" s="9" t="s">
        <v>755</v>
      </c>
      <c r="H1160" t="s">
        <v>1072</v>
      </c>
      <c r="I1160">
        <f t="shared" si="68"/>
        <v>160</v>
      </c>
      <c r="J1160">
        <f t="shared" si="69"/>
        <v>72.574779200000009</v>
      </c>
      <c r="K1160">
        <v>4.1879999999999997</v>
      </c>
      <c r="L1160">
        <f t="shared" si="70"/>
        <v>303.94317528959999</v>
      </c>
    </row>
    <row r="1161" spans="1:12" x14ac:dyDescent="0.2">
      <c r="A1161" s="4">
        <v>43405</v>
      </c>
      <c r="B1161" t="s">
        <v>201</v>
      </c>
      <c r="C1161">
        <v>15</v>
      </c>
      <c r="D1161">
        <v>1</v>
      </c>
      <c r="E1161">
        <v>20</v>
      </c>
      <c r="F1161" s="9" t="s">
        <v>51</v>
      </c>
      <c r="G1161" s="9" t="s">
        <v>755</v>
      </c>
      <c r="H1161" t="s">
        <v>1072</v>
      </c>
      <c r="I1161">
        <f t="shared" si="68"/>
        <v>300</v>
      </c>
      <c r="J1161">
        <f t="shared" si="69"/>
        <v>136.07771100000002</v>
      </c>
      <c r="K1161">
        <v>4.1879999999999997</v>
      </c>
      <c r="L1161">
        <f t="shared" si="70"/>
        <v>569.89345366800001</v>
      </c>
    </row>
    <row r="1162" spans="1:12" x14ac:dyDescent="0.2">
      <c r="A1162" s="4">
        <v>43399</v>
      </c>
      <c r="B1162" t="s">
        <v>201</v>
      </c>
      <c r="C1162">
        <v>7</v>
      </c>
      <c r="D1162">
        <v>1</v>
      </c>
      <c r="E1162">
        <v>20</v>
      </c>
      <c r="F1162" s="9" t="s">
        <v>296</v>
      </c>
      <c r="G1162" s="9" t="s">
        <v>755</v>
      </c>
      <c r="H1162" t="s">
        <v>1072</v>
      </c>
      <c r="I1162">
        <f t="shared" si="68"/>
        <v>140</v>
      </c>
      <c r="J1162">
        <f t="shared" si="69"/>
        <v>63.502931800000006</v>
      </c>
      <c r="K1162">
        <v>4.1879999999999997</v>
      </c>
      <c r="L1162">
        <f t="shared" si="70"/>
        <v>265.95027837840001</v>
      </c>
    </row>
    <row r="1163" spans="1:12" x14ac:dyDescent="0.2">
      <c r="A1163" s="4">
        <v>43399</v>
      </c>
      <c r="B1163" t="s">
        <v>201</v>
      </c>
      <c r="C1163">
        <v>15</v>
      </c>
      <c r="D1163">
        <v>1</v>
      </c>
      <c r="E1163">
        <v>20</v>
      </c>
      <c r="F1163" s="9" t="s">
        <v>51</v>
      </c>
      <c r="G1163" s="9" t="s">
        <v>755</v>
      </c>
      <c r="H1163" t="s">
        <v>1072</v>
      </c>
      <c r="I1163">
        <f t="shared" si="68"/>
        <v>300</v>
      </c>
      <c r="J1163">
        <f t="shared" si="69"/>
        <v>136.07771100000002</v>
      </c>
      <c r="K1163">
        <v>4.1879999999999997</v>
      </c>
      <c r="L1163">
        <f t="shared" si="70"/>
        <v>569.89345366800001</v>
      </c>
    </row>
    <row r="1164" spans="1:12" x14ac:dyDescent="0.2">
      <c r="A1164" s="4">
        <v>43399</v>
      </c>
      <c r="B1164" t="s">
        <v>201</v>
      </c>
      <c r="C1164">
        <v>3</v>
      </c>
      <c r="D1164">
        <v>1</v>
      </c>
      <c r="E1164">
        <v>20</v>
      </c>
      <c r="F1164" s="9" t="s">
        <v>31</v>
      </c>
      <c r="G1164" s="9" t="s">
        <v>755</v>
      </c>
      <c r="H1164" t="s">
        <v>1072</v>
      </c>
      <c r="I1164">
        <f t="shared" si="68"/>
        <v>60</v>
      </c>
      <c r="J1164">
        <f t="shared" si="69"/>
        <v>27.215542200000002</v>
      </c>
      <c r="K1164">
        <v>4.1879999999999997</v>
      </c>
      <c r="L1164">
        <f t="shared" si="70"/>
        <v>113.9786907336</v>
      </c>
    </row>
    <row r="1165" spans="1:12" x14ac:dyDescent="0.2">
      <c r="A1165" s="4">
        <v>43402</v>
      </c>
      <c r="B1165" t="s">
        <v>201</v>
      </c>
      <c r="C1165">
        <v>15</v>
      </c>
      <c r="D1165">
        <v>1</v>
      </c>
      <c r="E1165">
        <v>20</v>
      </c>
      <c r="F1165" s="9" t="s">
        <v>51</v>
      </c>
      <c r="G1165" s="9" t="s">
        <v>755</v>
      </c>
      <c r="H1165" t="s">
        <v>1072</v>
      </c>
      <c r="I1165">
        <f t="shared" si="68"/>
        <v>300</v>
      </c>
      <c r="J1165">
        <f t="shared" si="69"/>
        <v>136.07771100000002</v>
      </c>
      <c r="K1165">
        <v>4.1879999999999997</v>
      </c>
      <c r="L1165">
        <f t="shared" si="70"/>
        <v>569.89345366800001</v>
      </c>
    </row>
    <row r="1166" spans="1:12" x14ac:dyDescent="0.2">
      <c r="A1166" s="4">
        <v>43402</v>
      </c>
      <c r="B1166" t="s">
        <v>201</v>
      </c>
      <c r="C1166">
        <v>15</v>
      </c>
      <c r="D1166">
        <v>1</v>
      </c>
      <c r="E1166">
        <v>20</v>
      </c>
      <c r="F1166" s="9" t="s">
        <v>295</v>
      </c>
      <c r="G1166" s="9" t="s">
        <v>755</v>
      </c>
      <c r="H1166" t="s">
        <v>1072</v>
      </c>
      <c r="I1166">
        <f t="shared" si="68"/>
        <v>300</v>
      </c>
      <c r="J1166">
        <f t="shared" si="69"/>
        <v>136.07771100000002</v>
      </c>
      <c r="K1166">
        <v>4.1879999999999997</v>
      </c>
      <c r="L1166">
        <f t="shared" si="70"/>
        <v>569.89345366800001</v>
      </c>
    </row>
    <row r="1167" spans="1:12" x14ac:dyDescent="0.2">
      <c r="A1167" s="4">
        <v>43402</v>
      </c>
      <c r="B1167" t="s">
        <v>201</v>
      </c>
      <c r="C1167">
        <v>3</v>
      </c>
      <c r="D1167">
        <v>1</v>
      </c>
      <c r="E1167">
        <v>40</v>
      </c>
      <c r="F1167" s="9" t="s">
        <v>52</v>
      </c>
      <c r="G1167" s="9" t="s">
        <v>755</v>
      </c>
      <c r="H1167" t="s">
        <v>1072</v>
      </c>
      <c r="I1167">
        <f t="shared" ref="I1167:I1175" si="71">C1167*D1167*E1167</f>
        <v>120</v>
      </c>
      <c r="J1167">
        <f t="shared" si="69"/>
        <v>54.431084400000003</v>
      </c>
      <c r="K1167">
        <v>4.1879999999999997</v>
      </c>
      <c r="L1167">
        <f t="shared" si="70"/>
        <v>227.95738146720001</v>
      </c>
    </row>
    <row r="1168" spans="1:12" x14ac:dyDescent="0.2">
      <c r="A1168" s="4">
        <v>43402</v>
      </c>
      <c r="B1168" t="s">
        <v>201</v>
      </c>
      <c r="C1168">
        <v>16</v>
      </c>
      <c r="D1168">
        <v>1</v>
      </c>
      <c r="E1168">
        <v>20</v>
      </c>
      <c r="F1168" s="9" t="s">
        <v>200</v>
      </c>
      <c r="G1168" s="9" t="s">
        <v>755</v>
      </c>
      <c r="H1168" t="s">
        <v>1072</v>
      </c>
      <c r="I1168">
        <f t="shared" si="71"/>
        <v>320</v>
      </c>
      <c r="J1168">
        <f t="shared" si="69"/>
        <v>145.14955840000002</v>
      </c>
      <c r="K1168">
        <v>4.1879999999999997</v>
      </c>
      <c r="L1168">
        <f t="shared" si="70"/>
        <v>607.88635057919998</v>
      </c>
    </row>
    <row r="1169" spans="1:12" x14ac:dyDescent="0.2">
      <c r="A1169" s="4">
        <v>43403</v>
      </c>
      <c r="B1169" t="s">
        <v>201</v>
      </c>
      <c r="C1169">
        <v>15</v>
      </c>
      <c r="D1169">
        <v>1</v>
      </c>
      <c r="E1169">
        <v>20</v>
      </c>
      <c r="F1169" s="9" t="s">
        <v>51</v>
      </c>
      <c r="G1169" s="9" t="s">
        <v>755</v>
      </c>
      <c r="H1169" t="s">
        <v>1072</v>
      </c>
      <c r="I1169">
        <f t="shared" si="71"/>
        <v>300</v>
      </c>
      <c r="J1169">
        <f t="shared" si="69"/>
        <v>136.07771100000002</v>
      </c>
      <c r="K1169">
        <v>4.1879999999999997</v>
      </c>
      <c r="L1169">
        <f t="shared" si="70"/>
        <v>569.89345366800001</v>
      </c>
    </row>
    <row r="1170" spans="1:12" x14ac:dyDescent="0.2">
      <c r="A1170" s="4">
        <v>43434</v>
      </c>
      <c r="B1170" t="s">
        <v>538</v>
      </c>
      <c r="C1170">
        <v>8</v>
      </c>
      <c r="D1170">
        <v>6</v>
      </c>
      <c r="E1170">
        <v>10</v>
      </c>
      <c r="F1170" t="s">
        <v>539</v>
      </c>
      <c r="G1170" t="s">
        <v>896</v>
      </c>
      <c r="H1170" s="6" t="s">
        <v>1071</v>
      </c>
      <c r="I1170">
        <f t="shared" si="71"/>
        <v>480</v>
      </c>
      <c r="J1170">
        <f t="shared" si="69"/>
        <v>217.72433760000001</v>
      </c>
      <c r="K1170">
        <v>0.49099999999999999</v>
      </c>
      <c r="L1170">
        <f t="shared" si="70"/>
        <v>106.9026497616</v>
      </c>
    </row>
    <row r="1171" spans="1:12" x14ac:dyDescent="0.2">
      <c r="A1171" s="4">
        <v>43439</v>
      </c>
      <c r="B1171" t="s">
        <v>538</v>
      </c>
      <c r="C1171">
        <v>3</v>
      </c>
      <c r="D1171">
        <v>6</v>
      </c>
      <c r="E1171">
        <v>10</v>
      </c>
      <c r="F1171" t="s">
        <v>539</v>
      </c>
      <c r="G1171" t="s">
        <v>896</v>
      </c>
      <c r="H1171" s="6" t="s">
        <v>1071</v>
      </c>
      <c r="I1171">
        <f t="shared" si="71"/>
        <v>180</v>
      </c>
      <c r="J1171">
        <f t="shared" si="69"/>
        <v>81.646626600000005</v>
      </c>
      <c r="K1171">
        <v>0.49099999999999999</v>
      </c>
      <c r="L1171">
        <f t="shared" si="70"/>
        <v>40.088493660600001</v>
      </c>
    </row>
    <row r="1172" spans="1:12" x14ac:dyDescent="0.2">
      <c r="A1172" s="4">
        <v>43434</v>
      </c>
      <c r="B1172" t="s">
        <v>531</v>
      </c>
      <c r="C1172">
        <v>11</v>
      </c>
      <c r="D1172">
        <v>100</v>
      </c>
      <c r="E1172">
        <f>2.6/16</f>
        <v>0.16250000000000001</v>
      </c>
      <c r="F1172" t="s">
        <v>532</v>
      </c>
      <c r="G1172" s="6" t="s">
        <v>853</v>
      </c>
      <c r="H1172" s="6" t="s">
        <v>1071</v>
      </c>
      <c r="I1172">
        <f t="shared" si="71"/>
        <v>178.75</v>
      </c>
      <c r="J1172">
        <f t="shared" si="69"/>
        <v>81.079636137500003</v>
      </c>
      <c r="K1172">
        <v>1.2</v>
      </c>
      <c r="L1172">
        <f t="shared" si="70"/>
        <v>97.295563365000007</v>
      </c>
    </row>
    <row r="1173" spans="1:12" x14ac:dyDescent="0.2">
      <c r="A1173" s="28"/>
      <c r="B1173" t="s">
        <v>48</v>
      </c>
      <c r="C1173" s="28">
        <v>1</v>
      </c>
      <c r="D1173">
        <v>1</v>
      </c>
      <c r="E1173">
        <f>30*(2.8/16)</f>
        <v>5.25</v>
      </c>
      <c r="F1173" t="s">
        <v>300</v>
      </c>
      <c r="G1173" t="s">
        <v>300</v>
      </c>
      <c r="H1173" t="s">
        <v>1071</v>
      </c>
      <c r="I1173">
        <f t="shared" si="71"/>
        <v>5.25</v>
      </c>
      <c r="J1173">
        <f t="shared" si="69"/>
        <v>2.3813599425</v>
      </c>
      <c r="K1173">
        <v>0.26100000000000001</v>
      </c>
      <c r="L1173">
        <f t="shared" si="70"/>
        <v>0.62153494499250006</v>
      </c>
    </row>
    <row r="1174" spans="1:12" x14ac:dyDescent="0.2">
      <c r="B1174" t="s">
        <v>48</v>
      </c>
      <c r="C1174" s="28">
        <v>1</v>
      </c>
      <c r="D1174">
        <v>1</v>
      </c>
      <c r="E1174">
        <f>30*(2.8/16)</f>
        <v>5.25</v>
      </c>
      <c r="F1174" t="s">
        <v>300</v>
      </c>
      <c r="G1174" t="s">
        <v>300</v>
      </c>
      <c r="H1174" t="s">
        <v>1071</v>
      </c>
      <c r="I1174">
        <f t="shared" si="71"/>
        <v>5.25</v>
      </c>
      <c r="J1174">
        <f t="shared" si="69"/>
        <v>2.3813599425</v>
      </c>
      <c r="K1174">
        <v>0.26100000000000001</v>
      </c>
      <c r="L1174">
        <f t="shared" si="70"/>
        <v>0.62153494499250006</v>
      </c>
    </row>
    <row r="1175" spans="1:12" x14ac:dyDescent="0.2">
      <c r="B1175" t="s">
        <v>48</v>
      </c>
      <c r="C1175" s="28">
        <v>1</v>
      </c>
      <c r="D1175">
        <v>1</v>
      </c>
      <c r="E1175">
        <f>14/16</f>
        <v>0.875</v>
      </c>
      <c r="F1175" t="s">
        <v>375</v>
      </c>
      <c r="G1175" t="s">
        <v>375</v>
      </c>
      <c r="H1175" t="s">
        <v>1071</v>
      </c>
      <c r="I1175">
        <f t="shared" si="71"/>
        <v>0.875</v>
      </c>
      <c r="J1175">
        <f t="shared" si="69"/>
        <v>0.39689332375000003</v>
      </c>
      <c r="K1175">
        <v>0.87</v>
      </c>
      <c r="L1175">
        <f t="shared" si="70"/>
        <v>0.3452971916625</v>
      </c>
    </row>
    <row r="1176" spans="1:12" x14ac:dyDescent="0.2">
      <c r="A1176" s="4">
        <v>43439</v>
      </c>
      <c r="B1176" t="s">
        <v>538</v>
      </c>
      <c r="C1176">
        <v>1</v>
      </c>
      <c r="D1176">
        <v>6</v>
      </c>
      <c r="E1176" t="s">
        <v>422</v>
      </c>
      <c r="F1176" t="s">
        <v>423</v>
      </c>
      <c r="G1176" s="14" t="s">
        <v>919</v>
      </c>
      <c r="H1176" s="6" t="s">
        <v>1071</v>
      </c>
      <c r="I1176">
        <v>0</v>
      </c>
      <c r="J1176">
        <f t="shared" si="69"/>
        <v>0</v>
      </c>
      <c r="K1176">
        <v>33.646999999999998</v>
      </c>
      <c r="L1176">
        <f t="shared" si="70"/>
        <v>0</v>
      </c>
    </row>
    <row r="1177" spans="1:12" x14ac:dyDescent="0.2">
      <c r="A1177" s="4">
        <v>43403</v>
      </c>
      <c r="B1177" t="s">
        <v>291</v>
      </c>
      <c r="C1177" s="35">
        <v>1</v>
      </c>
      <c r="D1177">
        <v>1</v>
      </c>
      <c r="E1177" s="8">
        <v>5</v>
      </c>
      <c r="F1177" s="8" t="s">
        <v>293</v>
      </c>
      <c r="G1177" s="8" t="s">
        <v>810</v>
      </c>
      <c r="H1177" t="s">
        <v>1071</v>
      </c>
      <c r="I1177">
        <f t="shared" ref="I1177:I1199" si="72">C1177*D1177*E1177</f>
        <v>5</v>
      </c>
      <c r="J1177">
        <f t="shared" si="69"/>
        <v>2.2679618500000003</v>
      </c>
      <c r="K1177" s="8">
        <v>6.2789999999999999</v>
      </c>
      <c r="L1177">
        <f t="shared" si="70"/>
        <v>14.240532456150001</v>
      </c>
    </row>
    <row r="1178" spans="1:12" x14ac:dyDescent="0.2">
      <c r="A1178" s="4">
        <v>43403</v>
      </c>
      <c r="B1178" t="s">
        <v>291</v>
      </c>
      <c r="C1178" s="39">
        <v>1</v>
      </c>
      <c r="D1178">
        <v>1</v>
      </c>
      <c r="E1178">
        <v>10</v>
      </c>
      <c r="F1178" t="s">
        <v>292</v>
      </c>
      <c r="G1178" t="s">
        <v>809</v>
      </c>
      <c r="H1178" t="s">
        <v>1071</v>
      </c>
      <c r="I1178">
        <f t="shared" si="72"/>
        <v>10</v>
      </c>
      <c r="J1178">
        <f t="shared" si="69"/>
        <v>4.5359237000000006</v>
      </c>
      <c r="K1178">
        <v>6.2789999999999999</v>
      </c>
      <c r="L1178">
        <f t="shared" si="70"/>
        <v>28.481064912300003</v>
      </c>
    </row>
    <row r="1179" spans="1:12" x14ac:dyDescent="0.2">
      <c r="A1179" s="28"/>
      <c r="B1179" t="s">
        <v>48</v>
      </c>
      <c r="C1179" s="28">
        <v>4</v>
      </c>
      <c r="D1179">
        <v>1</v>
      </c>
      <c r="E1179">
        <v>10</v>
      </c>
      <c r="F1179" t="s">
        <v>325</v>
      </c>
      <c r="G1179" t="s">
        <v>794</v>
      </c>
      <c r="H1179" t="s">
        <v>1071</v>
      </c>
      <c r="I1179">
        <f t="shared" si="72"/>
        <v>40</v>
      </c>
      <c r="J1179">
        <f t="shared" si="69"/>
        <v>18.143694800000002</v>
      </c>
      <c r="K1179">
        <v>0.20599999999999999</v>
      </c>
      <c r="L1179">
        <f t="shared" si="70"/>
        <v>3.7376011288000002</v>
      </c>
    </row>
    <row r="1180" spans="1:12" x14ac:dyDescent="0.2">
      <c r="B1180" t="s">
        <v>48</v>
      </c>
      <c r="C1180" s="28">
        <v>3</v>
      </c>
      <c r="D1180">
        <v>1</v>
      </c>
      <c r="E1180">
        <v>10</v>
      </c>
      <c r="F1180" t="s">
        <v>344</v>
      </c>
      <c r="G1180" t="s">
        <v>794</v>
      </c>
      <c r="H1180" t="s">
        <v>1071</v>
      </c>
      <c r="I1180">
        <f t="shared" si="72"/>
        <v>30</v>
      </c>
      <c r="J1180">
        <f t="shared" si="69"/>
        <v>13.607771100000001</v>
      </c>
      <c r="K1180">
        <v>0.20599999999999999</v>
      </c>
      <c r="L1180">
        <f t="shared" si="70"/>
        <v>2.8032008465999998</v>
      </c>
    </row>
    <row r="1181" spans="1:12" x14ac:dyDescent="0.2">
      <c r="A1181" s="4">
        <v>43434</v>
      </c>
      <c r="B1181" t="s">
        <v>538</v>
      </c>
      <c r="C1181">
        <v>4</v>
      </c>
      <c r="D1181">
        <v>2</v>
      </c>
      <c r="E1181">
        <f>1.5*9.59</f>
        <v>14.385</v>
      </c>
      <c r="F1181" t="s">
        <v>563</v>
      </c>
      <c r="G1181" s="6" t="s">
        <v>980</v>
      </c>
      <c r="H1181" s="9" t="s">
        <v>1071</v>
      </c>
      <c r="I1181">
        <f t="shared" si="72"/>
        <v>115.08</v>
      </c>
      <c r="J1181">
        <f t="shared" si="69"/>
        <v>52.199409939600002</v>
      </c>
      <c r="K1181">
        <v>3.33</v>
      </c>
      <c r="L1181">
        <f t="shared" si="70"/>
        <v>173.82403509886802</v>
      </c>
    </row>
    <row r="1182" spans="1:12" x14ac:dyDescent="0.2">
      <c r="A1182" s="4">
        <v>43437</v>
      </c>
      <c r="B1182" t="s">
        <v>538</v>
      </c>
      <c r="C1182">
        <v>1</v>
      </c>
      <c r="D1182">
        <v>6</v>
      </c>
      <c r="E1182">
        <v>7.125</v>
      </c>
      <c r="F1182" t="s">
        <v>1007</v>
      </c>
      <c r="G1182" s="6" t="s">
        <v>980</v>
      </c>
      <c r="H1182" s="9" t="s">
        <v>1071</v>
      </c>
      <c r="I1182">
        <f t="shared" si="72"/>
        <v>42.75</v>
      </c>
      <c r="J1182">
        <f t="shared" si="69"/>
        <v>19.391073817500001</v>
      </c>
      <c r="K1182">
        <v>3.33</v>
      </c>
      <c r="L1182">
        <f t="shared" si="70"/>
        <v>64.572275812275009</v>
      </c>
    </row>
    <row r="1183" spans="1:12" x14ac:dyDescent="0.2">
      <c r="A1183" s="4">
        <v>43439</v>
      </c>
      <c r="B1183" t="s">
        <v>538</v>
      </c>
      <c r="C1183">
        <v>2</v>
      </c>
      <c r="D1183">
        <v>6</v>
      </c>
      <c r="E1183">
        <v>7.125</v>
      </c>
      <c r="F1183" t="s">
        <v>1007</v>
      </c>
      <c r="G1183" s="6" t="s">
        <v>980</v>
      </c>
      <c r="H1183" s="9" t="s">
        <v>1071</v>
      </c>
      <c r="I1183">
        <f t="shared" si="72"/>
        <v>85.5</v>
      </c>
      <c r="J1183">
        <f t="shared" si="69"/>
        <v>38.782147635000001</v>
      </c>
      <c r="K1183">
        <v>3.33</v>
      </c>
      <c r="L1183">
        <f t="shared" si="70"/>
        <v>129.14455162455002</v>
      </c>
    </row>
    <row r="1184" spans="1:12" x14ac:dyDescent="0.2">
      <c r="A1184" s="4">
        <v>43434</v>
      </c>
      <c r="B1184" t="s">
        <v>538</v>
      </c>
      <c r="C1184">
        <v>2</v>
      </c>
      <c r="D1184">
        <v>2</v>
      </c>
      <c r="E1184">
        <f>105/16</f>
        <v>6.5625</v>
      </c>
      <c r="F1184" t="s">
        <v>561</v>
      </c>
      <c r="G1184" s="6" t="s">
        <v>980</v>
      </c>
      <c r="H1184" s="9" t="s">
        <v>1071</v>
      </c>
      <c r="I1184">
        <f t="shared" si="72"/>
        <v>26.25</v>
      </c>
      <c r="J1184">
        <f t="shared" si="69"/>
        <v>11.9067997125</v>
      </c>
      <c r="K1184">
        <v>3.33</v>
      </c>
      <c r="L1184">
        <f t="shared" si="70"/>
        <v>39.649643042625001</v>
      </c>
    </row>
    <row r="1185" spans="1:12" x14ac:dyDescent="0.2">
      <c r="A1185" s="4">
        <v>43439</v>
      </c>
      <c r="B1185" t="s">
        <v>538</v>
      </c>
      <c r="C1185">
        <v>1</v>
      </c>
      <c r="D1185">
        <v>4</v>
      </c>
      <c r="E1185">
        <f>105/16</f>
        <v>6.5625</v>
      </c>
      <c r="F1185" t="s">
        <v>456</v>
      </c>
      <c r="G1185" s="6" t="s">
        <v>980</v>
      </c>
      <c r="H1185" s="9" t="s">
        <v>1071</v>
      </c>
      <c r="I1185">
        <f t="shared" si="72"/>
        <v>26.25</v>
      </c>
      <c r="J1185">
        <f t="shared" si="69"/>
        <v>11.9067997125</v>
      </c>
      <c r="K1185">
        <v>3.33</v>
      </c>
      <c r="L1185">
        <f t="shared" si="70"/>
        <v>39.649643042625001</v>
      </c>
    </row>
    <row r="1186" spans="1:12" x14ac:dyDescent="0.2">
      <c r="A1186" s="4">
        <v>43434</v>
      </c>
      <c r="B1186" t="s">
        <v>538</v>
      </c>
      <c r="C1186">
        <v>1</v>
      </c>
      <c r="D1186">
        <v>6</v>
      </c>
      <c r="E1186">
        <v>5</v>
      </c>
      <c r="F1186" t="s">
        <v>549</v>
      </c>
      <c r="G1186" s="6" t="s">
        <v>980</v>
      </c>
      <c r="H1186" s="9" t="s">
        <v>1071</v>
      </c>
      <c r="I1186">
        <f t="shared" si="72"/>
        <v>30</v>
      </c>
      <c r="J1186">
        <f t="shared" si="69"/>
        <v>13.607771100000001</v>
      </c>
      <c r="K1186">
        <v>3.33</v>
      </c>
      <c r="L1186">
        <f t="shared" si="70"/>
        <v>45.313877763000001</v>
      </c>
    </row>
    <row r="1187" spans="1:12" x14ac:dyDescent="0.2">
      <c r="A1187" s="4">
        <v>43437</v>
      </c>
      <c r="B1187" t="s">
        <v>538</v>
      </c>
      <c r="C1187">
        <v>1</v>
      </c>
      <c r="D1187">
        <v>4</v>
      </c>
      <c r="E1187">
        <f>1.13*10.16</f>
        <v>11.480799999999999</v>
      </c>
      <c r="F1187" t="s">
        <v>572</v>
      </c>
      <c r="G1187" s="6" t="s">
        <v>980</v>
      </c>
      <c r="H1187" s="9" t="s">
        <v>1071</v>
      </c>
      <c r="I1187">
        <f t="shared" si="72"/>
        <v>45.923199999999994</v>
      </c>
      <c r="J1187">
        <f t="shared" si="69"/>
        <v>20.830413125983998</v>
      </c>
      <c r="K1187">
        <v>3.33</v>
      </c>
      <c r="L1187">
        <f t="shared" si="70"/>
        <v>69.365275709526713</v>
      </c>
    </row>
    <row r="1188" spans="1:12" x14ac:dyDescent="0.2">
      <c r="A1188" s="4">
        <v>43437</v>
      </c>
      <c r="B1188" t="s">
        <v>538</v>
      </c>
      <c r="C1188">
        <v>1</v>
      </c>
      <c r="D1188">
        <v>12</v>
      </c>
      <c r="E1188">
        <v>1.5625</v>
      </c>
      <c r="F1188" t="s">
        <v>449</v>
      </c>
      <c r="G1188" s="6" t="s">
        <v>980</v>
      </c>
      <c r="H1188" s="9" t="s">
        <v>1071</v>
      </c>
      <c r="I1188">
        <f t="shared" si="72"/>
        <v>18.75</v>
      </c>
      <c r="J1188">
        <f t="shared" si="69"/>
        <v>8.5048569375000014</v>
      </c>
      <c r="K1188">
        <v>3.33</v>
      </c>
      <c r="L1188">
        <f t="shared" si="70"/>
        <v>28.321173601875007</v>
      </c>
    </row>
    <row r="1189" spans="1:12" x14ac:dyDescent="0.2">
      <c r="A1189" s="4">
        <v>43437</v>
      </c>
      <c r="B1189" t="s">
        <v>538</v>
      </c>
      <c r="C1189">
        <v>1</v>
      </c>
      <c r="D1189">
        <v>4</v>
      </c>
      <c r="E1189">
        <f>1.13*10.16</f>
        <v>11.480799999999999</v>
      </c>
      <c r="F1189" t="s">
        <v>584</v>
      </c>
      <c r="G1189" s="6" t="s">
        <v>980</v>
      </c>
      <c r="H1189" s="9" t="s">
        <v>1071</v>
      </c>
      <c r="I1189">
        <f t="shared" si="72"/>
        <v>45.923199999999994</v>
      </c>
      <c r="J1189">
        <f t="shared" si="69"/>
        <v>20.830413125983998</v>
      </c>
      <c r="K1189">
        <v>3.33</v>
      </c>
      <c r="L1189">
        <f t="shared" si="70"/>
        <v>69.365275709526713</v>
      </c>
    </row>
    <row r="1190" spans="1:12" x14ac:dyDescent="0.2">
      <c r="A1190" s="4">
        <v>43437</v>
      </c>
      <c r="B1190" t="s">
        <v>538</v>
      </c>
      <c r="C1190">
        <v>2</v>
      </c>
      <c r="D1190">
        <v>4</v>
      </c>
      <c r="E1190">
        <f>1.13*11.68</f>
        <v>13.198399999999998</v>
      </c>
      <c r="F1190" t="s">
        <v>585</v>
      </c>
      <c r="G1190" s="6" t="s">
        <v>980</v>
      </c>
      <c r="H1190" s="9" t="s">
        <v>1071</v>
      </c>
      <c r="I1190">
        <f t="shared" si="72"/>
        <v>105.58719999999998</v>
      </c>
      <c r="J1190">
        <f t="shared" si="69"/>
        <v>47.893548289663997</v>
      </c>
      <c r="K1190">
        <v>3.33</v>
      </c>
      <c r="L1190">
        <f t="shared" si="70"/>
        <v>159.48551580458113</v>
      </c>
    </row>
    <row r="1191" spans="1:12" x14ac:dyDescent="0.2">
      <c r="A1191" s="4">
        <v>43439</v>
      </c>
      <c r="B1191" t="s">
        <v>538</v>
      </c>
      <c r="C1191">
        <v>1</v>
      </c>
      <c r="D1191">
        <v>24</v>
      </c>
      <c r="E1191">
        <v>0.3125</v>
      </c>
      <c r="F1191" t="s">
        <v>585</v>
      </c>
      <c r="G1191" s="6" t="s">
        <v>980</v>
      </c>
      <c r="H1191" s="9" t="s">
        <v>1071</v>
      </c>
      <c r="I1191">
        <f t="shared" si="72"/>
        <v>7.5</v>
      </c>
      <c r="J1191">
        <f t="shared" si="69"/>
        <v>3.4019427750000002</v>
      </c>
      <c r="K1191">
        <v>3.33</v>
      </c>
      <c r="L1191">
        <f t="shared" si="70"/>
        <v>11.32846944075</v>
      </c>
    </row>
    <row r="1192" spans="1:12" x14ac:dyDescent="0.2">
      <c r="A1192" s="4">
        <v>43439</v>
      </c>
      <c r="B1192" t="s">
        <v>538</v>
      </c>
      <c r="C1192">
        <v>1</v>
      </c>
      <c r="D1192">
        <v>24</v>
      </c>
      <c r="E1192">
        <f>6/16</f>
        <v>0.375</v>
      </c>
      <c r="F1192" t="s">
        <v>594</v>
      </c>
      <c r="G1192" s="6" t="s">
        <v>980</v>
      </c>
      <c r="H1192" s="9" t="s">
        <v>1071</v>
      </c>
      <c r="I1192">
        <f t="shared" si="72"/>
        <v>9</v>
      </c>
      <c r="J1192">
        <f t="shared" si="69"/>
        <v>4.0823313299999997</v>
      </c>
      <c r="K1192">
        <v>3.33</v>
      </c>
      <c r="L1192">
        <f t="shared" si="70"/>
        <v>13.594163328899999</v>
      </c>
    </row>
    <row r="1193" spans="1:12" x14ac:dyDescent="0.2">
      <c r="A1193" s="4">
        <v>43439</v>
      </c>
      <c r="B1193" t="s">
        <v>538</v>
      </c>
      <c r="C1193">
        <v>1</v>
      </c>
      <c r="D1193">
        <v>12</v>
      </c>
      <c r="E1193">
        <v>1.5625</v>
      </c>
      <c r="F1193" t="s">
        <v>449</v>
      </c>
      <c r="G1193" s="6" t="s">
        <v>980</v>
      </c>
      <c r="H1193" s="9" t="s">
        <v>1071</v>
      </c>
      <c r="I1193">
        <f t="shared" si="72"/>
        <v>18.75</v>
      </c>
      <c r="J1193">
        <f t="shared" si="69"/>
        <v>8.5048569375000014</v>
      </c>
      <c r="K1193">
        <v>3.33</v>
      </c>
      <c r="L1193">
        <f t="shared" si="70"/>
        <v>28.321173601875007</v>
      </c>
    </row>
    <row r="1194" spans="1:12" x14ac:dyDescent="0.2">
      <c r="A1194" s="4">
        <v>43439</v>
      </c>
      <c r="B1194" t="s">
        <v>538</v>
      </c>
      <c r="C1194">
        <v>1</v>
      </c>
      <c r="D1194">
        <v>12</v>
      </c>
      <c r="E1194">
        <v>10.4375</v>
      </c>
      <c r="F1194" t="s">
        <v>460</v>
      </c>
      <c r="G1194" s="6" t="s">
        <v>980</v>
      </c>
      <c r="H1194" s="9" t="s">
        <v>1071</v>
      </c>
      <c r="I1194">
        <f t="shared" si="72"/>
        <v>125.25</v>
      </c>
      <c r="J1194">
        <f t="shared" si="69"/>
        <v>56.812444342500001</v>
      </c>
      <c r="K1194">
        <v>3.33</v>
      </c>
      <c r="L1194">
        <f t="shared" si="70"/>
        <v>189.18543966052502</v>
      </c>
    </row>
    <row r="1195" spans="1:12" x14ac:dyDescent="0.2">
      <c r="A1195" s="4">
        <v>43434</v>
      </c>
      <c r="B1195" t="s">
        <v>538</v>
      </c>
      <c r="C1195">
        <v>4</v>
      </c>
      <c r="D1195">
        <v>4</v>
      </c>
      <c r="E1195">
        <v>7.79</v>
      </c>
      <c r="F1195" t="s">
        <v>543</v>
      </c>
      <c r="G1195" s="6" t="s">
        <v>1089</v>
      </c>
      <c r="H1195" s="9" t="s">
        <v>1073</v>
      </c>
      <c r="I1195">
        <f t="shared" si="72"/>
        <v>124.64</v>
      </c>
      <c r="J1195">
        <f t="shared" si="69"/>
        <v>56.535752996799999</v>
      </c>
      <c r="K1195">
        <v>3.33</v>
      </c>
      <c r="L1195">
        <f t="shared" si="70"/>
        <v>188.26405747934399</v>
      </c>
    </row>
    <row r="1196" spans="1:12" x14ac:dyDescent="0.2">
      <c r="A1196" s="4">
        <v>43439</v>
      </c>
      <c r="B1196" t="s">
        <v>538</v>
      </c>
      <c r="C1196">
        <v>3</v>
      </c>
      <c r="D1196">
        <v>4</v>
      </c>
      <c r="E1196">
        <v>7.79</v>
      </c>
      <c r="F1196" t="s">
        <v>543</v>
      </c>
      <c r="G1196" s="6" t="s">
        <v>1089</v>
      </c>
      <c r="H1196" s="9" t="s">
        <v>1073</v>
      </c>
      <c r="I1196">
        <f t="shared" si="72"/>
        <v>93.48</v>
      </c>
      <c r="J1196">
        <f t="shared" si="69"/>
        <v>42.4018147476</v>
      </c>
      <c r="K1196">
        <v>3.33</v>
      </c>
      <c r="L1196">
        <f t="shared" si="70"/>
        <v>141.19804310950801</v>
      </c>
    </row>
    <row r="1197" spans="1:12" x14ac:dyDescent="0.2">
      <c r="A1197" s="4">
        <v>43437</v>
      </c>
      <c r="B1197" t="s">
        <v>531</v>
      </c>
      <c r="C1197">
        <v>3</v>
      </c>
      <c r="D1197">
        <v>1</v>
      </c>
      <c r="E1197">
        <v>30</v>
      </c>
      <c r="F1197" t="s">
        <v>411</v>
      </c>
      <c r="G1197" t="s">
        <v>849</v>
      </c>
      <c r="H1197" s="6" t="s">
        <v>1071</v>
      </c>
      <c r="I1197">
        <f t="shared" si="72"/>
        <v>90</v>
      </c>
      <c r="J1197">
        <f t="shared" si="69"/>
        <v>40.823313300000002</v>
      </c>
      <c r="K1197">
        <v>0.75700000000000001</v>
      </c>
      <c r="L1197">
        <f t="shared" si="70"/>
        <v>30.903248168100003</v>
      </c>
    </row>
    <row r="1198" spans="1:12" x14ac:dyDescent="0.2">
      <c r="A1198" s="4">
        <v>43439</v>
      </c>
      <c r="B1198" t="s">
        <v>531</v>
      </c>
      <c r="C1198">
        <v>1</v>
      </c>
      <c r="D1198">
        <v>1</v>
      </c>
      <c r="E1198">
        <v>30</v>
      </c>
      <c r="F1198" t="s">
        <v>411</v>
      </c>
      <c r="G1198" t="s">
        <v>849</v>
      </c>
      <c r="H1198" s="6" t="s">
        <v>1071</v>
      </c>
      <c r="I1198">
        <f t="shared" si="72"/>
        <v>30</v>
      </c>
      <c r="J1198">
        <f t="shared" si="69"/>
        <v>13.607771100000001</v>
      </c>
      <c r="K1198">
        <v>0.75700000000000001</v>
      </c>
      <c r="L1198">
        <f t="shared" si="70"/>
        <v>10.3010827227</v>
      </c>
    </row>
    <row r="1199" spans="1:12" x14ac:dyDescent="0.2">
      <c r="A1199" s="4">
        <v>43434</v>
      </c>
      <c r="B1199" t="s">
        <v>525</v>
      </c>
      <c r="C1199">
        <v>12</v>
      </c>
      <c r="D1199">
        <v>1</v>
      </c>
      <c r="E1199">
        <v>10</v>
      </c>
      <c r="F1199" t="s">
        <v>526</v>
      </c>
      <c r="G1199" s="9" t="s">
        <v>889</v>
      </c>
      <c r="H1199" s="9" t="s">
        <v>1072</v>
      </c>
      <c r="I1199">
        <f t="shared" si="72"/>
        <v>120</v>
      </c>
      <c r="J1199">
        <f t="shared" si="69"/>
        <v>54.431084400000003</v>
      </c>
      <c r="K1199">
        <v>32.845999999999997</v>
      </c>
      <c r="L1199">
        <f t="shared" si="70"/>
        <v>1787.8433982023998</v>
      </c>
    </row>
    <row r="1200" spans="1:12" x14ac:dyDescent="0.2">
      <c r="A1200" s="4">
        <v>43439</v>
      </c>
      <c r="B1200" t="s">
        <v>538</v>
      </c>
      <c r="C1200">
        <v>1</v>
      </c>
      <c r="D1200">
        <v>12</v>
      </c>
      <c r="E1200" t="s">
        <v>407</v>
      </c>
      <c r="F1200" t="s">
        <v>542</v>
      </c>
      <c r="G1200" s="14" t="s">
        <v>916</v>
      </c>
      <c r="H1200" t="s">
        <v>1071</v>
      </c>
      <c r="I1200">
        <v>0</v>
      </c>
      <c r="J1200">
        <f t="shared" si="69"/>
        <v>0</v>
      </c>
      <c r="K1200">
        <v>0.55000000000000004</v>
      </c>
      <c r="L1200">
        <f t="shared" si="70"/>
        <v>0</v>
      </c>
    </row>
    <row r="1201" spans="1:12" x14ac:dyDescent="0.2">
      <c r="A1201" s="4">
        <v>43437</v>
      </c>
      <c r="B1201" t="s">
        <v>538</v>
      </c>
      <c r="C1201">
        <v>1</v>
      </c>
      <c r="D1201">
        <v>1</v>
      </c>
      <c r="E1201">
        <v>25</v>
      </c>
      <c r="F1201" t="s">
        <v>573</v>
      </c>
      <c r="G1201" t="s">
        <v>916</v>
      </c>
      <c r="H1201" s="9" t="s">
        <v>1071</v>
      </c>
      <c r="I1201">
        <f>C1201*D1201*E1201</f>
        <v>25</v>
      </c>
      <c r="J1201">
        <f t="shared" si="69"/>
        <v>11.33980925</v>
      </c>
      <c r="K1201">
        <v>0.55000000000000004</v>
      </c>
      <c r="L1201">
        <f t="shared" si="70"/>
        <v>6.2368950875000007</v>
      </c>
    </row>
    <row r="1202" spans="1:12" x14ac:dyDescent="0.2">
      <c r="A1202" s="4">
        <v>43437</v>
      </c>
      <c r="B1202" t="s">
        <v>538</v>
      </c>
      <c r="C1202">
        <v>1</v>
      </c>
      <c r="D1202">
        <v>6</v>
      </c>
      <c r="E1202">
        <v>5</v>
      </c>
      <c r="F1202" t="s">
        <v>579</v>
      </c>
      <c r="G1202" s="14" t="s">
        <v>916</v>
      </c>
      <c r="H1202" s="9" t="s">
        <v>1071</v>
      </c>
      <c r="I1202">
        <f>C1202*D1202*E1202</f>
        <v>30</v>
      </c>
      <c r="J1202">
        <f t="shared" si="69"/>
        <v>13.607771100000001</v>
      </c>
      <c r="K1202">
        <v>0.55000000000000004</v>
      </c>
      <c r="L1202">
        <f t="shared" si="70"/>
        <v>7.4842741050000008</v>
      </c>
    </row>
    <row r="1203" spans="1:12" x14ac:dyDescent="0.2">
      <c r="A1203" s="4">
        <v>43439</v>
      </c>
      <c r="B1203" t="s">
        <v>538</v>
      </c>
      <c r="C1203">
        <v>1</v>
      </c>
      <c r="D1203">
        <v>24</v>
      </c>
      <c r="E1203">
        <v>1</v>
      </c>
      <c r="F1203" t="s">
        <v>433</v>
      </c>
      <c r="G1203" t="s">
        <v>900</v>
      </c>
      <c r="H1203" s="9" t="s">
        <v>1071</v>
      </c>
      <c r="I1203">
        <f>C1203*D1203*E1203</f>
        <v>24</v>
      </c>
      <c r="J1203">
        <f t="shared" si="69"/>
        <v>10.886216880000001</v>
      </c>
      <c r="K1203">
        <v>0.76</v>
      </c>
      <c r="L1203">
        <f t="shared" si="70"/>
        <v>8.2735248288000012</v>
      </c>
    </row>
    <row r="1204" spans="1:12" x14ac:dyDescent="0.2">
      <c r="A1204" s="4">
        <v>43434</v>
      </c>
      <c r="B1204" t="s">
        <v>538</v>
      </c>
      <c r="C1204">
        <v>2</v>
      </c>
      <c r="D1204">
        <v>24</v>
      </c>
      <c r="E1204">
        <v>1</v>
      </c>
      <c r="F1204" t="s">
        <v>433</v>
      </c>
      <c r="G1204" t="s">
        <v>900</v>
      </c>
      <c r="H1204" s="9" t="s">
        <v>1071</v>
      </c>
      <c r="I1204">
        <f>C1204*D1204*E1204</f>
        <v>48</v>
      </c>
      <c r="J1204">
        <f t="shared" si="69"/>
        <v>21.772433760000002</v>
      </c>
      <c r="K1204">
        <v>0.76</v>
      </c>
      <c r="L1204">
        <f t="shared" si="70"/>
        <v>16.547049657600002</v>
      </c>
    </row>
    <row r="1205" spans="1:12" x14ac:dyDescent="0.2">
      <c r="A1205" s="4">
        <v>43439</v>
      </c>
      <c r="B1205" t="s">
        <v>538</v>
      </c>
      <c r="C1205">
        <v>1</v>
      </c>
      <c r="D1205">
        <v>500</v>
      </c>
      <c r="E1205" t="s">
        <v>1088</v>
      </c>
      <c r="F1205" t="s">
        <v>430</v>
      </c>
      <c r="G1205" s="14" t="s">
        <v>881</v>
      </c>
      <c r="H1205" s="9" t="s">
        <v>1071</v>
      </c>
      <c r="I1205">
        <v>0</v>
      </c>
      <c r="J1205">
        <f t="shared" si="69"/>
        <v>0</v>
      </c>
      <c r="K1205">
        <v>2.5299999999999998</v>
      </c>
      <c r="L1205">
        <f t="shared" si="70"/>
        <v>0</v>
      </c>
    </row>
    <row r="1206" spans="1:12" x14ac:dyDescent="0.2">
      <c r="A1206" s="4">
        <v>43439</v>
      </c>
      <c r="B1206" t="s">
        <v>538</v>
      </c>
      <c r="C1206">
        <v>1</v>
      </c>
      <c r="D1206">
        <v>150</v>
      </c>
      <c r="E1206">
        <v>3.125E-2</v>
      </c>
      <c r="F1206" t="s">
        <v>442</v>
      </c>
      <c r="G1206" s="6" t="s">
        <v>881</v>
      </c>
      <c r="H1206" s="9" t="s">
        <v>1071</v>
      </c>
      <c r="I1206">
        <f t="shared" ref="I1206:I1269" si="73">C1206*D1206*E1206</f>
        <v>4.6875</v>
      </c>
      <c r="J1206">
        <f t="shared" si="69"/>
        <v>2.1262142343750003</v>
      </c>
      <c r="K1206">
        <v>2.5299999999999998</v>
      </c>
      <c r="L1206">
        <f t="shared" si="70"/>
        <v>5.3793220129687507</v>
      </c>
    </row>
    <row r="1207" spans="1:12" x14ac:dyDescent="0.2">
      <c r="A1207" s="4">
        <v>43437</v>
      </c>
      <c r="B1207" t="s">
        <v>538</v>
      </c>
      <c r="C1207">
        <v>1</v>
      </c>
      <c r="D1207">
        <v>1</v>
      </c>
      <c r="E1207">
        <v>10</v>
      </c>
      <c r="F1207" t="s">
        <v>454</v>
      </c>
      <c r="G1207" t="s">
        <v>879</v>
      </c>
      <c r="H1207" s="9" t="s">
        <v>1071</v>
      </c>
      <c r="I1207">
        <f t="shared" si="73"/>
        <v>10</v>
      </c>
      <c r="J1207">
        <f t="shared" si="69"/>
        <v>4.5359237000000006</v>
      </c>
      <c r="K1207">
        <v>1.4179999999999999</v>
      </c>
      <c r="L1207">
        <f t="shared" si="70"/>
        <v>6.4319398066000009</v>
      </c>
    </row>
    <row r="1208" spans="1:12" x14ac:dyDescent="0.2">
      <c r="A1208" s="4">
        <v>43434</v>
      </c>
      <c r="B1208" t="s">
        <v>517</v>
      </c>
      <c r="C1208">
        <v>1</v>
      </c>
      <c r="D1208">
        <v>1</v>
      </c>
      <c r="E1208">
        <v>2</v>
      </c>
      <c r="F1208" t="s">
        <v>380</v>
      </c>
      <c r="G1208" t="s">
        <v>841</v>
      </c>
      <c r="H1208" s="9" t="s">
        <v>1073</v>
      </c>
      <c r="I1208">
        <f t="shared" si="73"/>
        <v>2</v>
      </c>
      <c r="J1208">
        <f t="shared" si="69"/>
        <v>0.90718474000000004</v>
      </c>
      <c r="K1208">
        <v>5.32</v>
      </c>
      <c r="L1208">
        <f t="shared" si="70"/>
        <v>4.8262228168000005</v>
      </c>
    </row>
    <row r="1209" spans="1:12" x14ac:dyDescent="0.2">
      <c r="A1209" s="4">
        <v>43439</v>
      </c>
      <c r="B1209" t="s">
        <v>517</v>
      </c>
      <c r="C1209">
        <v>1</v>
      </c>
      <c r="D1209">
        <v>1</v>
      </c>
      <c r="E1209">
        <v>2</v>
      </c>
      <c r="F1209" t="s">
        <v>380</v>
      </c>
      <c r="G1209" t="s">
        <v>841</v>
      </c>
      <c r="H1209" s="9" t="s">
        <v>1073</v>
      </c>
      <c r="I1209">
        <f t="shared" si="73"/>
        <v>2</v>
      </c>
      <c r="J1209">
        <f t="shared" si="69"/>
        <v>0.90718474000000004</v>
      </c>
      <c r="K1209">
        <v>5.32</v>
      </c>
      <c r="L1209">
        <f t="shared" si="70"/>
        <v>4.8262228168000005</v>
      </c>
    </row>
    <row r="1210" spans="1:12" x14ac:dyDescent="0.2">
      <c r="A1210" s="28"/>
      <c r="B1210" t="s">
        <v>48</v>
      </c>
      <c r="C1210" s="28">
        <v>1</v>
      </c>
      <c r="D1210">
        <v>1</v>
      </c>
      <c r="E1210">
        <f t="shared" ref="E1210:E1215" si="74">10/9*50</f>
        <v>55.555555555555557</v>
      </c>
      <c r="F1210" t="s">
        <v>301</v>
      </c>
      <c r="G1210" t="s">
        <v>620</v>
      </c>
      <c r="H1210" t="s">
        <v>1071</v>
      </c>
      <c r="I1210">
        <f t="shared" si="73"/>
        <v>55.555555555555557</v>
      </c>
      <c r="J1210">
        <f t="shared" si="69"/>
        <v>25.199576111111114</v>
      </c>
      <c r="K1210">
        <v>0.40899999999999997</v>
      </c>
      <c r="L1210">
        <f t="shared" si="70"/>
        <v>10.306626629444445</v>
      </c>
    </row>
    <row r="1211" spans="1:12" x14ac:dyDescent="0.2">
      <c r="B1211" t="s">
        <v>48</v>
      </c>
      <c r="C1211" s="28">
        <v>1</v>
      </c>
      <c r="D1211">
        <v>1</v>
      </c>
      <c r="E1211">
        <f t="shared" si="74"/>
        <v>55.555555555555557</v>
      </c>
      <c r="F1211" t="s">
        <v>301</v>
      </c>
      <c r="G1211" t="s">
        <v>620</v>
      </c>
      <c r="H1211" t="s">
        <v>1071</v>
      </c>
      <c r="I1211">
        <f t="shared" si="73"/>
        <v>55.555555555555557</v>
      </c>
      <c r="J1211">
        <f t="shared" si="69"/>
        <v>25.199576111111114</v>
      </c>
      <c r="K1211">
        <v>0.40899999999999997</v>
      </c>
      <c r="L1211">
        <f t="shared" si="70"/>
        <v>10.306626629444445</v>
      </c>
    </row>
    <row r="1212" spans="1:12" x14ac:dyDescent="0.2">
      <c r="B1212" t="s">
        <v>48</v>
      </c>
      <c r="C1212" s="28">
        <v>1</v>
      </c>
      <c r="D1212">
        <v>1</v>
      </c>
      <c r="E1212">
        <f t="shared" si="74"/>
        <v>55.555555555555557</v>
      </c>
      <c r="F1212" t="s">
        <v>301</v>
      </c>
      <c r="G1212" t="s">
        <v>620</v>
      </c>
      <c r="H1212" t="s">
        <v>1071</v>
      </c>
      <c r="I1212">
        <f t="shared" si="73"/>
        <v>55.555555555555557</v>
      </c>
      <c r="J1212">
        <f t="shared" si="69"/>
        <v>25.199576111111114</v>
      </c>
      <c r="K1212">
        <v>0.40899999999999997</v>
      </c>
      <c r="L1212">
        <f t="shared" si="70"/>
        <v>10.306626629444445</v>
      </c>
    </row>
    <row r="1213" spans="1:12" x14ac:dyDescent="0.2">
      <c r="B1213" t="s">
        <v>48</v>
      </c>
      <c r="C1213" s="28">
        <v>2</v>
      </c>
      <c r="D1213">
        <v>1</v>
      </c>
      <c r="E1213">
        <f t="shared" si="74"/>
        <v>55.555555555555557</v>
      </c>
      <c r="F1213" t="s">
        <v>348</v>
      </c>
      <c r="G1213" t="s">
        <v>620</v>
      </c>
      <c r="H1213" t="s">
        <v>1071</v>
      </c>
      <c r="I1213">
        <f t="shared" si="73"/>
        <v>111.11111111111111</v>
      </c>
      <c r="J1213">
        <f t="shared" si="69"/>
        <v>50.399152222222227</v>
      </c>
      <c r="K1213">
        <v>0.40899999999999997</v>
      </c>
      <c r="L1213">
        <f t="shared" si="70"/>
        <v>20.613253258888889</v>
      </c>
    </row>
    <row r="1214" spans="1:12" x14ac:dyDescent="0.2">
      <c r="B1214" t="s">
        <v>48</v>
      </c>
      <c r="C1214" s="28">
        <v>1</v>
      </c>
      <c r="D1214">
        <v>1</v>
      </c>
      <c r="E1214">
        <f t="shared" si="74"/>
        <v>55.555555555555557</v>
      </c>
      <c r="F1214" t="s">
        <v>348</v>
      </c>
      <c r="G1214" t="s">
        <v>620</v>
      </c>
      <c r="H1214" t="s">
        <v>1071</v>
      </c>
      <c r="I1214">
        <f t="shared" si="73"/>
        <v>55.555555555555557</v>
      </c>
      <c r="J1214">
        <f t="shared" si="69"/>
        <v>25.199576111111114</v>
      </c>
      <c r="K1214">
        <v>0.40899999999999997</v>
      </c>
      <c r="L1214">
        <f t="shared" si="70"/>
        <v>10.306626629444445</v>
      </c>
    </row>
    <row r="1215" spans="1:12" x14ac:dyDescent="0.2">
      <c r="B1215" t="s">
        <v>48</v>
      </c>
      <c r="C1215" s="28">
        <v>2</v>
      </c>
      <c r="D1215">
        <v>1</v>
      </c>
      <c r="E1215">
        <f t="shared" si="74"/>
        <v>55.555555555555557</v>
      </c>
      <c r="F1215" t="s">
        <v>301</v>
      </c>
      <c r="G1215" t="s">
        <v>620</v>
      </c>
      <c r="H1215" t="s">
        <v>1071</v>
      </c>
      <c r="I1215">
        <f t="shared" si="73"/>
        <v>111.11111111111111</v>
      </c>
      <c r="J1215">
        <f t="shared" si="69"/>
        <v>50.399152222222227</v>
      </c>
      <c r="K1215">
        <v>0.40899999999999997</v>
      </c>
      <c r="L1215">
        <f t="shared" si="70"/>
        <v>20.613253258888889</v>
      </c>
    </row>
    <row r="1216" spans="1:12" x14ac:dyDescent="0.2">
      <c r="A1216" s="4">
        <v>43439</v>
      </c>
      <c r="B1216" t="s">
        <v>538</v>
      </c>
      <c r="C1216">
        <v>2</v>
      </c>
      <c r="D1216">
        <v>4</v>
      </c>
      <c r="E1216">
        <v>8.35</v>
      </c>
      <c r="F1216" t="s">
        <v>595</v>
      </c>
      <c r="G1216" t="s">
        <v>89</v>
      </c>
      <c r="H1216" s="9" t="s">
        <v>1071</v>
      </c>
      <c r="I1216">
        <f t="shared" si="73"/>
        <v>66.8</v>
      </c>
      <c r="J1216">
        <f t="shared" si="69"/>
        <v>30.299970316</v>
      </c>
      <c r="K1216">
        <v>0.40899999999999997</v>
      </c>
      <c r="L1216">
        <f t="shared" si="70"/>
        <v>12.392687859243999</v>
      </c>
    </row>
    <row r="1217" spans="1:12" x14ac:dyDescent="0.2">
      <c r="B1217" t="s">
        <v>48</v>
      </c>
      <c r="C1217" s="28">
        <v>1</v>
      </c>
      <c r="D1217">
        <v>1</v>
      </c>
      <c r="E1217">
        <v>1</v>
      </c>
      <c r="F1217" t="s">
        <v>376</v>
      </c>
      <c r="G1217" t="s">
        <v>822</v>
      </c>
      <c r="H1217" t="s">
        <v>1071</v>
      </c>
      <c r="I1217">
        <f t="shared" si="73"/>
        <v>1</v>
      </c>
      <c r="J1217">
        <f t="shared" si="69"/>
        <v>0.45359237000000002</v>
      </c>
      <c r="K1217">
        <v>3.33</v>
      </c>
      <c r="L1217">
        <f t="shared" si="70"/>
        <v>1.5104625921000001</v>
      </c>
    </row>
    <row r="1218" spans="1:12" x14ac:dyDescent="0.2">
      <c r="A1218" s="4">
        <v>43434</v>
      </c>
      <c r="B1218" t="s">
        <v>517</v>
      </c>
      <c r="C1218">
        <v>12</v>
      </c>
      <c r="D1218">
        <v>2</v>
      </c>
      <c r="E1218">
        <v>20</v>
      </c>
      <c r="F1218" t="s">
        <v>381</v>
      </c>
      <c r="G1218" t="s">
        <v>843</v>
      </c>
      <c r="H1218" s="9" t="s">
        <v>1073</v>
      </c>
      <c r="I1218">
        <f t="shared" si="73"/>
        <v>480</v>
      </c>
      <c r="J1218">
        <f t="shared" si="69"/>
        <v>217.72433760000001</v>
      </c>
      <c r="K1218">
        <v>3.754</v>
      </c>
      <c r="L1218">
        <f t="shared" si="70"/>
        <v>817.33716335040003</v>
      </c>
    </row>
    <row r="1219" spans="1:12" x14ac:dyDescent="0.2">
      <c r="A1219" s="4">
        <v>43434</v>
      </c>
      <c r="B1219" t="s">
        <v>517</v>
      </c>
      <c r="C1219">
        <v>1</v>
      </c>
      <c r="D1219">
        <v>15</v>
      </c>
      <c r="E1219">
        <v>2</v>
      </c>
      <c r="F1219" t="s">
        <v>385</v>
      </c>
      <c r="G1219" t="s">
        <v>843</v>
      </c>
      <c r="H1219" s="9" t="s">
        <v>1073</v>
      </c>
      <c r="I1219">
        <f t="shared" si="73"/>
        <v>30</v>
      </c>
      <c r="J1219">
        <f t="shared" ref="J1219:J1282" si="75">CONVERT(I1219,"lbm","kg")</f>
        <v>13.607771100000001</v>
      </c>
      <c r="K1219">
        <v>3.754</v>
      </c>
      <c r="L1219">
        <f t="shared" ref="L1219:L1282" si="76">J1219*K1219</f>
        <v>51.083572709400002</v>
      </c>
    </row>
    <row r="1220" spans="1:12" x14ac:dyDescent="0.2">
      <c r="A1220" s="4">
        <v>43434</v>
      </c>
      <c r="B1220" t="s">
        <v>517</v>
      </c>
      <c r="C1220">
        <v>2</v>
      </c>
      <c r="D1220">
        <v>15</v>
      </c>
      <c r="E1220">
        <f>24/16</f>
        <v>1.5</v>
      </c>
      <c r="F1220" t="s">
        <v>386</v>
      </c>
      <c r="G1220" t="s">
        <v>843</v>
      </c>
      <c r="H1220" s="9" t="s">
        <v>1073</v>
      </c>
      <c r="I1220">
        <f t="shared" si="73"/>
        <v>45</v>
      </c>
      <c r="J1220">
        <f t="shared" si="75"/>
        <v>20.411656650000001</v>
      </c>
      <c r="K1220">
        <v>3.754</v>
      </c>
      <c r="L1220">
        <f t="shared" si="76"/>
        <v>76.62535906410001</v>
      </c>
    </row>
    <row r="1221" spans="1:12" x14ac:dyDescent="0.2">
      <c r="A1221" s="4">
        <v>43437</v>
      </c>
      <c r="B1221" t="s">
        <v>517</v>
      </c>
      <c r="C1221">
        <v>13</v>
      </c>
      <c r="D1221">
        <v>2</v>
      </c>
      <c r="E1221">
        <v>20</v>
      </c>
      <c r="F1221" t="s">
        <v>381</v>
      </c>
      <c r="G1221" t="s">
        <v>843</v>
      </c>
      <c r="H1221" s="9" t="s">
        <v>1073</v>
      </c>
      <c r="I1221">
        <f t="shared" si="73"/>
        <v>520</v>
      </c>
      <c r="J1221">
        <f t="shared" si="75"/>
        <v>235.8680324</v>
      </c>
      <c r="K1221">
        <v>3.754</v>
      </c>
      <c r="L1221">
        <f t="shared" si="76"/>
        <v>885.44859362960005</v>
      </c>
    </row>
    <row r="1222" spans="1:12" x14ac:dyDescent="0.2">
      <c r="A1222" s="4">
        <v>43437</v>
      </c>
      <c r="B1222" t="s">
        <v>517</v>
      </c>
      <c r="C1222">
        <v>2</v>
      </c>
      <c r="D1222">
        <v>15</v>
      </c>
      <c r="E1222">
        <v>2</v>
      </c>
      <c r="F1222" t="s">
        <v>385</v>
      </c>
      <c r="G1222" t="s">
        <v>843</v>
      </c>
      <c r="H1222" s="9" t="s">
        <v>1073</v>
      </c>
      <c r="I1222">
        <f t="shared" si="73"/>
        <v>60</v>
      </c>
      <c r="J1222">
        <f t="shared" si="75"/>
        <v>27.215542200000002</v>
      </c>
      <c r="K1222">
        <v>3.754</v>
      </c>
      <c r="L1222">
        <f t="shared" si="76"/>
        <v>102.1671454188</v>
      </c>
    </row>
    <row r="1223" spans="1:12" x14ac:dyDescent="0.2">
      <c r="A1223" s="4">
        <v>43439</v>
      </c>
      <c r="B1223" t="s">
        <v>517</v>
      </c>
      <c r="C1223">
        <v>8</v>
      </c>
      <c r="D1223">
        <v>2</v>
      </c>
      <c r="E1223">
        <v>20</v>
      </c>
      <c r="F1223" t="s">
        <v>381</v>
      </c>
      <c r="G1223" t="s">
        <v>843</v>
      </c>
      <c r="H1223" s="9" t="s">
        <v>1073</v>
      </c>
      <c r="I1223">
        <f t="shared" si="73"/>
        <v>320</v>
      </c>
      <c r="J1223">
        <f t="shared" si="75"/>
        <v>145.14955840000002</v>
      </c>
      <c r="K1223">
        <v>3.754</v>
      </c>
      <c r="L1223">
        <f t="shared" si="76"/>
        <v>544.89144223360006</v>
      </c>
    </row>
    <row r="1224" spans="1:12" x14ac:dyDescent="0.2">
      <c r="A1224" s="4">
        <v>43439</v>
      </c>
      <c r="B1224" t="s">
        <v>517</v>
      </c>
      <c r="C1224">
        <v>2</v>
      </c>
      <c r="D1224">
        <v>15</v>
      </c>
      <c r="E1224">
        <v>2</v>
      </c>
      <c r="F1224" t="s">
        <v>385</v>
      </c>
      <c r="G1224" t="s">
        <v>843</v>
      </c>
      <c r="H1224" s="9" t="s">
        <v>1073</v>
      </c>
      <c r="I1224">
        <f t="shared" si="73"/>
        <v>60</v>
      </c>
      <c r="J1224">
        <f t="shared" si="75"/>
        <v>27.215542200000002</v>
      </c>
      <c r="K1224">
        <v>3.754</v>
      </c>
      <c r="L1224">
        <f t="shared" si="76"/>
        <v>102.1671454188</v>
      </c>
    </row>
    <row r="1225" spans="1:12" x14ac:dyDescent="0.2">
      <c r="A1225" s="4">
        <v>43439</v>
      </c>
      <c r="B1225" t="s">
        <v>517</v>
      </c>
      <c r="C1225">
        <v>4</v>
      </c>
      <c r="D1225">
        <v>15</v>
      </c>
      <c r="E1225">
        <f>24/16</f>
        <v>1.5</v>
      </c>
      <c r="F1225" t="s">
        <v>386</v>
      </c>
      <c r="G1225" t="s">
        <v>843</v>
      </c>
      <c r="H1225" s="9" t="s">
        <v>1073</v>
      </c>
      <c r="I1225">
        <f t="shared" si="73"/>
        <v>90</v>
      </c>
      <c r="J1225">
        <f t="shared" si="75"/>
        <v>40.823313300000002</v>
      </c>
      <c r="K1225">
        <v>3.754</v>
      </c>
      <c r="L1225">
        <f t="shared" si="76"/>
        <v>153.25071812820002</v>
      </c>
    </row>
    <row r="1226" spans="1:12" x14ac:dyDescent="0.2">
      <c r="A1226" s="28"/>
      <c r="B1226" t="s">
        <v>48</v>
      </c>
      <c r="C1226" s="28">
        <v>2</v>
      </c>
      <c r="D1226">
        <v>1</v>
      </c>
      <c r="E1226">
        <f t="shared" ref="E1226:E1231" si="77">10/9*35</f>
        <v>38.888888888888893</v>
      </c>
      <c r="F1226" t="s">
        <v>302</v>
      </c>
      <c r="G1226" t="s">
        <v>785</v>
      </c>
      <c r="H1226" t="s">
        <v>1071</v>
      </c>
      <c r="I1226">
        <f t="shared" si="73"/>
        <v>77.777777777777786</v>
      </c>
      <c r="J1226">
        <f t="shared" si="75"/>
        <v>35.27940655555556</v>
      </c>
      <c r="K1226">
        <v>0.52600000000000002</v>
      </c>
      <c r="L1226">
        <f t="shared" si="76"/>
        <v>18.556967848222225</v>
      </c>
    </row>
    <row r="1227" spans="1:12" x14ac:dyDescent="0.2">
      <c r="B1227" t="s">
        <v>48</v>
      </c>
      <c r="C1227" s="28">
        <v>1</v>
      </c>
      <c r="D1227">
        <v>1</v>
      </c>
      <c r="E1227">
        <f t="shared" si="77"/>
        <v>38.888888888888893</v>
      </c>
      <c r="F1227" t="s">
        <v>302</v>
      </c>
      <c r="G1227" t="s">
        <v>785</v>
      </c>
      <c r="H1227" t="s">
        <v>1071</v>
      </c>
      <c r="I1227">
        <f t="shared" si="73"/>
        <v>38.888888888888893</v>
      </c>
      <c r="J1227">
        <f t="shared" si="75"/>
        <v>17.63970327777778</v>
      </c>
      <c r="K1227">
        <v>0.52600000000000002</v>
      </c>
      <c r="L1227">
        <f t="shared" si="76"/>
        <v>9.2784839241111126</v>
      </c>
    </row>
    <row r="1228" spans="1:12" x14ac:dyDescent="0.2">
      <c r="B1228" t="s">
        <v>48</v>
      </c>
      <c r="C1228" s="28">
        <v>2</v>
      </c>
      <c r="D1228">
        <v>1</v>
      </c>
      <c r="E1228">
        <f t="shared" si="77"/>
        <v>38.888888888888893</v>
      </c>
      <c r="F1228" t="s">
        <v>302</v>
      </c>
      <c r="G1228" t="s">
        <v>785</v>
      </c>
      <c r="H1228" t="s">
        <v>1071</v>
      </c>
      <c r="I1228">
        <f t="shared" si="73"/>
        <v>77.777777777777786</v>
      </c>
      <c r="J1228">
        <f t="shared" si="75"/>
        <v>35.27940655555556</v>
      </c>
      <c r="K1228">
        <v>0.52600000000000002</v>
      </c>
      <c r="L1228">
        <f t="shared" si="76"/>
        <v>18.556967848222225</v>
      </c>
    </row>
    <row r="1229" spans="1:12" x14ac:dyDescent="0.2">
      <c r="B1229" t="s">
        <v>48</v>
      </c>
      <c r="C1229" s="28">
        <v>1</v>
      </c>
      <c r="D1229">
        <v>1</v>
      </c>
      <c r="E1229">
        <f t="shared" si="77"/>
        <v>38.888888888888893</v>
      </c>
      <c r="F1229" t="s">
        <v>302</v>
      </c>
      <c r="G1229" t="s">
        <v>785</v>
      </c>
      <c r="H1229" t="s">
        <v>1071</v>
      </c>
      <c r="I1229">
        <f t="shared" si="73"/>
        <v>38.888888888888893</v>
      </c>
      <c r="J1229">
        <f t="shared" si="75"/>
        <v>17.63970327777778</v>
      </c>
      <c r="K1229">
        <v>0.52600000000000002</v>
      </c>
      <c r="L1229">
        <f t="shared" si="76"/>
        <v>9.2784839241111126</v>
      </c>
    </row>
    <row r="1230" spans="1:12" x14ac:dyDescent="0.2">
      <c r="B1230" t="s">
        <v>48</v>
      </c>
      <c r="C1230" s="28">
        <v>2</v>
      </c>
      <c r="D1230">
        <v>1</v>
      </c>
      <c r="E1230">
        <f t="shared" si="77"/>
        <v>38.888888888888893</v>
      </c>
      <c r="F1230" t="s">
        <v>302</v>
      </c>
      <c r="G1230" t="s">
        <v>785</v>
      </c>
      <c r="H1230" t="s">
        <v>1071</v>
      </c>
      <c r="I1230">
        <f t="shared" si="73"/>
        <v>77.777777777777786</v>
      </c>
      <c r="J1230">
        <f t="shared" si="75"/>
        <v>35.27940655555556</v>
      </c>
      <c r="K1230">
        <v>0.52600000000000002</v>
      </c>
      <c r="L1230">
        <f t="shared" si="76"/>
        <v>18.556967848222225</v>
      </c>
    </row>
    <row r="1231" spans="1:12" x14ac:dyDescent="0.2">
      <c r="B1231" t="s">
        <v>48</v>
      </c>
      <c r="C1231" s="28">
        <v>1</v>
      </c>
      <c r="D1231">
        <v>1</v>
      </c>
      <c r="E1231">
        <f t="shared" si="77"/>
        <v>38.888888888888893</v>
      </c>
      <c r="F1231" t="s">
        <v>362</v>
      </c>
      <c r="G1231" t="s">
        <v>785</v>
      </c>
      <c r="H1231" t="s">
        <v>1071</v>
      </c>
      <c r="I1231">
        <f t="shared" si="73"/>
        <v>38.888888888888893</v>
      </c>
      <c r="J1231">
        <f t="shared" si="75"/>
        <v>17.63970327777778</v>
      </c>
      <c r="K1231">
        <v>0.52600000000000002</v>
      </c>
      <c r="L1231">
        <f t="shared" si="76"/>
        <v>9.2784839241111126</v>
      </c>
    </row>
    <row r="1232" spans="1:12" x14ac:dyDescent="0.2">
      <c r="A1232" s="4">
        <v>43434</v>
      </c>
      <c r="B1232" t="s">
        <v>527</v>
      </c>
      <c r="C1232">
        <v>6</v>
      </c>
      <c r="D1232">
        <v>1</v>
      </c>
      <c r="E1232">
        <v>10</v>
      </c>
      <c r="F1232" t="s">
        <v>528</v>
      </c>
      <c r="G1232" t="s">
        <v>884</v>
      </c>
      <c r="H1232" s="9" t="s">
        <v>1072</v>
      </c>
      <c r="I1232">
        <f t="shared" si="73"/>
        <v>60</v>
      </c>
      <c r="J1232">
        <f t="shared" si="75"/>
        <v>27.215542200000002</v>
      </c>
      <c r="K1232">
        <v>3.0209999999999999</v>
      </c>
      <c r="L1232">
        <f t="shared" si="76"/>
        <v>82.218152986199996</v>
      </c>
    </row>
    <row r="1233" spans="1:12" x14ac:dyDescent="0.2">
      <c r="A1233" s="4">
        <v>43434</v>
      </c>
      <c r="B1233" t="s">
        <v>527</v>
      </c>
      <c r="C1233">
        <v>8</v>
      </c>
      <c r="D1233">
        <v>1</v>
      </c>
      <c r="E1233">
        <v>10</v>
      </c>
      <c r="F1233" t="s">
        <v>529</v>
      </c>
      <c r="G1233" t="s">
        <v>884</v>
      </c>
      <c r="H1233" s="9" t="s">
        <v>1072</v>
      </c>
      <c r="I1233">
        <f t="shared" si="73"/>
        <v>80</v>
      </c>
      <c r="J1233">
        <f t="shared" si="75"/>
        <v>36.287389600000004</v>
      </c>
      <c r="K1233">
        <v>3.0209999999999999</v>
      </c>
      <c r="L1233">
        <f t="shared" si="76"/>
        <v>109.6242039816</v>
      </c>
    </row>
    <row r="1234" spans="1:12" x14ac:dyDescent="0.2">
      <c r="A1234" s="4">
        <v>43437</v>
      </c>
      <c r="B1234" t="s">
        <v>527</v>
      </c>
      <c r="C1234">
        <v>10</v>
      </c>
      <c r="D1234">
        <v>1</v>
      </c>
      <c r="E1234">
        <v>10</v>
      </c>
      <c r="F1234" t="s">
        <v>528</v>
      </c>
      <c r="G1234" t="s">
        <v>884</v>
      </c>
      <c r="H1234" s="9" t="s">
        <v>1072</v>
      </c>
      <c r="I1234">
        <f t="shared" si="73"/>
        <v>100</v>
      </c>
      <c r="J1234">
        <f t="shared" si="75"/>
        <v>45.359237</v>
      </c>
      <c r="K1234">
        <v>3.0209999999999999</v>
      </c>
      <c r="L1234">
        <f t="shared" si="76"/>
        <v>137.030254977</v>
      </c>
    </row>
    <row r="1235" spans="1:12" x14ac:dyDescent="0.2">
      <c r="A1235" s="4">
        <v>43437</v>
      </c>
      <c r="B1235" t="s">
        <v>527</v>
      </c>
      <c r="C1235">
        <v>5</v>
      </c>
      <c r="D1235">
        <v>1</v>
      </c>
      <c r="E1235">
        <v>10</v>
      </c>
      <c r="F1235" t="s">
        <v>529</v>
      </c>
      <c r="G1235" t="s">
        <v>884</v>
      </c>
      <c r="H1235" s="9" t="s">
        <v>1072</v>
      </c>
      <c r="I1235">
        <f t="shared" si="73"/>
        <v>50</v>
      </c>
      <c r="J1235">
        <f t="shared" si="75"/>
        <v>22.6796185</v>
      </c>
      <c r="K1235">
        <v>3.0209999999999999</v>
      </c>
      <c r="L1235">
        <f t="shared" si="76"/>
        <v>68.515127488499999</v>
      </c>
    </row>
    <row r="1236" spans="1:12" x14ac:dyDescent="0.2">
      <c r="A1236" s="4">
        <v>43437</v>
      </c>
      <c r="B1236" t="s">
        <v>527</v>
      </c>
      <c r="C1236">
        <v>4</v>
      </c>
      <c r="D1236">
        <v>1</v>
      </c>
      <c r="E1236">
        <v>15</v>
      </c>
      <c r="F1236" t="s">
        <v>1013</v>
      </c>
      <c r="G1236" t="s">
        <v>884</v>
      </c>
      <c r="H1236" s="9" t="s">
        <v>1072</v>
      </c>
      <c r="I1236">
        <f t="shared" si="73"/>
        <v>60</v>
      </c>
      <c r="J1236">
        <f t="shared" si="75"/>
        <v>27.215542200000002</v>
      </c>
      <c r="K1236">
        <v>3.0209999999999999</v>
      </c>
      <c r="L1236">
        <f t="shared" si="76"/>
        <v>82.218152986199996</v>
      </c>
    </row>
    <row r="1237" spans="1:12" x14ac:dyDescent="0.2">
      <c r="A1237" s="4">
        <v>43439</v>
      </c>
      <c r="B1237" t="s">
        <v>527</v>
      </c>
      <c r="C1237">
        <v>1</v>
      </c>
      <c r="D1237">
        <v>1</v>
      </c>
      <c r="E1237">
        <v>10</v>
      </c>
      <c r="F1237" t="s">
        <v>528</v>
      </c>
      <c r="G1237" t="s">
        <v>884</v>
      </c>
      <c r="H1237" s="9" t="s">
        <v>1072</v>
      </c>
      <c r="I1237">
        <f t="shared" si="73"/>
        <v>10</v>
      </c>
      <c r="J1237">
        <f t="shared" si="75"/>
        <v>4.5359237000000006</v>
      </c>
      <c r="K1237">
        <v>3.0209999999999999</v>
      </c>
      <c r="L1237">
        <f t="shared" si="76"/>
        <v>13.703025497700001</v>
      </c>
    </row>
    <row r="1238" spans="1:12" x14ac:dyDescent="0.2">
      <c r="A1238" s="4">
        <v>43439</v>
      </c>
      <c r="B1238" t="s">
        <v>527</v>
      </c>
      <c r="C1238">
        <v>8</v>
      </c>
      <c r="D1238">
        <v>1</v>
      </c>
      <c r="E1238">
        <v>15</v>
      </c>
      <c r="F1238" t="s">
        <v>1013</v>
      </c>
      <c r="G1238" t="s">
        <v>884</v>
      </c>
      <c r="H1238" s="9" t="s">
        <v>1072</v>
      </c>
      <c r="I1238">
        <f t="shared" si="73"/>
        <v>120</v>
      </c>
      <c r="J1238">
        <f t="shared" si="75"/>
        <v>54.431084400000003</v>
      </c>
      <c r="K1238">
        <v>3.0209999999999999</v>
      </c>
      <c r="L1238">
        <f t="shared" si="76"/>
        <v>164.43630597239999</v>
      </c>
    </row>
    <row r="1239" spans="1:12" x14ac:dyDescent="0.2">
      <c r="A1239" s="4">
        <v>43434</v>
      </c>
      <c r="B1239" t="s">
        <v>538</v>
      </c>
      <c r="C1239">
        <v>6</v>
      </c>
      <c r="D1239">
        <v>1</v>
      </c>
      <c r="E1239">
        <v>50</v>
      </c>
      <c r="F1239" t="s">
        <v>431</v>
      </c>
      <c r="G1239" t="s">
        <v>863</v>
      </c>
      <c r="H1239" s="9" t="s">
        <v>1071</v>
      </c>
      <c r="I1239">
        <f t="shared" si="73"/>
        <v>300</v>
      </c>
      <c r="J1239">
        <f t="shared" si="75"/>
        <v>136.07771100000002</v>
      </c>
      <c r="K1239">
        <v>0.35799999999999998</v>
      </c>
      <c r="L1239">
        <f t="shared" si="76"/>
        <v>48.715820538000003</v>
      </c>
    </row>
    <row r="1240" spans="1:12" x14ac:dyDescent="0.2">
      <c r="A1240" s="4">
        <v>43434</v>
      </c>
      <c r="B1240" t="s">
        <v>538</v>
      </c>
      <c r="C1240">
        <v>4</v>
      </c>
      <c r="D1240">
        <v>1</v>
      </c>
      <c r="E1240">
        <v>25</v>
      </c>
      <c r="F1240" t="s">
        <v>446</v>
      </c>
      <c r="G1240" t="s">
        <v>863</v>
      </c>
      <c r="H1240" s="9" t="s">
        <v>1071</v>
      </c>
      <c r="I1240">
        <f t="shared" si="73"/>
        <v>100</v>
      </c>
      <c r="J1240">
        <f t="shared" si="75"/>
        <v>45.359237</v>
      </c>
      <c r="K1240">
        <v>0.35799999999999998</v>
      </c>
      <c r="L1240">
        <f t="shared" si="76"/>
        <v>16.238606846</v>
      </c>
    </row>
    <row r="1241" spans="1:12" x14ac:dyDescent="0.2">
      <c r="A1241" s="4">
        <v>43437</v>
      </c>
      <c r="B1241" t="s">
        <v>538</v>
      </c>
      <c r="C1241">
        <v>1</v>
      </c>
      <c r="D1241">
        <v>1</v>
      </c>
      <c r="E1241">
        <v>50</v>
      </c>
      <c r="F1241" t="s">
        <v>431</v>
      </c>
      <c r="G1241" t="s">
        <v>863</v>
      </c>
      <c r="H1241" s="9" t="s">
        <v>1071</v>
      </c>
      <c r="I1241">
        <f t="shared" si="73"/>
        <v>50</v>
      </c>
      <c r="J1241">
        <f t="shared" si="75"/>
        <v>22.6796185</v>
      </c>
      <c r="K1241">
        <v>0.35799999999999998</v>
      </c>
      <c r="L1241">
        <f t="shared" si="76"/>
        <v>8.1193034229999999</v>
      </c>
    </row>
    <row r="1242" spans="1:12" x14ac:dyDescent="0.2">
      <c r="A1242" s="4">
        <v>43439</v>
      </c>
      <c r="B1242" t="s">
        <v>538</v>
      </c>
      <c r="C1242">
        <v>5</v>
      </c>
      <c r="D1242">
        <v>1</v>
      </c>
      <c r="E1242">
        <v>50</v>
      </c>
      <c r="F1242" t="s">
        <v>431</v>
      </c>
      <c r="G1242" t="s">
        <v>863</v>
      </c>
      <c r="H1242" s="9" t="s">
        <v>1071</v>
      </c>
      <c r="I1242">
        <f t="shared" si="73"/>
        <v>250</v>
      </c>
      <c r="J1242">
        <f t="shared" si="75"/>
        <v>113.3980925</v>
      </c>
      <c r="K1242">
        <v>0.35799999999999998</v>
      </c>
      <c r="L1242">
        <f t="shared" si="76"/>
        <v>40.596517114999997</v>
      </c>
    </row>
    <row r="1243" spans="1:12" x14ac:dyDescent="0.2">
      <c r="A1243" s="28"/>
      <c r="B1243" t="s">
        <v>48</v>
      </c>
      <c r="C1243" s="28">
        <v>1</v>
      </c>
      <c r="D1243">
        <v>1</v>
      </c>
      <c r="E1243">
        <f>4*4.54</f>
        <v>18.16</v>
      </c>
      <c r="F1243" t="s">
        <v>303</v>
      </c>
      <c r="G1243" t="s">
        <v>811</v>
      </c>
      <c r="H1243" t="s">
        <v>1071</v>
      </c>
      <c r="I1243">
        <f t="shared" si="73"/>
        <v>18.16</v>
      </c>
      <c r="J1243">
        <f t="shared" si="75"/>
        <v>8.2372374392000012</v>
      </c>
      <c r="K1243">
        <v>0.74299999999999999</v>
      </c>
      <c r="L1243">
        <f t="shared" si="76"/>
        <v>6.1202674173256009</v>
      </c>
    </row>
    <row r="1244" spans="1:12" x14ac:dyDescent="0.2">
      <c r="B1244" t="s">
        <v>48</v>
      </c>
      <c r="C1244" s="28">
        <v>1</v>
      </c>
      <c r="D1244">
        <v>1</v>
      </c>
      <c r="E1244">
        <f>4*4.54</f>
        <v>18.16</v>
      </c>
      <c r="F1244" t="s">
        <v>303</v>
      </c>
      <c r="G1244" t="s">
        <v>811</v>
      </c>
      <c r="H1244" t="s">
        <v>1071</v>
      </c>
      <c r="I1244">
        <f t="shared" si="73"/>
        <v>18.16</v>
      </c>
      <c r="J1244">
        <f t="shared" si="75"/>
        <v>8.2372374392000012</v>
      </c>
      <c r="K1244">
        <v>0.74299999999999999</v>
      </c>
      <c r="L1244">
        <f t="shared" si="76"/>
        <v>6.1202674173256009</v>
      </c>
    </row>
    <row r="1245" spans="1:12" x14ac:dyDescent="0.2">
      <c r="B1245" t="s">
        <v>48</v>
      </c>
      <c r="C1245" s="28">
        <v>1</v>
      </c>
      <c r="D1245">
        <v>1</v>
      </c>
      <c r="E1245">
        <f>4*4.54</f>
        <v>18.16</v>
      </c>
      <c r="F1245" t="s">
        <v>363</v>
      </c>
      <c r="G1245" t="s">
        <v>811</v>
      </c>
      <c r="H1245" t="s">
        <v>1071</v>
      </c>
      <c r="I1245">
        <f t="shared" si="73"/>
        <v>18.16</v>
      </c>
      <c r="J1245">
        <f t="shared" si="75"/>
        <v>8.2372374392000012</v>
      </c>
      <c r="K1245">
        <v>0.74299999999999999</v>
      </c>
      <c r="L1245">
        <f t="shared" si="76"/>
        <v>6.1202674173256009</v>
      </c>
    </row>
    <row r="1246" spans="1:12" x14ac:dyDescent="0.2">
      <c r="B1246" t="s">
        <v>48</v>
      </c>
      <c r="C1246" s="28">
        <v>2</v>
      </c>
      <c r="D1246">
        <v>1</v>
      </c>
      <c r="E1246">
        <v>25</v>
      </c>
      <c r="F1246" t="s">
        <v>79</v>
      </c>
      <c r="G1246" t="s">
        <v>215</v>
      </c>
      <c r="H1246" t="s">
        <v>1071</v>
      </c>
      <c r="I1246">
        <f t="shared" si="73"/>
        <v>50</v>
      </c>
      <c r="J1246">
        <f t="shared" si="75"/>
        <v>22.6796185</v>
      </c>
      <c r="K1246">
        <v>0.95</v>
      </c>
      <c r="L1246">
        <f t="shared" si="76"/>
        <v>21.545637575000001</v>
      </c>
    </row>
    <row r="1247" spans="1:12" x14ac:dyDescent="0.2">
      <c r="A1247" s="28"/>
      <c r="B1247" t="s">
        <v>48</v>
      </c>
      <c r="C1247" s="28">
        <v>5</v>
      </c>
      <c r="D1247">
        <v>1</v>
      </c>
      <c r="E1247">
        <v>18</v>
      </c>
      <c r="F1247" t="s">
        <v>304</v>
      </c>
      <c r="G1247" t="s">
        <v>786</v>
      </c>
      <c r="H1247" t="s">
        <v>1071</v>
      </c>
      <c r="I1247">
        <f t="shared" si="73"/>
        <v>90</v>
      </c>
      <c r="J1247">
        <f t="shared" si="75"/>
        <v>40.823313300000002</v>
      </c>
      <c r="K1247">
        <v>0.47799999999999998</v>
      </c>
      <c r="L1247">
        <f t="shared" si="76"/>
        <v>19.513543757400001</v>
      </c>
    </row>
    <row r="1248" spans="1:12" x14ac:dyDescent="0.2">
      <c r="B1248" t="s">
        <v>48</v>
      </c>
      <c r="C1248" s="28">
        <v>2</v>
      </c>
      <c r="D1248">
        <v>1</v>
      </c>
      <c r="E1248">
        <v>18</v>
      </c>
      <c r="F1248" t="s">
        <v>304</v>
      </c>
      <c r="G1248" t="s">
        <v>786</v>
      </c>
      <c r="H1248" t="s">
        <v>1071</v>
      </c>
      <c r="I1248">
        <f t="shared" si="73"/>
        <v>36</v>
      </c>
      <c r="J1248">
        <f t="shared" si="75"/>
        <v>16.329325319999999</v>
      </c>
      <c r="K1248">
        <v>0.47799999999999998</v>
      </c>
      <c r="L1248">
        <f t="shared" si="76"/>
        <v>7.8054175029599993</v>
      </c>
    </row>
    <row r="1249" spans="1:12" x14ac:dyDescent="0.2">
      <c r="B1249" t="s">
        <v>48</v>
      </c>
      <c r="C1249" s="28">
        <v>3</v>
      </c>
      <c r="D1249">
        <v>1</v>
      </c>
      <c r="E1249">
        <v>18</v>
      </c>
      <c r="F1249" t="s">
        <v>304</v>
      </c>
      <c r="G1249" t="s">
        <v>786</v>
      </c>
      <c r="H1249" t="s">
        <v>1071</v>
      </c>
      <c r="I1249">
        <f t="shared" si="73"/>
        <v>54</v>
      </c>
      <c r="J1249">
        <f t="shared" si="75"/>
        <v>24.493987980000004</v>
      </c>
      <c r="K1249">
        <v>0.47799999999999998</v>
      </c>
      <c r="L1249">
        <f t="shared" si="76"/>
        <v>11.708126254440002</v>
      </c>
    </row>
    <row r="1250" spans="1:12" x14ac:dyDescent="0.2">
      <c r="B1250" t="s">
        <v>48</v>
      </c>
      <c r="C1250" s="28">
        <v>3</v>
      </c>
      <c r="D1250">
        <v>1</v>
      </c>
      <c r="E1250">
        <v>18</v>
      </c>
      <c r="F1250" t="s">
        <v>304</v>
      </c>
      <c r="G1250" t="s">
        <v>786</v>
      </c>
      <c r="H1250" t="s">
        <v>1071</v>
      </c>
      <c r="I1250">
        <f t="shared" si="73"/>
        <v>54</v>
      </c>
      <c r="J1250">
        <f t="shared" si="75"/>
        <v>24.493987980000004</v>
      </c>
      <c r="K1250">
        <v>0.47799999999999998</v>
      </c>
      <c r="L1250">
        <f t="shared" si="76"/>
        <v>11.708126254440002</v>
      </c>
    </row>
    <row r="1251" spans="1:12" x14ac:dyDescent="0.2">
      <c r="B1251" t="s">
        <v>48</v>
      </c>
      <c r="C1251" s="28">
        <v>8</v>
      </c>
      <c r="D1251">
        <v>1</v>
      </c>
      <c r="E1251">
        <v>18</v>
      </c>
      <c r="F1251" t="s">
        <v>364</v>
      </c>
      <c r="G1251" t="s">
        <v>786</v>
      </c>
      <c r="H1251" t="s">
        <v>1071</v>
      </c>
      <c r="I1251">
        <f t="shared" si="73"/>
        <v>144</v>
      </c>
      <c r="J1251">
        <f t="shared" si="75"/>
        <v>65.317301279999995</v>
      </c>
      <c r="K1251">
        <v>0.47799999999999998</v>
      </c>
      <c r="L1251">
        <f t="shared" si="76"/>
        <v>31.221670011839997</v>
      </c>
    </row>
    <row r="1252" spans="1:12" x14ac:dyDescent="0.2">
      <c r="A1252" s="4">
        <v>43434</v>
      </c>
      <c r="B1252" t="s">
        <v>538</v>
      </c>
      <c r="C1252">
        <v>2</v>
      </c>
      <c r="D1252">
        <v>8</v>
      </c>
      <c r="E1252">
        <v>5</v>
      </c>
      <c r="F1252" t="s">
        <v>542</v>
      </c>
      <c r="G1252" s="6" t="s">
        <v>899</v>
      </c>
      <c r="H1252" s="9" t="s">
        <v>1071</v>
      </c>
      <c r="I1252">
        <f t="shared" si="73"/>
        <v>80</v>
      </c>
      <c r="J1252">
        <f t="shared" si="75"/>
        <v>36.287389600000004</v>
      </c>
      <c r="K1252">
        <v>0.55000000000000004</v>
      </c>
      <c r="L1252">
        <f t="shared" si="76"/>
        <v>19.958064280000006</v>
      </c>
    </row>
    <row r="1253" spans="1:12" x14ac:dyDescent="0.2">
      <c r="A1253" s="4">
        <v>43399</v>
      </c>
      <c r="B1253" t="s">
        <v>38</v>
      </c>
      <c r="C1253">
        <v>36</v>
      </c>
      <c r="D1253">
        <v>1</v>
      </c>
      <c r="E1253">
        <v>2.0499999999999998</v>
      </c>
      <c r="F1253" s="9" t="s">
        <v>181</v>
      </c>
      <c r="G1253" s="9" t="s">
        <v>957</v>
      </c>
      <c r="H1253" t="s">
        <v>1073</v>
      </c>
      <c r="I1253">
        <f t="shared" si="73"/>
        <v>73.8</v>
      </c>
      <c r="J1253">
        <f t="shared" si="75"/>
        <v>33.475116906000004</v>
      </c>
      <c r="K1253">
        <v>3.2614999999999998</v>
      </c>
      <c r="L1253">
        <f t="shared" si="76"/>
        <v>109.179093788919</v>
      </c>
    </row>
    <row r="1254" spans="1:12" x14ac:dyDescent="0.2">
      <c r="A1254" s="4">
        <v>43402</v>
      </c>
      <c r="B1254" t="s">
        <v>38</v>
      </c>
      <c r="C1254">
        <v>24</v>
      </c>
      <c r="D1254">
        <v>1</v>
      </c>
      <c r="E1254">
        <v>2.0499999999999998</v>
      </c>
      <c r="F1254" s="9" t="s">
        <v>181</v>
      </c>
      <c r="G1254" s="9" t="s">
        <v>957</v>
      </c>
      <c r="H1254" t="s">
        <v>1073</v>
      </c>
      <c r="I1254">
        <f t="shared" si="73"/>
        <v>49.199999999999996</v>
      </c>
      <c r="J1254">
        <f t="shared" si="75"/>
        <v>22.316744604</v>
      </c>
      <c r="K1254">
        <v>3.2614999999999998</v>
      </c>
      <c r="L1254">
        <f t="shared" si="76"/>
        <v>72.786062525945994</v>
      </c>
    </row>
    <row r="1255" spans="1:12" x14ac:dyDescent="0.2">
      <c r="A1255" s="4">
        <v>43404</v>
      </c>
      <c r="B1255" t="s">
        <v>38</v>
      </c>
      <c r="C1255">
        <v>12</v>
      </c>
      <c r="D1255">
        <v>1</v>
      </c>
      <c r="E1255">
        <v>2.0499999999999998</v>
      </c>
      <c r="F1255" s="9" t="s">
        <v>181</v>
      </c>
      <c r="G1255" s="9" t="s">
        <v>957</v>
      </c>
      <c r="H1255" t="s">
        <v>1073</v>
      </c>
      <c r="I1255">
        <f t="shared" si="73"/>
        <v>24.599999999999998</v>
      </c>
      <c r="J1255">
        <f t="shared" si="75"/>
        <v>11.158372302</v>
      </c>
      <c r="K1255">
        <v>3.2614999999999998</v>
      </c>
      <c r="L1255">
        <f t="shared" si="76"/>
        <v>36.393031262972997</v>
      </c>
    </row>
    <row r="1256" spans="1:12" x14ac:dyDescent="0.2">
      <c r="A1256" s="4">
        <v>43404</v>
      </c>
      <c r="B1256" t="s">
        <v>38</v>
      </c>
      <c r="C1256">
        <v>24</v>
      </c>
      <c r="D1256">
        <v>1</v>
      </c>
      <c r="E1256">
        <v>1.06</v>
      </c>
      <c r="F1256" s="9" t="s">
        <v>294</v>
      </c>
      <c r="G1256" s="9" t="s">
        <v>698</v>
      </c>
      <c r="H1256" t="s">
        <v>1073</v>
      </c>
      <c r="I1256">
        <f t="shared" si="73"/>
        <v>25.44</v>
      </c>
      <c r="J1256">
        <f t="shared" si="75"/>
        <v>11.539389892800003</v>
      </c>
      <c r="K1256">
        <v>3.2614999999999998</v>
      </c>
      <c r="L1256">
        <f t="shared" si="76"/>
        <v>37.635720135367208</v>
      </c>
    </row>
    <row r="1257" spans="1:12" x14ac:dyDescent="0.2">
      <c r="A1257" s="28"/>
      <c r="B1257" t="s">
        <v>48</v>
      </c>
      <c r="C1257" s="28">
        <v>1</v>
      </c>
      <c r="D1257">
        <v>1</v>
      </c>
      <c r="E1257">
        <v>1</v>
      </c>
      <c r="F1257" t="s">
        <v>307</v>
      </c>
      <c r="G1257" t="s">
        <v>812</v>
      </c>
      <c r="H1257" t="s">
        <v>1071</v>
      </c>
      <c r="I1257">
        <f t="shared" si="73"/>
        <v>1</v>
      </c>
      <c r="J1257">
        <f t="shared" si="75"/>
        <v>0.45359237000000002</v>
      </c>
      <c r="K1257">
        <v>0.221</v>
      </c>
      <c r="L1257">
        <f t="shared" si="76"/>
        <v>0.10024391377000001</v>
      </c>
    </row>
    <row r="1258" spans="1:12" x14ac:dyDescent="0.2">
      <c r="A1258" s="28"/>
      <c r="B1258" t="s">
        <v>48</v>
      </c>
      <c r="C1258" s="28">
        <v>1</v>
      </c>
      <c r="D1258">
        <v>1</v>
      </c>
      <c r="E1258">
        <v>1</v>
      </c>
      <c r="F1258" t="s">
        <v>308</v>
      </c>
      <c r="G1258" t="s">
        <v>812</v>
      </c>
      <c r="H1258" t="s">
        <v>1071</v>
      </c>
      <c r="I1258">
        <f t="shared" si="73"/>
        <v>1</v>
      </c>
      <c r="J1258">
        <f t="shared" si="75"/>
        <v>0.45359237000000002</v>
      </c>
      <c r="K1258">
        <v>0.221</v>
      </c>
      <c r="L1258">
        <f t="shared" si="76"/>
        <v>0.10024391377000001</v>
      </c>
    </row>
    <row r="1259" spans="1:12" x14ac:dyDescent="0.2">
      <c r="A1259" s="28"/>
      <c r="B1259" t="s">
        <v>48</v>
      </c>
      <c r="C1259" s="28">
        <v>1</v>
      </c>
      <c r="D1259">
        <v>1</v>
      </c>
      <c r="E1259">
        <v>1</v>
      </c>
      <c r="F1259" t="s">
        <v>309</v>
      </c>
      <c r="G1259" t="s">
        <v>812</v>
      </c>
      <c r="H1259" t="s">
        <v>1071</v>
      </c>
      <c r="I1259">
        <f t="shared" si="73"/>
        <v>1</v>
      </c>
      <c r="J1259">
        <f t="shared" si="75"/>
        <v>0.45359237000000002</v>
      </c>
      <c r="K1259">
        <v>0.221</v>
      </c>
      <c r="L1259">
        <f t="shared" si="76"/>
        <v>0.10024391377000001</v>
      </c>
    </row>
    <row r="1260" spans="1:12" x14ac:dyDescent="0.2">
      <c r="B1260" t="s">
        <v>48</v>
      </c>
      <c r="C1260" s="28">
        <v>1</v>
      </c>
      <c r="D1260">
        <v>1</v>
      </c>
      <c r="E1260">
        <v>1</v>
      </c>
      <c r="F1260" t="s">
        <v>307</v>
      </c>
      <c r="G1260" t="s">
        <v>812</v>
      </c>
      <c r="H1260" t="s">
        <v>1071</v>
      </c>
      <c r="I1260">
        <f t="shared" si="73"/>
        <v>1</v>
      </c>
      <c r="J1260">
        <f t="shared" si="75"/>
        <v>0.45359237000000002</v>
      </c>
      <c r="K1260">
        <v>0.221</v>
      </c>
      <c r="L1260">
        <f t="shared" si="76"/>
        <v>0.10024391377000001</v>
      </c>
    </row>
    <row r="1261" spans="1:12" x14ac:dyDescent="0.2">
      <c r="A1261" s="28"/>
      <c r="B1261" t="s">
        <v>48</v>
      </c>
      <c r="C1261" s="28">
        <v>2</v>
      </c>
      <c r="D1261">
        <v>1</v>
      </c>
      <c r="E1261">
        <v>0.25</v>
      </c>
      <c r="F1261" t="s">
        <v>306</v>
      </c>
      <c r="G1261" t="s">
        <v>782</v>
      </c>
      <c r="H1261" t="s">
        <v>1071</v>
      </c>
      <c r="I1261">
        <f t="shared" si="73"/>
        <v>0.5</v>
      </c>
      <c r="J1261">
        <f t="shared" si="75"/>
        <v>0.22679618500000001</v>
      </c>
      <c r="K1261">
        <v>0.221</v>
      </c>
      <c r="L1261">
        <f t="shared" si="76"/>
        <v>5.0121956885000006E-2</v>
      </c>
    </row>
    <row r="1262" spans="1:12" x14ac:dyDescent="0.2">
      <c r="B1262" t="s">
        <v>48</v>
      </c>
      <c r="C1262" s="28">
        <v>5</v>
      </c>
      <c r="D1262">
        <v>1</v>
      </c>
      <c r="E1262">
        <f>24*12/(16)</f>
        <v>18</v>
      </c>
      <c r="F1262" t="s">
        <v>353</v>
      </c>
      <c r="G1262" t="s">
        <v>995</v>
      </c>
      <c r="H1262" t="s">
        <v>1071</v>
      </c>
      <c r="I1262">
        <f t="shared" si="73"/>
        <v>90</v>
      </c>
      <c r="J1262">
        <f t="shared" si="75"/>
        <v>40.823313300000002</v>
      </c>
      <c r="K1262">
        <v>2.44</v>
      </c>
      <c r="L1262">
        <f t="shared" si="76"/>
        <v>99.608884451999998</v>
      </c>
    </row>
    <row r="1263" spans="1:12" x14ac:dyDescent="0.2">
      <c r="A1263" s="4">
        <v>43437</v>
      </c>
      <c r="B1263" t="s">
        <v>538</v>
      </c>
      <c r="C1263">
        <v>1</v>
      </c>
      <c r="D1263">
        <v>6</v>
      </c>
      <c r="E1263">
        <v>5</v>
      </c>
      <c r="F1263" t="s">
        <v>571</v>
      </c>
      <c r="G1263" t="s">
        <v>878</v>
      </c>
      <c r="H1263" s="9" t="s">
        <v>1071</v>
      </c>
      <c r="I1263">
        <f t="shared" si="73"/>
        <v>30</v>
      </c>
      <c r="J1263">
        <f t="shared" si="75"/>
        <v>13.607771100000001</v>
      </c>
      <c r="K1263">
        <v>2.44</v>
      </c>
      <c r="L1263">
        <f t="shared" si="76"/>
        <v>33.202961483999999</v>
      </c>
    </row>
    <row r="1264" spans="1:12" x14ac:dyDescent="0.2">
      <c r="A1264" s="4">
        <v>43439</v>
      </c>
      <c r="B1264" t="s">
        <v>538</v>
      </c>
      <c r="C1264">
        <v>1</v>
      </c>
      <c r="D1264">
        <v>6</v>
      </c>
      <c r="E1264">
        <v>5</v>
      </c>
      <c r="F1264" t="s">
        <v>571</v>
      </c>
      <c r="G1264" t="s">
        <v>878</v>
      </c>
      <c r="H1264" s="9" t="s">
        <v>1071</v>
      </c>
      <c r="I1264">
        <f t="shared" si="73"/>
        <v>30</v>
      </c>
      <c r="J1264">
        <f t="shared" si="75"/>
        <v>13.607771100000001</v>
      </c>
      <c r="K1264">
        <v>2.44</v>
      </c>
      <c r="L1264">
        <f t="shared" si="76"/>
        <v>33.202961483999999</v>
      </c>
    </row>
    <row r="1265" spans="1:12" x14ac:dyDescent="0.2">
      <c r="A1265" s="28"/>
      <c r="B1265" t="s">
        <v>48</v>
      </c>
      <c r="C1265" s="28">
        <v>5</v>
      </c>
      <c r="D1265">
        <v>1</v>
      </c>
      <c r="E1265">
        <f>8*4</f>
        <v>32</v>
      </c>
      <c r="F1265" t="s">
        <v>312</v>
      </c>
      <c r="G1265" t="s">
        <v>789</v>
      </c>
      <c r="H1265" t="s">
        <v>1071</v>
      </c>
      <c r="I1265">
        <f t="shared" si="73"/>
        <v>160</v>
      </c>
      <c r="J1265">
        <f t="shared" si="75"/>
        <v>72.574779200000009</v>
      </c>
      <c r="K1265">
        <v>0.28399999999999997</v>
      </c>
      <c r="L1265">
        <f t="shared" si="76"/>
        <v>20.611237292800002</v>
      </c>
    </row>
    <row r="1266" spans="1:12" x14ac:dyDescent="0.2">
      <c r="B1266" t="s">
        <v>48</v>
      </c>
      <c r="C1266" s="28">
        <v>8</v>
      </c>
      <c r="D1266">
        <v>1</v>
      </c>
      <c r="E1266">
        <f>8*4</f>
        <v>32</v>
      </c>
      <c r="F1266" t="s">
        <v>312</v>
      </c>
      <c r="G1266" t="s">
        <v>789</v>
      </c>
      <c r="H1266" t="s">
        <v>1071</v>
      </c>
      <c r="I1266">
        <f t="shared" si="73"/>
        <v>256</v>
      </c>
      <c r="J1266">
        <f t="shared" si="75"/>
        <v>116.11964672000001</v>
      </c>
      <c r="K1266">
        <v>0.28399999999999997</v>
      </c>
      <c r="L1266">
        <f t="shared" si="76"/>
        <v>32.977979668479996</v>
      </c>
    </row>
    <row r="1267" spans="1:12" x14ac:dyDescent="0.2">
      <c r="B1267" t="s">
        <v>48</v>
      </c>
      <c r="C1267" s="28">
        <v>5</v>
      </c>
      <c r="D1267">
        <v>1</v>
      </c>
      <c r="E1267">
        <f>8*4</f>
        <v>32</v>
      </c>
      <c r="F1267" t="s">
        <v>312</v>
      </c>
      <c r="G1267" t="s">
        <v>789</v>
      </c>
      <c r="H1267" t="s">
        <v>1071</v>
      </c>
      <c r="I1267">
        <f t="shared" si="73"/>
        <v>160</v>
      </c>
      <c r="J1267">
        <f t="shared" si="75"/>
        <v>72.574779200000009</v>
      </c>
      <c r="K1267">
        <v>0.28399999999999997</v>
      </c>
      <c r="L1267">
        <f t="shared" si="76"/>
        <v>20.611237292800002</v>
      </c>
    </row>
    <row r="1268" spans="1:12" x14ac:dyDescent="0.2">
      <c r="B1268" t="s">
        <v>48</v>
      </c>
      <c r="C1268" s="28">
        <v>5</v>
      </c>
      <c r="D1268">
        <v>1</v>
      </c>
      <c r="E1268">
        <f>8*4</f>
        <v>32</v>
      </c>
      <c r="F1268" t="s">
        <v>312</v>
      </c>
      <c r="G1268" t="s">
        <v>789</v>
      </c>
      <c r="H1268" t="s">
        <v>1071</v>
      </c>
      <c r="I1268">
        <f t="shared" si="73"/>
        <v>160</v>
      </c>
      <c r="J1268">
        <f t="shared" si="75"/>
        <v>72.574779200000009</v>
      </c>
      <c r="K1268">
        <v>0.28399999999999997</v>
      </c>
      <c r="L1268">
        <f t="shared" si="76"/>
        <v>20.611237292800002</v>
      </c>
    </row>
    <row r="1269" spans="1:12" x14ac:dyDescent="0.2">
      <c r="B1269" t="s">
        <v>48</v>
      </c>
      <c r="C1269" s="28">
        <v>8</v>
      </c>
      <c r="D1269">
        <v>1</v>
      </c>
      <c r="E1269">
        <f>8*4</f>
        <v>32</v>
      </c>
      <c r="F1269" t="s">
        <v>367</v>
      </c>
      <c r="G1269" t="s">
        <v>789</v>
      </c>
      <c r="H1269" t="s">
        <v>1071</v>
      </c>
      <c r="I1269">
        <f t="shared" si="73"/>
        <v>256</v>
      </c>
      <c r="J1269">
        <f t="shared" si="75"/>
        <v>116.11964672000001</v>
      </c>
      <c r="K1269">
        <v>0.28399999999999997</v>
      </c>
      <c r="L1269">
        <f t="shared" si="76"/>
        <v>32.977979668479996</v>
      </c>
    </row>
    <row r="1270" spans="1:12" x14ac:dyDescent="0.2">
      <c r="A1270" s="10">
        <v>43404</v>
      </c>
      <c r="B1270" s="9" t="s">
        <v>946</v>
      </c>
      <c r="C1270" s="35">
        <v>1</v>
      </c>
      <c r="D1270">
        <v>1</v>
      </c>
      <c r="E1270" s="9">
        <f>5*10</f>
        <v>50</v>
      </c>
      <c r="F1270" s="9" t="s">
        <v>947</v>
      </c>
      <c r="G1270" s="9" t="s">
        <v>950</v>
      </c>
      <c r="H1270" t="s">
        <v>1073</v>
      </c>
      <c r="I1270">
        <f t="shared" ref="I1270:I1333" si="78">C1270*D1270*E1270</f>
        <v>50</v>
      </c>
      <c r="J1270">
        <f t="shared" si="75"/>
        <v>22.6796185</v>
      </c>
      <c r="K1270" s="6">
        <v>3.84</v>
      </c>
      <c r="L1270">
        <f t="shared" si="76"/>
        <v>87.089735039999994</v>
      </c>
    </row>
    <row r="1271" spans="1:12" x14ac:dyDescent="0.2">
      <c r="A1271" s="10">
        <v>43404</v>
      </c>
      <c r="B1271" s="9" t="s">
        <v>946</v>
      </c>
      <c r="C1271" s="39">
        <v>1</v>
      </c>
      <c r="D1271">
        <v>1</v>
      </c>
      <c r="E1271" s="9">
        <f>5*10</f>
        <v>50</v>
      </c>
      <c r="F1271" s="9" t="s">
        <v>948</v>
      </c>
      <c r="G1271" s="9" t="s">
        <v>950</v>
      </c>
      <c r="H1271" t="s">
        <v>1073</v>
      </c>
      <c r="I1271">
        <f t="shared" si="78"/>
        <v>50</v>
      </c>
      <c r="J1271">
        <f t="shared" si="75"/>
        <v>22.6796185</v>
      </c>
      <c r="K1271" s="6">
        <v>3.84</v>
      </c>
      <c r="L1271">
        <f t="shared" si="76"/>
        <v>87.089735039999994</v>
      </c>
    </row>
    <row r="1272" spans="1:12" x14ac:dyDescent="0.2">
      <c r="A1272" s="10">
        <v>43404</v>
      </c>
      <c r="B1272" s="9" t="s">
        <v>946</v>
      </c>
      <c r="C1272" s="39">
        <v>1</v>
      </c>
      <c r="D1272">
        <v>1</v>
      </c>
      <c r="E1272" s="9">
        <f>5*10</f>
        <v>50</v>
      </c>
      <c r="F1272" s="9" t="s">
        <v>952</v>
      </c>
      <c r="G1272" s="9" t="s">
        <v>950</v>
      </c>
      <c r="H1272" t="s">
        <v>1073</v>
      </c>
      <c r="I1272">
        <f t="shared" si="78"/>
        <v>50</v>
      </c>
      <c r="J1272">
        <f t="shared" si="75"/>
        <v>22.6796185</v>
      </c>
      <c r="K1272" s="6">
        <v>3.84</v>
      </c>
      <c r="L1272">
        <f t="shared" si="76"/>
        <v>87.089735039999994</v>
      </c>
    </row>
    <row r="1273" spans="1:12" x14ac:dyDescent="0.2">
      <c r="A1273" s="4">
        <v>43434</v>
      </c>
      <c r="B1273" t="s">
        <v>517</v>
      </c>
      <c r="C1273">
        <v>4</v>
      </c>
      <c r="D1273">
        <v>1</v>
      </c>
      <c r="E1273">
        <f t="shared" ref="E1273:E1280" si="79">3*8.6</f>
        <v>25.799999999999997</v>
      </c>
      <c r="F1273" t="s">
        <v>518</v>
      </c>
      <c r="G1273" s="6" t="s">
        <v>888</v>
      </c>
      <c r="H1273" s="9" t="s">
        <v>1073</v>
      </c>
      <c r="I1273">
        <f t="shared" si="78"/>
        <v>103.19999999999999</v>
      </c>
      <c r="J1273">
        <f t="shared" si="75"/>
        <v>46.810732584</v>
      </c>
      <c r="K1273" s="6">
        <v>3.84</v>
      </c>
      <c r="L1273">
        <f t="shared" si="76"/>
        <v>179.75321312256</v>
      </c>
    </row>
    <row r="1274" spans="1:12" x14ac:dyDescent="0.2">
      <c r="A1274" s="4">
        <v>43434</v>
      </c>
      <c r="B1274" t="s">
        <v>517</v>
      </c>
      <c r="C1274">
        <v>4</v>
      </c>
      <c r="D1274">
        <v>1</v>
      </c>
      <c r="E1274">
        <f t="shared" si="79"/>
        <v>25.799999999999997</v>
      </c>
      <c r="F1274" t="s">
        <v>468</v>
      </c>
      <c r="G1274" s="6" t="s">
        <v>888</v>
      </c>
      <c r="H1274" s="9" t="s">
        <v>1073</v>
      </c>
      <c r="I1274">
        <f t="shared" si="78"/>
        <v>103.19999999999999</v>
      </c>
      <c r="J1274">
        <f t="shared" si="75"/>
        <v>46.810732584</v>
      </c>
      <c r="K1274" s="6">
        <v>3.84</v>
      </c>
      <c r="L1274">
        <f t="shared" si="76"/>
        <v>179.75321312256</v>
      </c>
    </row>
    <row r="1275" spans="1:12" x14ac:dyDescent="0.2">
      <c r="A1275" s="4">
        <v>43434</v>
      </c>
      <c r="B1275" t="s">
        <v>517</v>
      </c>
      <c r="C1275">
        <v>4</v>
      </c>
      <c r="D1275">
        <v>1</v>
      </c>
      <c r="E1275">
        <f t="shared" si="79"/>
        <v>25.799999999999997</v>
      </c>
      <c r="F1275" t="s">
        <v>524</v>
      </c>
      <c r="G1275" s="6" t="s">
        <v>888</v>
      </c>
      <c r="H1275" s="9" t="s">
        <v>1073</v>
      </c>
      <c r="I1275">
        <f t="shared" si="78"/>
        <v>103.19999999999999</v>
      </c>
      <c r="J1275">
        <f t="shared" si="75"/>
        <v>46.810732584</v>
      </c>
      <c r="K1275" s="6">
        <v>3.84</v>
      </c>
      <c r="L1275">
        <f t="shared" si="76"/>
        <v>179.75321312256</v>
      </c>
    </row>
    <row r="1276" spans="1:12" x14ac:dyDescent="0.2">
      <c r="A1276" s="4">
        <v>43439</v>
      </c>
      <c r="B1276" t="s">
        <v>517</v>
      </c>
      <c r="C1276">
        <v>2</v>
      </c>
      <c r="D1276">
        <v>1</v>
      </c>
      <c r="E1276">
        <f t="shared" si="79"/>
        <v>25.799999999999997</v>
      </c>
      <c r="F1276" t="s">
        <v>600</v>
      </c>
      <c r="G1276" s="6" t="s">
        <v>888</v>
      </c>
      <c r="H1276" s="9" t="s">
        <v>1073</v>
      </c>
      <c r="I1276">
        <f t="shared" si="78"/>
        <v>51.599999999999994</v>
      </c>
      <c r="J1276">
        <f t="shared" si="75"/>
        <v>23.405366292</v>
      </c>
      <c r="K1276" s="6">
        <v>3.84</v>
      </c>
      <c r="L1276">
        <f t="shared" si="76"/>
        <v>89.876606561279999</v>
      </c>
    </row>
    <row r="1277" spans="1:12" x14ac:dyDescent="0.2">
      <c r="A1277" s="4">
        <v>43439</v>
      </c>
      <c r="B1277" t="s">
        <v>517</v>
      </c>
      <c r="C1277">
        <v>2</v>
      </c>
      <c r="D1277">
        <v>1</v>
      </c>
      <c r="E1277">
        <f t="shared" si="79"/>
        <v>25.799999999999997</v>
      </c>
      <c r="F1277" t="s">
        <v>466</v>
      </c>
      <c r="G1277" s="6" t="s">
        <v>888</v>
      </c>
      <c r="H1277" s="9" t="s">
        <v>1073</v>
      </c>
      <c r="I1277">
        <f t="shared" si="78"/>
        <v>51.599999999999994</v>
      </c>
      <c r="J1277">
        <f t="shared" si="75"/>
        <v>23.405366292</v>
      </c>
      <c r="K1277" s="6">
        <v>3.84</v>
      </c>
      <c r="L1277">
        <f t="shared" si="76"/>
        <v>89.876606561279999</v>
      </c>
    </row>
    <row r="1278" spans="1:12" x14ac:dyDescent="0.2">
      <c r="A1278" s="4">
        <v>43439</v>
      </c>
      <c r="B1278" t="s">
        <v>517</v>
      </c>
      <c r="C1278">
        <v>3</v>
      </c>
      <c r="D1278">
        <v>1</v>
      </c>
      <c r="E1278">
        <f t="shared" si="79"/>
        <v>25.799999999999997</v>
      </c>
      <c r="F1278" t="s">
        <v>467</v>
      </c>
      <c r="G1278" s="6" t="s">
        <v>888</v>
      </c>
      <c r="H1278" s="9" t="s">
        <v>1073</v>
      </c>
      <c r="I1278">
        <f t="shared" si="78"/>
        <v>77.399999999999991</v>
      </c>
      <c r="J1278">
        <f t="shared" si="75"/>
        <v>35.108049437999995</v>
      </c>
      <c r="K1278" s="6">
        <v>3.84</v>
      </c>
      <c r="L1278">
        <f t="shared" si="76"/>
        <v>134.81490984191998</v>
      </c>
    </row>
    <row r="1279" spans="1:12" x14ac:dyDescent="0.2">
      <c r="A1279" s="4">
        <v>43439</v>
      </c>
      <c r="B1279" t="s">
        <v>517</v>
      </c>
      <c r="C1279">
        <v>3</v>
      </c>
      <c r="D1279">
        <v>1</v>
      </c>
      <c r="E1279">
        <f t="shared" si="79"/>
        <v>25.799999999999997</v>
      </c>
      <c r="F1279" t="s">
        <v>468</v>
      </c>
      <c r="G1279" s="6" t="s">
        <v>888</v>
      </c>
      <c r="H1279" s="9" t="s">
        <v>1073</v>
      </c>
      <c r="I1279">
        <f t="shared" si="78"/>
        <v>77.399999999999991</v>
      </c>
      <c r="J1279">
        <f t="shared" si="75"/>
        <v>35.108049437999995</v>
      </c>
      <c r="K1279" s="6">
        <v>3.84</v>
      </c>
      <c r="L1279">
        <f t="shared" si="76"/>
        <v>134.81490984191998</v>
      </c>
    </row>
    <row r="1280" spans="1:12" x14ac:dyDescent="0.2">
      <c r="A1280" s="4">
        <v>43439</v>
      </c>
      <c r="B1280" t="s">
        <v>517</v>
      </c>
      <c r="C1280">
        <v>3</v>
      </c>
      <c r="D1280">
        <v>1</v>
      </c>
      <c r="E1280">
        <f t="shared" si="79"/>
        <v>25.799999999999997</v>
      </c>
      <c r="F1280" t="s">
        <v>469</v>
      </c>
      <c r="G1280" s="6" t="s">
        <v>888</v>
      </c>
      <c r="H1280" s="9" t="s">
        <v>1073</v>
      </c>
      <c r="I1280">
        <f t="shared" si="78"/>
        <v>77.399999999999991</v>
      </c>
      <c r="J1280">
        <f t="shared" si="75"/>
        <v>35.108049437999995</v>
      </c>
      <c r="K1280" s="6">
        <v>3.84</v>
      </c>
      <c r="L1280">
        <f t="shared" si="76"/>
        <v>134.81490984191998</v>
      </c>
    </row>
    <row r="1281" spans="1:12" x14ac:dyDescent="0.2">
      <c r="A1281" s="4">
        <v>43434</v>
      </c>
      <c r="B1281" t="s">
        <v>538</v>
      </c>
      <c r="C1281">
        <v>1</v>
      </c>
      <c r="D1281">
        <v>6</v>
      </c>
      <c r="E1281">
        <v>4</v>
      </c>
      <c r="F1281" t="s">
        <v>438</v>
      </c>
      <c r="G1281" s="6" t="s">
        <v>866</v>
      </c>
      <c r="H1281" s="9" t="s">
        <v>1071</v>
      </c>
      <c r="I1281">
        <f t="shared" si="78"/>
        <v>24</v>
      </c>
      <c r="J1281">
        <f t="shared" si="75"/>
        <v>10.886216880000001</v>
      </c>
      <c r="K1281" s="6">
        <v>3.25</v>
      </c>
      <c r="L1281">
        <f t="shared" si="76"/>
        <v>35.380204860000006</v>
      </c>
    </row>
    <row r="1282" spans="1:12" x14ac:dyDescent="0.2">
      <c r="A1282" s="4">
        <v>43439</v>
      </c>
      <c r="B1282" t="s">
        <v>538</v>
      </c>
      <c r="C1282">
        <v>1</v>
      </c>
      <c r="D1282">
        <v>6</v>
      </c>
      <c r="E1282">
        <v>4</v>
      </c>
      <c r="F1282" t="s">
        <v>438</v>
      </c>
      <c r="G1282" s="6" t="s">
        <v>866</v>
      </c>
      <c r="H1282" s="9" t="s">
        <v>1071</v>
      </c>
      <c r="I1282">
        <f t="shared" si="78"/>
        <v>24</v>
      </c>
      <c r="J1282">
        <f t="shared" si="75"/>
        <v>10.886216880000001</v>
      </c>
      <c r="K1282" s="6">
        <v>3.25</v>
      </c>
      <c r="L1282">
        <f t="shared" si="76"/>
        <v>35.380204860000006</v>
      </c>
    </row>
    <row r="1283" spans="1:12" x14ac:dyDescent="0.2">
      <c r="B1283" t="s">
        <v>48</v>
      </c>
      <c r="C1283" s="28">
        <v>2</v>
      </c>
      <c r="D1283">
        <v>1</v>
      </c>
      <c r="E1283">
        <v>10</v>
      </c>
      <c r="F1283" t="s">
        <v>356</v>
      </c>
      <c r="G1283" t="s">
        <v>819</v>
      </c>
      <c r="H1283" t="s">
        <v>1071</v>
      </c>
      <c r="I1283">
        <f t="shared" si="78"/>
        <v>20</v>
      </c>
      <c r="J1283">
        <f t="shared" ref="J1283:J1346" si="80">CONVERT(I1283,"lbm","kg")</f>
        <v>9.0718474000000011</v>
      </c>
      <c r="K1283">
        <v>0.193</v>
      </c>
      <c r="L1283">
        <f t="shared" ref="L1283:L1346" si="81">J1283*K1283</f>
        <v>1.7508665482000003</v>
      </c>
    </row>
    <row r="1284" spans="1:12" x14ac:dyDescent="0.2">
      <c r="A1284" s="4">
        <v>43399</v>
      </c>
      <c r="B1284" t="s">
        <v>175</v>
      </c>
      <c r="C1284" s="28">
        <v>1</v>
      </c>
      <c r="D1284">
        <v>1</v>
      </c>
      <c r="E1284">
        <v>140.66</v>
      </c>
      <c r="F1284" t="s">
        <v>178</v>
      </c>
      <c r="G1284" t="s">
        <v>756</v>
      </c>
      <c r="H1284" t="s">
        <v>1072</v>
      </c>
      <c r="I1284">
        <f t="shared" si="78"/>
        <v>140.66</v>
      </c>
      <c r="J1284">
        <f t="shared" si="80"/>
        <v>63.8023027642</v>
      </c>
      <c r="K1284">
        <v>34.744999999999997</v>
      </c>
      <c r="L1284">
        <f t="shared" si="81"/>
        <v>2216.8110095421289</v>
      </c>
    </row>
    <row r="1285" spans="1:12" x14ac:dyDescent="0.2">
      <c r="A1285" s="4">
        <v>43399</v>
      </c>
      <c r="B1285" t="s">
        <v>175</v>
      </c>
      <c r="C1285" s="28">
        <v>1</v>
      </c>
      <c r="D1285">
        <v>1</v>
      </c>
      <c r="E1285" s="6">
        <v>200</v>
      </c>
      <c r="F1285" s="6" t="s">
        <v>282</v>
      </c>
      <c r="G1285" s="6" t="s">
        <v>756</v>
      </c>
      <c r="H1285" t="s">
        <v>1072</v>
      </c>
      <c r="I1285">
        <f t="shared" si="78"/>
        <v>200</v>
      </c>
      <c r="J1285">
        <f t="shared" si="80"/>
        <v>90.718474000000001</v>
      </c>
      <c r="K1285">
        <v>34.744999999999997</v>
      </c>
      <c r="L1285">
        <f t="shared" si="81"/>
        <v>3152.01337913</v>
      </c>
    </row>
    <row r="1286" spans="1:12" x14ac:dyDescent="0.2">
      <c r="B1286" t="s">
        <v>48</v>
      </c>
      <c r="C1286" s="28">
        <v>6</v>
      </c>
      <c r="D1286">
        <v>1</v>
      </c>
      <c r="E1286">
        <f>12*2.12</f>
        <v>25.44</v>
      </c>
      <c r="F1286" t="s">
        <v>336</v>
      </c>
      <c r="G1286" t="s">
        <v>185</v>
      </c>
      <c r="H1286" t="s">
        <v>1071</v>
      </c>
      <c r="I1286">
        <f t="shared" si="78"/>
        <v>152.64000000000001</v>
      </c>
      <c r="J1286">
        <f t="shared" si="80"/>
        <v>69.236339356800002</v>
      </c>
      <c r="K1286">
        <v>0.33200000000000002</v>
      </c>
      <c r="L1286">
        <f t="shared" si="81"/>
        <v>22.986464666457604</v>
      </c>
    </row>
    <row r="1287" spans="1:12" x14ac:dyDescent="0.2">
      <c r="A1287" s="28"/>
      <c r="B1287" t="s">
        <v>48</v>
      </c>
      <c r="C1287" s="28">
        <v>1</v>
      </c>
      <c r="D1287">
        <v>1</v>
      </c>
      <c r="E1287">
        <v>10</v>
      </c>
      <c r="F1287" t="s">
        <v>310</v>
      </c>
      <c r="G1287" t="s">
        <v>823</v>
      </c>
      <c r="H1287" t="s">
        <v>1071</v>
      </c>
      <c r="I1287">
        <f t="shared" si="78"/>
        <v>10</v>
      </c>
      <c r="J1287">
        <f t="shared" si="80"/>
        <v>4.5359237000000006</v>
      </c>
      <c r="K1287">
        <v>0.22</v>
      </c>
      <c r="L1287">
        <f t="shared" si="81"/>
        <v>0.99790321400000015</v>
      </c>
    </row>
    <row r="1288" spans="1:12" x14ac:dyDescent="0.2">
      <c r="B1288" t="s">
        <v>48</v>
      </c>
      <c r="C1288" s="28">
        <v>1</v>
      </c>
      <c r="D1288">
        <v>1</v>
      </c>
      <c r="E1288">
        <v>10</v>
      </c>
      <c r="F1288" t="s">
        <v>310</v>
      </c>
      <c r="G1288" t="s">
        <v>829</v>
      </c>
      <c r="H1288" t="s">
        <v>1071</v>
      </c>
      <c r="I1288">
        <f t="shared" si="78"/>
        <v>10</v>
      </c>
      <c r="J1288">
        <f t="shared" si="80"/>
        <v>4.5359237000000006</v>
      </c>
      <c r="K1288">
        <v>0.22</v>
      </c>
      <c r="L1288">
        <f t="shared" si="81"/>
        <v>0.99790321400000015</v>
      </c>
    </row>
    <row r="1289" spans="1:12" x14ac:dyDescent="0.2">
      <c r="B1289" t="s">
        <v>48</v>
      </c>
      <c r="C1289" s="28">
        <v>1</v>
      </c>
      <c r="D1289">
        <v>1</v>
      </c>
      <c r="E1289">
        <v>10</v>
      </c>
      <c r="F1289" t="s">
        <v>310</v>
      </c>
      <c r="G1289" t="s">
        <v>829</v>
      </c>
      <c r="H1289" t="s">
        <v>1071</v>
      </c>
      <c r="I1289">
        <f t="shared" si="78"/>
        <v>10</v>
      </c>
      <c r="J1289">
        <f t="shared" si="80"/>
        <v>4.5359237000000006</v>
      </c>
      <c r="K1289">
        <v>0.22</v>
      </c>
      <c r="L1289">
        <f t="shared" si="81"/>
        <v>0.99790321400000015</v>
      </c>
    </row>
    <row r="1290" spans="1:12" x14ac:dyDescent="0.2">
      <c r="A1290" s="4">
        <v>43399</v>
      </c>
      <c r="B1290" t="s">
        <v>38</v>
      </c>
      <c r="C1290">
        <v>12</v>
      </c>
      <c r="D1290">
        <v>1</v>
      </c>
      <c r="E1290">
        <f>5*8.6</f>
        <v>43</v>
      </c>
      <c r="F1290" s="9" t="s">
        <v>39</v>
      </c>
      <c r="G1290" s="9" t="s">
        <v>774</v>
      </c>
      <c r="H1290" t="s">
        <v>1073</v>
      </c>
      <c r="I1290">
        <f t="shared" si="78"/>
        <v>516</v>
      </c>
      <c r="J1290">
        <f t="shared" si="80"/>
        <v>234.05366291999999</v>
      </c>
      <c r="K1290">
        <v>1.23</v>
      </c>
      <c r="L1290">
        <f t="shared" si="81"/>
        <v>287.88600539160001</v>
      </c>
    </row>
    <row r="1291" spans="1:12" x14ac:dyDescent="0.2">
      <c r="A1291" s="4">
        <v>43399</v>
      </c>
      <c r="B1291" t="s">
        <v>38</v>
      </c>
      <c r="C1291">
        <v>4</v>
      </c>
      <c r="D1291">
        <v>1</v>
      </c>
      <c r="E1291">
        <f>5*8.6</f>
        <v>43</v>
      </c>
      <c r="F1291" s="9" t="s">
        <v>40</v>
      </c>
      <c r="G1291" s="9" t="s">
        <v>774</v>
      </c>
      <c r="H1291" t="s">
        <v>1073</v>
      </c>
      <c r="I1291">
        <f t="shared" si="78"/>
        <v>172</v>
      </c>
      <c r="J1291">
        <f t="shared" si="80"/>
        <v>78.017887639999998</v>
      </c>
      <c r="K1291">
        <v>1.23</v>
      </c>
      <c r="L1291">
        <f t="shared" si="81"/>
        <v>95.962001797200003</v>
      </c>
    </row>
    <row r="1292" spans="1:12" x14ac:dyDescent="0.2">
      <c r="A1292" s="4">
        <v>43399</v>
      </c>
      <c r="B1292" t="s">
        <v>38</v>
      </c>
      <c r="C1292">
        <v>6</v>
      </c>
      <c r="D1292">
        <v>1</v>
      </c>
      <c r="E1292">
        <f>5*8.6</f>
        <v>43</v>
      </c>
      <c r="F1292" s="9" t="s">
        <v>46</v>
      </c>
      <c r="G1292" s="9" t="s">
        <v>774</v>
      </c>
      <c r="H1292" t="s">
        <v>1073</v>
      </c>
      <c r="I1292">
        <f t="shared" si="78"/>
        <v>258</v>
      </c>
      <c r="J1292">
        <f t="shared" si="80"/>
        <v>117.02683146</v>
      </c>
      <c r="K1292">
        <v>1.23</v>
      </c>
      <c r="L1292">
        <f t="shared" si="81"/>
        <v>143.9430026958</v>
      </c>
    </row>
    <row r="1293" spans="1:12" x14ac:dyDescent="0.2">
      <c r="A1293" s="4">
        <v>43399</v>
      </c>
      <c r="B1293" t="s">
        <v>38</v>
      </c>
      <c r="C1293">
        <v>6</v>
      </c>
      <c r="D1293">
        <v>1</v>
      </c>
      <c r="E1293">
        <f>5*8.6</f>
        <v>43</v>
      </c>
      <c r="F1293" s="9" t="s">
        <v>47</v>
      </c>
      <c r="G1293" s="9" t="s">
        <v>774</v>
      </c>
      <c r="H1293" t="s">
        <v>1073</v>
      </c>
      <c r="I1293">
        <f t="shared" si="78"/>
        <v>258</v>
      </c>
      <c r="J1293">
        <f t="shared" si="80"/>
        <v>117.02683146</v>
      </c>
      <c r="K1293">
        <v>1.23</v>
      </c>
      <c r="L1293">
        <f t="shared" si="81"/>
        <v>143.9430026958</v>
      </c>
    </row>
    <row r="1294" spans="1:12" x14ac:dyDescent="0.2">
      <c r="A1294" s="4">
        <v>43399</v>
      </c>
      <c r="B1294" t="s">
        <v>38</v>
      </c>
      <c r="C1294">
        <v>4</v>
      </c>
      <c r="D1294">
        <v>1</v>
      </c>
      <c r="E1294">
        <f>8.6</f>
        <v>8.6</v>
      </c>
      <c r="F1294" s="9" t="s">
        <v>45</v>
      </c>
      <c r="G1294" s="9" t="s">
        <v>774</v>
      </c>
      <c r="H1294" t="s">
        <v>1073</v>
      </c>
      <c r="I1294">
        <f t="shared" si="78"/>
        <v>34.4</v>
      </c>
      <c r="J1294">
        <f t="shared" si="80"/>
        <v>15.603577528000001</v>
      </c>
      <c r="K1294">
        <v>1.23</v>
      </c>
      <c r="L1294">
        <f t="shared" si="81"/>
        <v>19.192400359440001</v>
      </c>
    </row>
    <row r="1295" spans="1:12" x14ac:dyDescent="0.2">
      <c r="A1295" s="4">
        <v>43402</v>
      </c>
      <c r="B1295" t="s">
        <v>38</v>
      </c>
      <c r="C1295">
        <v>12</v>
      </c>
      <c r="D1295">
        <v>1</v>
      </c>
      <c r="E1295">
        <f>5*8.6</f>
        <v>43</v>
      </c>
      <c r="F1295" s="9" t="s">
        <v>39</v>
      </c>
      <c r="G1295" s="9" t="s">
        <v>774</v>
      </c>
      <c r="H1295" t="s">
        <v>1073</v>
      </c>
      <c r="I1295">
        <f t="shared" si="78"/>
        <v>516</v>
      </c>
      <c r="J1295">
        <f t="shared" si="80"/>
        <v>234.05366291999999</v>
      </c>
      <c r="K1295">
        <v>1.23</v>
      </c>
      <c r="L1295">
        <f t="shared" si="81"/>
        <v>287.88600539160001</v>
      </c>
    </row>
    <row r="1296" spans="1:12" x14ac:dyDescent="0.2">
      <c r="A1296" s="4">
        <v>43402</v>
      </c>
      <c r="B1296" t="s">
        <v>38</v>
      </c>
      <c r="C1296">
        <v>6</v>
      </c>
      <c r="D1296">
        <v>1</v>
      </c>
      <c r="E1296">
        <f>5*8.6</f>
        <v>43</v>
      </c>
      <c r="F1296" s="9" t="s">
        <v>40</v>
      </c>
      <c r="G1296" s="9" t="s">
        <v>774</v>
      </c>
      <c r="H1296" t="s">
        <v>1073</v>
      </c>
      <c r="I1296">
        <f t="shared" si="78"/>
        <v>258</v>
      </c>
      <c r="J1296">
        <f t="shared" si="80"/>
        <v>117.02683146</v>
      </c>
      <c r="K1296">
        <v>1.23</v>
      </c>
      <c r="L1296">
        <f t="shared" si="81"/>
        <v>143.9430026958</v>
      </c>
    </row>
    <row r="1297" spans="1:12" x14ac:dyDescent="0.2">
      <c r="A1297" s="4">
        <v>43402</v>
      </c>
      <c r="B1297" t="s">
        <v>38</v>
      </c>
      <c r="C1297">
        <v>6</v>
      </c>
      <c r="D1297">
        <v>1</v>
      </c>
      <c r="E1297">
        <f>5*8.6</f>
        <v>43</v>
      </c>
      <c r="F1297" s="9" t="s">
        <v>46</v>
      </c>
      <c r="G1297" s="9" t="s">
        <v>774</v>
      </c>
      <c r="H1297" t="s">
        <v>1073</v>
      </c>
      <c r="I1297">
        <f t="shared" si="78"/>
        <v>258</v>
      </c>
      <c r="J1297">
        <f t="shared" si="80"/>
        <v>117.02683146</v>
      </c>
      <c r="K1297">
        <v>1.23</v>
      </c>
      <c r="L1297">
        <f t="shared" si="81"/>
        <v>143.9430026958</v>
      </c>
    </row>
    <row r="1298" spans="1:12" x14ac:dyDescent="0.2">
      <c r="A1298" s="4">
        <v>43402</v>
      </c>
      <c r="B1298" t="s">
        <v>38</v>
      </c>
      <c r="C1298">
        <v>6</v>
      </c>
      <c r="D1298">
        <v>1</v>
      </c>
      <c r="E1298">
        <f>5*8.6</f>
        <v>43</v>
      </c>
      <c r="F1298" s="9" t="s">
        <v>47</v>
      </c>
      <c r="G1298" s="9" t="s">
        <v>774</v>
      </c>
      <c r="H1298" t="s">
        <v>1073</v>
      </c>
      <c r="I1298">
        <f t="shared" si="78"/>
        <v>258</v>
      </c>
      <c r="J1298">
        <f t="shared" si="80"/>
        <v>117.02683146</v>
      </c>
      <c r="K1298">
        <v>1.23</v>
      </c>
      <c r="L1298">
        <f t="shared" si="81"/>
        <v>143.9430026958</v>
      </c>
    </row>
    <row r="1299" spans="1:12" x14ac:dyDescent="0.2">
      <c r="A1299" s="4">
        <v>43402</v>
      </c>
      <c r="B1299" t="s">
        <v>38</v>
      </c>
      <c r="C1299">
        <v>4</v>
      </c>
      <c r="D1299">
        <v>1</v>
      </c>
      <c r="E1299">
        <v>8.6</v>
      </c>
      <c r="F1299" s="9" t="s">
        <v>45</v>
      </c>
      <c r="G1299" s="9" t="s">
        <v>774</v>
      </c>
      <c r="H1299" t="s">
        <v>1073</v>
      </c>
      <c r="I1299">
        <f t="shared" si="78"/>
        <v>34.4</v>
      </c>
      <c r="J1299">
        <f t="shared" si="80"/>
        <v>15.603577528000001</v>
      </c>
      <c r="K1299">
        <v>1.23</v>
      </c>
      <c r="L1299">
        <f t="shared" si="81"/>
        <v>19.192400359440001</v>
      </c>
    </row>
    <row r="1300" spans="1:12" x14ac:dyDescent="0.2">
      <c r="A1300" s="4">
        <v>43404</v>
      </c>
      <c r="B1300" t="s">
        <v>38</v>
      </c>
      <c r="C1300">
        <v>10</v>
      </c>
      <c r="D1300">
        <v>1</v>
      </c>
      <c r="E1300">
        <f>5*8.6</f>
        <v>43</v>
      </c>
      <c r="F1300" s="9" t="s">
        <v>39</v>
      </c>
      <c r="G1300" s="9" t="s">
        <v>774</v>
      </c>
      <c r="H1300" t="s">
        <v>1073</v>
      </c>
      <c r="I1300">
        <f t="shared" si="78"/>
        <v>430</v>
      </c>
      <c r="J1300">
        <f t="shared" si="80"/>
        <v>195.04471910000001</v>
      </c>
      <c r="K1300">
        <v>1.23</v>
      </c>
      <c r="L1300">
        <f t="shared" si="81"/>
        <v>239.90500449300001</v>
      </c>
    </row>
    <row r="1301" spans="1:12" x14ac:dyDescent="0.2">
      <c r="A1301" s="4">
        <v>43404</v>
      </c>
      <c r="B1301" t="s">
        <v>38</v>
      </c>
      <c r="C1301">
        <v>10</v>
      </c>
      <c r="D1301">
        <v>1</v>
      </c>
      <c r="E1301">
        <f>5*8.6</f>
        <v>43</v>
      </c>
      <c r="F1301" s="9" t="s">
        <v>40</v>
      </c>
      <c r="G1301" s="9" t="s">
        <v>774</v>
      </c>
      <c r="H1301" t="s">
        <v>1073</v>
      </c>
      <c r="I1301">
        <f t="shared" si="78"/>
        <v>430</v>
      </c>
      <c r="J1301">
        <f t="shared" si="80"/>
        <v>195.04471910000001</v>
      </c>
      <c r="K1301">
        <v>1.23</v>
      </c>
      <c r="L1301">
        <f t="shared" si="81"/>
        <v>239.90500449300001</v>
      </c>
    </row>
    <row r="1302" spans="1:12" x14ac:dyDescent="0.2">
      <c r="A1302" s="4">
        <v>43404</v>
      </c>
      <c r="B1302" t="s">
        <v>38</v>
      </c>
      <c r="C1302">
        <v>4</v>
      </c>
      <c r="D1302">
        <v>1</v>
      </c>
      <c r="E1302">
        <f>5*8.6</f>
        <v>43</v>
      </c>
      <c r="F1302" s="9" t="s">
        <v>47</v>
      </c>
      <c r="G1302" s="9" t="s">
        <v>774</v>
      </c>
      <c r="H1302" t="s">
        <v>1073</v>
      </c>
      <c r="I1302">
        <f t="shared" si="78"/>
        <v>172</v>
      </c>
      <c r="J1302">
        <f t="shared" si="80"/>
        <v>78.017887639999998</v>
      </c>
      <c r="K1302">
        <v>1.23</v>
      </c>
      <c r="L1302">
        <f t="shared" si="81"/>
        <v>95.962001797200003</v>
      </c>
    </row>
    <row r="1303" spans="1:12" x14ac:dyDescent="0.2">
      <c r="A1303" s="4">
        <v>43437</v>
      </c>
      <c r="B1303" t="s">
        <v>517</v>
      </c>
      <c r="C1303">
        <v>1</v>
      </c>
      <c r="D1303">
        <v>20</v>
      </c>
      <c r="E1303">
        <f>1/2</f>
        <v>0.5</v>
      </c>
      <c r="F1303" t="s">
        <v>465</v>
      </c>
      <c r="G1303" t="s">
        <v>774</v>
      </c>
      <c r="H1303" s="9" t="s">
        <v>1073</v>
      </c>
      <c r="I1303">
        <f t="shared" si="78"/>
        <v>10</v>
      </c>
      <c r="J1303">
        <f t="shared" si="80"/>
        <v>4.5359237000000006</v>
      </c>
      <c r="K1303">
        <v>1.23</v>
      </c>
      <c r="L1303">
        <f t="shared" si="81"/>
        <v>5.5791861510000009</v>
      </c>
    </row>
    <row r="1304" spans="1:12" x14ac:dyDescent="0.2">
      <c r="A1304" s="4">
        <v>43434</v>
      </c>
      <c r="B1304" t="s">
        <v>538</v>
      </c>
      <c r="C1304">
        <v>1</v>
      </c>
      <c r="D1304">
        <v>4</v>
      </c>
      <c r="E1304">
        <f>11.89</f>
        <v>11.89</v>
      </c>
      <c r="F1304" t="s">
        <v>547</v>
      </c>
      <c r="G1304" t="s">
        <v>865</v>
      </c>
      <c r="H1304" s="9" t="s">
        <v>1071</v>
      </c>
      <c r="I1304">
        <f t="shared" si="78"/>
        <v>47.56</v>
      </c>
      <c r="J1304">
        <f t="shared" si="80"/>
        <v>21.572853117200001</v>
      </c>
      <c r="K1304">
        <v>0.48799999999999999</v>
      </c>
      <c r="L1304">
        <f t="shared" si="81"/>
        <v>10.5275523211936</v>
      </c>
    </row>
    <row r="1305" spans="1:12" x14ac:dyDescent="0.2">
      <c r="A1305" s="28"/>
      <c r="B1305" t="s">
        <v>48</v>
      </c>
      <c r="C1305" s="28">
        <v>10</v>
      </c>
      <c r="D1305">
        <v>1</v>
      </c>
      <c r="E1305">
        <v>5</v>
      </c>
      <c r="F1305" t="s">
        <v>313</v>
      </c>
      <c r="G1305" t="s">
        <v>313</v>
      </c>
      <c r="H1305" t="s">
        <v>1071</v>
      </c>
      <c r="I1305">
        <f t="shared" si="78"/>
        <v>50</v>
      </c>
      <c r="J1305">
        <f t="shared" si="80"/>
        <v>22.6796185</v>
      </c>
      <c r="K1305">
        <v>3.093</v>
      </c>
      <c r="L1305">
        <f t="shared" si="81"/>
        <v>70.148060020499997</v>
      </c>
    </row>
    <row r="1306" spans="1:12" x14ac:dyDescent="0.2">
      <c r="B1306" t="s">
        <v>48</v>
      </c>
      <c r="C1306" s="28">
        <v>4</v>
      </c>
      <c r="D1306">
        <v>1</v>
      </c>
      <c r="E1306">
        <v>5</v>
      </c>
      <c r="F1306" t="s">
        <v>313</v>
      </c>
      <c r="G1306" t="s">
        <v>313</v>
      </c>
      <c r="H1306" t="s">
        <v>1071</v>
      </c>
      <c r="I1306">
        <f t="shared" si="78"/>
        <v>20</v>
      </c>
      <c r="J1306">
        <f t="shared" si="80"/>
        <v>9.0718474000000011</v>
      </c>
      <c r="K1306">
        <v>3.093</v>
      </c>
      <c r="L1306">
        <f t="shared" si="81"/>
        <v>28.059224008200005</v>
      </c>
    </row>
    <row r="1307" spans="1:12" x14ac:dyDescent="0.2">
      <c r="B1307" t="s">
        <v>48</v>
      </c>
      <c r="C1307" s="28">
        <v>10</v>
      </c>
      <c r="D1307">
        <v>1</v>
      </c>
      <c r="E1307">
        <v>5</v>
      </c>
      <c r="F1307" t="s">
        <v>313</v>
      </c>
      <c r="G1307" t="s">
        <v>313</v>
      </c>
      <c r="H1307" t="s">
        <v>1071</v>
      </c>
      <c r="I1307">
        <f t="shared" si="78"/>
        <v>50</v>
      </c>
      <c r="J1307">
        <f t="shared" si="80"/>
        <v>22.6796185</v>
      </c>
      <c r="K1307">
        <v>3.093</v>
      </c>
      <c r="L1307">
        <f t="shared" si="81"/>
        <v>70.148060020499997</v>
      </c>
    </row>
    <row r="1308" spans="1:12" x14ac:dyDescent="0.2">
      <c r="B1308" t="s">
        <v>48</v>
      </c>
      <c r="C1308" s="28">
        <v>8</v>
      </c>
      <c r="D1308">
        <v>1</v>
      </c>
      <c r="E1308">
        <v>5</v>
      </c>
      <c r="F1308" t="s">
        <v>313</v>
      </c>
      <c r="G1308" t="s">
        <v>313</v>
      </c>
      <c r="H1308" t="s">
        <v>1071</v>
      </c>
      <c r="I1308">
        <f t="shared" si="78"/>
        <v>40</v>
      </c>
      <c r="J1308">
        <f t="shared" si="80"/>
        <v>18.143694800000002</v>
      </c>
      <c r="K1308">
        <v>3.093</v>
      </c>
      <c r="L1308">
        <f t="shared" si="81"/>
        <v>56.118448016400009</v>
      </c>
    </row>
    <row r="1309" spans="1:12" x14ac:dyDescent="0.2">
      <c r="B1309" t="s">
        <v>48</v>
      </c>
      <c r="C1309" s="28">
        <v>10</v>
      </c>
      <c r="D1309">
        <v>1</v>
      </c>
      <c r="E1309">
        <v>5</v>
      </c>
      <c r="F1309" t="s">
        <v>313</v>
      </c>
      <c r="G1309" t="s">
        <v>313</v>
      </c>
      <c r="H1309" t="s">
        <v>1071</v>
      </c>
      <c r="I1309">
        <f t="shared" si="78"/>
        <v>50</v>
      </c>
      <c r="J1309">
        <f t="shared" si="80"/>
        <v>22.6796185</v>
      </c>
      <c r="K1309">
        <v>3.093</v>
      </c>
      <c r="L1309">
        <f t="shared" si="81"/>
        <v>70.148060020499997</v>
      </c>
    </row>
    <row r="1310" spans="1:12" x14ac:dyDescent="0.2">
      <c r="B1310" t="s">
        <v>48</v>
      </c>
      <c r="C1310" s="28">
        <v>10</v>
      </c>
      <c r="D1310">
        <v>1</v>
      </c>
      <c r="E1310">
        <v>5</v>
      </c>
      <c r="F1310" t="s">
        <v>313</v>
      </c>
      <c r="G1310" t="s">
        <v>313</v>
      </c>
      <c r="H1310" t="s">
        <v>1071</v>
      </c>
      <c r="I1310">
        <f t="shared" si="78"/>
        <v>50</v>
      </c>
      <c r="J1310">
        <f t="shared" si="80"/>
        <v>22.6796185</v>
      </c>
      <c r="K1310">
        <v>3.093</v>
      </c>
      <c r="L1310">
        <f t="shared" si="81"/>
        <v>70.148060020499997</v>
      </c>
    </row>
    <row r="1311" spans="1:12" x14ac:dyDescent="0.2">
      <c r="B1311" t="s">
        <v>48</v>
      </c>
      <c r="C1311" s="28">
        <v>10</v>
      </c>
      <c r="D1311">
        <v>1</v>
      </c>
      <c r="E1311">
        <v>5</v>
      </c>
      <c r="F1311" t="s">
        <v>368</v>
      </c>
      <c r="G1311" t="s">
        <v>313</v>
      </c>
      <c r="H1311" t="s">
        <v>1071</v>
      </c>
      <c r="I1311">
        <f t="shared" si="78"/>
        <v>50</v>
      </c>
      <c r="J1311">
        <f t="shared" si="80"/>
        <v>22.6796185</v>
      </c>
      <c r="K1311">
        <v>3.093</v>
      </c>
      <c r="L1311">
        <f t="shared" si="81"/>
        <v>70.148060020499997</v>
      </c>
    </row>
    <row r="1312" spans="1:12" x14ac:dyDescent="0.2">
      <c r="A1312" s="4">
        <v>43437</v>
      </c>
      <c r="B1312" t="s">
        <v>538</v>
      </c>
      <c r="C1312">
        <v>3</v>
      </c>
      <c r="D1312">
        <v>4</v>
      </c>
      <c r="E1312">
        <v>5</v>
      </c>
      <c r="F1312" t="s">
        <v>586</v>
      </c>
      <c r="G1312" s="6" t="s">
        <v>876</v>
      </c>
      <c r="H1312" s="9" t="s">
        <v>1071</v>
      </c>
      <c r="I1312">
        <f t="shared" si="78"/>
        <v>60</v>
      </c>
      <c r="J1312">
        <f t="shared" si="80"/>
        <v>27.215542200000002</v>
      </c>
      <c r="K1312">
        <v>5.99</v>
      </c>
      <c r="L1312">
        <f t="shared" si="81"/>
        <v>163.02109777800001</v>
      </c>
    </row>
    <row r="1313" spans="1:12" x14ac:dyDescent="0.2">
      <c r="A1313" s="4">
        <v>43439</v>
      </c>
      <c r="B1313" t="s">
        <v>538</v>
      </c>
      <c r="C1313">
        <v>3</v>
      </c>
      <c r="D1313">
        <v>4</v>
      </c>
      <c r="E1313">
        <v>5</v>
      </c>
      <c r="F1313" t="s">
        <v>586</v>
      </c>
      <c r="G1313" s="6" t="s">
        <v>876</v>
      </c>
      <c r="H1313" s="9" t="s">
        <v>1071</v>
      </c>
      <c r="I1313">
        <f t="shared" si="78"/>
        <v>60</v>
      </c>
      <c r="J1313">
        <f t="shared" si="80"/>
        <v>27.215542200000002</v>
      </c>
      <c r="K1313">
        <v>5.99</v>
      </c>
      <c r="L1313">
        <f t="shared" si="81"/>
        <v>163.02109777800001</v>
      </c>
    </row>
    <row r="1314" spans="1:12" x14ac:dyDescent="0.2">
      <c r="A1314" s="4">
        <v>43437</v>
      </c>
      <c r="B1314" t="s">
        <v>531</v>
      </c>
      <c r="C1314">
        <v>3</v>
      </c>
      <c r="D1314">
        <v>4</v>
      </c>
      <c r="E1314">
        <v>5</v>
      </c>
      <c r="F1314" t="s">
        <v>418</v>
      </c>
      <c r="G1314" s="6" t="s">
        <v>876</v>
      </c>
      <c r="H1314" s="9" t="s">
        <v>1071</v>
      </c>
      <c r="I1314">
        <f t="shared" si="78"/>
        <v>60</v>
      </c>
      <c r="J1314">
        <f t="shared" si="80"/>
        <v>27.215542200000002</v>
      </c>
      <c r="K1314" s="6">
        <v>5.99</v>
      </c>
      <c r="L1314">
        <f t="shared" si="81"/>
        <v>163.02109777800001</v>
      </c>
    </row>
    <row r="1315" spans="1:12" x14ac:dyDescent="0.2">
      <c r="A1315" s="4">
        <v>43437</v>
      </c>
      <c r="B1315" t="s">
        <v>538</v>
      </c>
      <c r="C1315">
        <v>6</v>
      </c>
      <c r="D1315">
        <v>4</v>
      </c>
      <c r="E1315">
        <v>7.9</v>
      </c>
      <c r="F1315" t="s">
        <v>455</v>
      </c>
      <c r="G1315" t="s">
        <v>867</v>
      </c>
      <c r="H1315" s="9" t="s">
        <v>1071</v>
      </c>
      <c r="I1315">
        <f t="shared" si="78"/>
        <v>189.60000000000002</v>
      </c>
      <c r="J1315">
        <f t="shared" si="80"/>
        <v>86.001113352000019</v>
      </c>
      <c r="K1315">
        <v>2.6459999999999999</v>
      </c>
      <c r="L1315">
        <f t="shared" si="81"/>
        <v>227.55894592939205</v>
      </c>
    </row>
    <row r="1316" spans="1:12" x14ac:dyDescent="0.2">
      <c r="A1316" s="4">
        <v>43439</v>
      </c>
      <c r="B1316" t="s">
        <v>538</v>
      </c>
      <c r="C1316">
        <v>3</v>
      </c>
      <c r="D1316">
        <v>1</v>
      </c>
      <c r="E1316">
        <v>35</v>
      </c>
      <c r="F1316" t="s">
        <v>441</v>
      </c>
      <c r="G1316" t="s">
        <v>867</v>
      </c>
      <c r="H1316" s="9" t="s">
        <v>1071</v>
      </c>
      <c r="I1316">
        <f t="shared" si="78"/>
        <v>105</v>
      </c>
      <c r="J1316">
        <f t="shared" si="80"/>
        <v>47.627198849999999</v>
      </c>
      <c r="K1316">
        <v>2.6459999999999999</v>
      </c>
      <c r="L1316">
        <f t="shared" si="81"/>
        <v>126.02156815709999</v>
      </c>
    </row>
    <row r="1317" spans="1:12" x14ac:dyDescent="0.2">
      <c r="A1317" s="4">
        <v>43439</v>
      </c>
      <c r="B1317" t="s">
        <v>538</v>
      </c>
      <c r="C1317">
        <v>6</v>
      </c>
      <c r="D1317">
        <v>4</v>
      </c>
      <c r="E1317">
        <v>7.9</v>
      </c>
      <c r="F1317" t="s">
        <v>455</v>
      </c>
      <c r="G1317" t="s">
        <v>867</v>
      </c>
      <c r="H1317" s="9" t="s">
        <v>1071</v>
      </c>
      <c r="I1317">
        <f t="shared" si="78"/>
        <v>189.60000000000002</v>
      </c>
      <c r="J1317">
        <f t="shared" si="80"/>
        <v>86.001113352000019</v>
      </c>
      <c r="K1317">
        <v>2.6459999999999999</v>
      </c>
      <c r="L1317">
        <f t="shared" si="81"/>
        <v>227.55894592939205</v>
      </c>
    </row>
    <row r="1318" spans="1:12" x14ac:dyDescent="0.2">
      <c r="A1318" s="4">
        <v>43434</v>
      </c>
      <c r="B1318" t="s">
        <v>538</v>
      </c>
      <c r="C1318">
        <v>6</v>
      </c>
      <c r="D1318">
        <v>4</v>
      </c>
      <c r="E1318">
        <v>7.9</v>
      </c>
      <c r="F1318" t="s">
        <v>455</v>
      </c>
      <c r="G1318" t="s">
        <v>867</v>
      </c>
      <c r="H1318" s="9" t="s">
        <v>1071</v>
      </c>
      <c r="I1318">
        <f t="shared" si="78"/>
        <v>189.60000000000002</v>
      </c>
      <c r="J1318">
        <f t="shared" si="80"/>
        <v>86.001113352000019</v>
      </c>
      <c r="K1318">
        <v>2.6459999999999999</v>
      </c>
      <c r="L1318">
        <f t="shared" si="81"/>
        <v>227.55894592939205</v>
      </c>
    </row>
    <row r="1319" spans="1:12" x14ac:dyDescent="0.2">
      <c r="A1319" s="4">
        <v>43439</v>
      </c>
      <c r="B1319" t="s">
        <v>538</v>
      </c>
      <c r="C1319">
        <v>1</v>
      </c>
      <c r="D1319">
        <v>6</v>
      </c>
      <c r="E1319">
        <v>10</v>
      </c>
      <c r="F1319" t="s">
        <v>445</v>
      </c>
      <c r="G1319" t="s">
        <v>883</v>
      </c>
      <c r="H1319" s="9" t="s">
        <v>1071</v>
      </c>
      <c r="I1319">
        <f t="shared" si="78"/>
        <v>60</v>
      </c>
      <c r="J1319">
        <f t="shared" si="80"/>
        <v>27.215542200000002</v>
      </c>
      <c r="K1319">
        <v>3.206</v>
      </c>
      <c r="L1319">
        <f t="shared" si="81"/>
        <v>87.253028293200003</v>
      </c>
    </row>
    <row r="1320" spans="1:12" x14ac:dyDescent="0.2">
      <c r="A1320" s="28"/>
      <c r="B1320" t="s">
        <v>48</v>
      </c>
      <c r="C1320" s="28">
        <v>3</v>
      </c>
      <c r="D1320">
        <v>1</v>
      </c>
      <c r="E1320">
        <v>20</v>
      </c>
      <c r="F1320" t="s">
        <v>326</v>
      </c>
      <c r="G1320" t="s">
        <v>790</v>
      </c>
      <c r="H1320" t="s">
        <v>1071</v>
      </c>
      <c r="I1320">
        <f t="shared" si="78"/>
        <v>60</v>
      </c>
      <c r="J1320">
        <f t="shared" si="80"/>
        <v>27.215542200000002</v>
      </c>
      <c r="K1320">
        <v>0.26900000000000002</v>
      </c>
      <c r="L1320">
        <f t="shared" si="81"/>
        <v>7.3209808518000008</v>
      </c>
    </row>
    <row r="1321" spans="1:12" x14ac:dyDescent="0.2">
      <c r="B1321" t="s">
        <v>48</v>
      </c>
      <c r="C1321" s="28">
        <v>1</v>
      </c>
      <c r="D1321">
        <v>1</v>
      </c>
      <c r="E1321">
        <v>20</v>
      </c>
      <c r="F1321" t="s">
        <v>326</v>
      </c>
      <c r="G1321" t="s">
        <v>790</v>
      </c>
      <c r="H1321" t="s">
        <v>1071</v>
      </c>
      <c r="I1321">
        <f t="shared" si="78"/>
        <v>20</v>
      </c>
      <c r="J1321">
        <f t="shared" si="80"/>
        <v>9.0718474000000011</v>
      </c>
      <c r="K1321">
        <v>0.26900000000000002</v>
      </c>
      <c r="L1321">
        <f t="shared" si="81"/>
        <v>2.4403269506000003</v>
      </c>
    </row>
    <row r="1322" spans="1:12" x14ac:dyDescent="0.2">
      <c r="B1322" t="s">
        <v>48</v>
      </c>
      <c r="C1322" s="28">
        <v>1</v>
      </c>
      <c r="D1322">
        <v>1</v>
      </c>
      <c r="E1322">
        <v>20</v>
      </c>
      <c r="F1322" t="s">
        <v>326</v>
      </c>
      <c r="G1322" t="s">
        <v>790</v>
      </c>
      <c r="H1322" t="s">
        <v>1071</v>
      </c>
      <c r="I1322">
        <f t="shared" si="78"/>
        <v>20</v>
      </c>
      <c r="J1322">
        <f t="shared" si="80"/>
        <v>9.0718474000000011</v>
      </c>
      <c r="K1322">
        <v>0.26900000000000002</v>
      </c>
      <c r="L1322">
        <f t="shared" si="81"/>
        <v>2.4403269506000003</v>
      </c>
    </row>
    <row r="1323" spans="1:12" x14ac:dyDescent="0.2">
      <c r="B1323" t="s">
        <v>48</v>
      </c>
      <c r="C1323" s="28">
        <v>1</v>
      </c>
      <c r="D1323">
        <v>1</v>
      </c>
      <c r="E1323">
        <v>25</v>
      </c>
      <c r="F1323" t="s">
        <v>340</v>
      </c>
      <c r="G1323" t="s">
        <v>790</v>
      </c>
      <c r="H1323" t="s">
        <v>1071</v>
      </c>
      <c r="I1323">
        <f t="shared" si="78"/>
        <v>25</v>
      </c>
      <c r="J1323">
        <f t="shared" si="80"/>
        <v>11.33980925</v>
      </c>
      <c r="K1323">
        <v>0.26900000000000002</v>
      </c>
      <c r="L1323">
        <f t="shared" si="81"/>
        <v>3.0504086882500001</v>
      </c>
    </row>
    <row r="1324" spans="1:12" x14ac:dyDescent="0.2">
      <c r="B1324" t="s">
        <v>48</v>
      </c>
      <c r="C1324" s="28">
        <v>1</v>
      </c>
      <c r="D1324">
        <v>1</v>
      </c>
      <c r="E1324">
        <v>25</v>
      </c>
      <c r="F1324" t="s">
        <v>340</v>
      </c>
      <c r="G1324" t="s">
        <v>790</v>
      </c>
      <c r="H1324" t="s">
        <v>1071</v>
      </c>
      <c r="I1324">
        <f t="shared" si="78"/>
        <v>25</v>
      </c>
      <c r="J1324">
        <f t="shared" si="80"/>
        <v>11.33980925</v>
      </c>
      <c r="K1324">
        <v>0.26900000000000002</v>
      </c>
      <c r="L1324">
        <f t="shared" si="81"/>
        <v>3.0504086882500001</v>
      </c>
    </row>
    <row r="1325" spans="1:12" x14ac:dyDescent="0.2">
      <c r="B1325" t="s">
        <v>48</v>
      </c>
      <c r="C1325" s="28">
        <v>1</v>
      </c>
      <c r="D1325">
        <v>1</v>
      </c>
      <c r="E1325">
        <v>25</v>
      </c>
      <c r="F1325" t="s">
        <v>340</v>
      </c>
      <c r="G1325" t="s">
        <v>790</v>
      </c>
      <c r="H1325" t="s">
        <v>1071</v>
      </c>
      <c r="I1325">
        <f t="shared" si="78"/>
        <v>25</v>
      </c>
      <c r="J1325">
        <f t="shared" si="80"/>
        <v>11.33980925</v>
      </c>
      <c r="K1325">
        <v>0.26900000000000002</v>
      </c>
      <c r="L1325">
        <f t="shared" si="81"/>
        <v>3.0504086882500001</v>
      </c>
    </row>
    <row r="1326" spans="1:12" x14ac:dyDescent="0.2">
      <c r="B1326" t="s">
        <v>48</v>
      </c>
      <c r="C1326" s="28">
        <v>1</v>
      </c>
      <c r="D1326">
        <v>1</v>
      </c>
      <c r="E1326">
        <v>25</v>
      </c>
      <c r="F1326" t="s">
        <v>340</v>
      </c>
      <c r="G1326" t="s">
        <v>790</v>
      </c>
      <c r="H1326" t="s">
        <v>1071</v>
      </c>
      <c r="I1326">
        <f t="shared" si="78"/>
        <v>25</v>
      </c>
      <c r="J1326">
        <f t="shared" si="80"/>
        <v>11.33980925</v>
      </c>
      <c r="K1326">
        <v>0.26900000000000002</v>
      </c>
      <c r="L1326">
        <f t="shared" si="81"/>
        <v>3.0504086882500001</v>
      </c>
    </row>
    <row r="1327" spans="1:12" x14ac:dyDescent="0.2">
      <c r="B1327" t="s">
        <v>48</v>
      </c>
      <c r="C1327" s="28">
        <v>1</v>
      </c>
      <c r="D1327">
        <v>1</v>
      </c>
      <c r="E1327">
        <v>25</v>
      </c>
      <c r="F1327" t="s">
        <v>369</v>
      </c>
      <c r="G1327" t="s">
        <v>790</v>
      </c>
      <c r="H1327" t="s">
        <v>1071</v>
      </c>
      <c r="I1327">
        <f t="shared" si="78"/>
        <v>25</v>
      </c>
      <c r="J1327">
        <f t="shared" si="80"/>
        <v>11.33980925</v>
      </c>
      <c r="K1327">
        <v>0.26900000000000002</v>
      </c>
      <c r="L1327">
        <f t="shared" si="81"/>
        <v>3.0504086882500001</v>
      </c>
    </row>
    <row r="1328" spans="1:12" x14ac:dyDescent="0.2">
      <c r="A1328" s="28"/>
      <c r="B1328" t="s">
        <v>48</v>
      </c>
      <c r="C1328" s="28">
        <v>2</v>
      </c>
      <c r="D1328">
        <v>1</v>
      </c>
      <c r="E1328">
        <v>50</v>
      </c>
      <c r="F1328" t="s">
        <v>315</v>
      </c>
      <c r="G1328" t="s">
        <v>790</v>
      </c>
      <c r="H1328" t="s">
        <v>1071</v>
      </c>
      <c r="I1328">
        <f t="shared" si="78"/>
        <v>100</v>
      </c>
      <c r="J1328">
        <f t="shared" si="80"/>
        <v>45.359237</v>
      </c>
      <c r="K1328">
        <v>0.26900000000000002</v>
      </c>
      <c r="L1328">
        <f t="shared" si="81"/>
        <v>12.201634753</v>
      </c>
    </row>
    <row r="1329" spans="1:12" x14ac:dyDescent="0.2">
      <c r="B1329" t="s">
        <v>48</v>
      </c>
      <c r="C1329" s="28">
        <v>1</v>
      </c>
      <c r="D1329">
        <v>1</v>
      </c>
      <c r="E1329">
        <v>50</v>
      </c>
      <c r="F1329" t="s">
        <v>315</v>
      </c>
      <c r="G1329" t="s">
        <v>790</v>
      </c>
      <c r="H1329" t="s">
        <v>1071</v>
      </c>
      <c r="I1329">
        <f t="shared" si="78"/>
        <v>50</v>
      </c>
      <c r="J1329">
        <f t="shared" si="80"/>
        <v>22.6796185</v>
      </c>
      <c r="K1329">
        <v>0.26900000000000002</v>
      </c>
      <c r="L1329">
        <f t="shared" si="81"/>
        <v>6.1008173765000002</v>
      </c>
    </row>
    <row r="1330" spans="1:12" x14ac:dyDescent="0.2">
      <c r="B1330" t="s">
        <v>48</v>
      </c>
      <c r="C1330" s="28">
        <v>2</v>
      </c>
      <c r="D1330">
        <v>1</v>
      </c>
      <c r="E1330">
        <v>50</v>
      </c>
      <c r="F1330" t="s">
        <v>315</v>
      </c>
      <c r="G1330" t="s">
        <v>790</v>
      </c>
      <c r="H1330" t="s">
        <v>1071</v>
      </c>
      <c r="I1330">
        <f t="shared" si="78"/>
        <v>100</v>
      </c>
      <c r="J1330">
        <f t="shared" si="80"/>
        <v>45.359237</v>
      </c>
      <c r="K1330">
        <v>0.26900000000000002</v>
      </c>
      <c r="L1330">
        <f t="shared" si="81"/>
        <v>12.201634753</v>
      </c>
    </row>
    <row r="1331" spans="1:12" x14ac:dyDescent="0.2">
      <c r="B1331" t="s">
        <v>48</v>
      </c>
      <c r="C1331" s="28">
        <v>2</v>
      </c>
      <c r="D1331">
        <v>1</v>
      </c>
      <c r="E1331">
        <v>50</v>
      </c>
      <c r="F1331" t="s">
        <v>315</v>
      </c>
      <c r="G1331" t="s">
        <v>790</v>
      </c>
      <c r="H1331" t="s">
        <v>1071</v>
      </c>
      <c r="I1331">
        <f t="shared" si="78"/>
        <v>100</v>
      </c>
      <c r="J1331">
        <f t="shared" si="80"/>
        <v>45.359237</v>
      </c>
      <c r="K1331">
        <v>0.26900000000000002</v>
      </c>
      <c r="L1331">
        <f t="shared" si="81"/>
        <v>12.201634753</v>
      </c>
    </row>
    <row r="1332" spans="1:12" x14ac:dyDescent="0.2">
      <c r="B1332" t="s">
        <v>48</v>
      </c>
      <c r="C1332" s="28">
        <v>2</v>
      </c>
      <c r="D1332">
        <v>1</v>
      </c>
      <c r="E1332">
        <v>50</v>
      </c>
      <c r="F1332" t="s">
        <v>315</v>
      </c>
      <c r="G1332" t="s">
        <v>790</v>
      </c>
      <c r="H1332" t="s">
        <v>1071</v>
      </c>
      <c r="I1332">
        <f t="shared" si="78"/>
        <v>100</v>
      </c>
      <c r="J1332">
        <f t="shared" si="80"/>
        <v>45.359237</v>
      </c>
      <c r="K1332">
        <v>0.26900000000000002</v>
      </c>
      <c r="L1332">
        <f t="shared" si="81"/>
        <v>12.201634753</v>
      </c>
    </row>
    <row r="1333" spans="1:12" x14ac:dyDescent="0.2">
      <c r="B1333" t="s">
        <v>48</v>
      </c>
      <c r="C1333" s="28">
        <v>1</v>
      </c>
      <c r="D1333">
        <v>1</v>
      </c>
      <c r="E1333">
        <v>20</v>
      </c>
      <c r="F1333" t="s">
        <v>326</v>
      </c>
      <c r="G1333" t="s">
        <v>790</v>
      </c>
      <c r="H1333" t="s">
        <v>1071</v>
      </c>
      <c r="I1333">
        <f t="shared" si="78"/>
        <v>20</v>
      </c>
      <c r="J1333">
        <f t="shared" si="80"/>
        <v>9.0718474000000011</v>
      </c>
      <c r="K1333">
        <v>0.26900000000000002</v>
      </c>
      <c r="L1333">
        <f t="shared" si="81"/>
        <v>2.4403269506000003</v>
      </c>
    </row>
    <row r="1334" spans="1:12" x14ac:dyDescent="0.2">
      <c r="B1334" t="s">
        <v>48</v>
      </c>
      <c r="C1334" s="28">
        <v>1</v>
      </c>
      <c r="D1334">
        <v>1</v>
      </c>
      <c r="E1334">
        <v>50</v>
      </c>
      <c r="F1334" t="s">
        <v>370</v>
      </c>
      <c r="G1334" t="s">
        <v>790</v>
      </c>
      <c r="H1334" t="s">
        <v>1071</v>
      </c>
      <c r="I1334">
        <f t="shared" ref="I1334:I1397" si="82">C1334*D1334*E1334</f>
        <v>50</v>
      </c>
      <c r="J1334">
        <f t="shared" si="80"/>
        <v>22.6796185</v>
      </c>
      <c r="K1334">
        <v>0.26900000000000002</v>
      </c>
      <c r="L1334">
        <f t="shared" si="81"/>
        <v>6.1008173765000002</v>
      </c>
    </row>
    <row r="1335" spans="1:12" x14ac:dyDescent="0.2">
      <c r="B1335" t="s">
        <v>48</v>
      </c>
      <c r="C1335" s="28">
        <v>2</v>
      </c>
      <c r="D1335">
        <v>1</v>
      </c>
      <c r="E1335">
        <v>20</v>
      </c>
      <c r="F1335" t="s">
        <v>189</v>
      </c>
      <c r="G1335" t="s">
        <v>790</v>
      </c>
      <c r="H1335" t="s">
        <v>1071</v>
      </c>
      <c r="I1335">
        <f t="shared" si="82"/>
        <v>40</v>
      </c>
      <c r="J1335">
        <f t="shared" si="80"/>
        <v>18.143694800000002</v>
      </c>
      <c r="K1335">
        <v>0.26900000000000002</v>
      </c>
      <c r="L1335">
        <f t="shared" si="81"/>
        <v>4.8806539012000005</v>
      </c>
    </row>
    <row r="1336" spans="1:12" x14ac:dyDescent="0.2">
      <c r="A1336" s="28"/>
      <c r="B1336" t="s">
        <v>48</v>
      </c>
      <c r="C1336" s="28">
        <v>1</v>
      </c>
      <c r="D1336">
        <v>1</v>
      </c>
      <c r="E1336">
        <f>24/16</f>
        <v>1.5</v>
      </c>
      <c r="F1336" t="s">
        <v>314</v>
      </c>
      <c r="G1336" t="s">
        <v>804</v>
      </c>
      <c r="H1336" t="s">
        <v>1071</v>
      </c>
      <c r="I1336">
        <f t="shared" si="82"/>
        <v>1.5</v>
      </c>
      <c r="J1336">
        <f t="shared" si="80"/>
        <v>0.68038855500000006</v>
      </c>
      <c r="K1336">
        <v>8.5000000000000006E-2</v>
      </c>
      <c r="L1336">
        <f t="shared" si="81"/>
        <v>5.783302717500001E-2</v>
      </c>
    </row>
    <row r="1337" spans="1:12" x14ac:dyDescent="0.2">
      <c r="B1337" t="s">
        <v>48</v>
      </c>
      <c r="C1337" s="28">
        <v>1</v>
      </c>
      <c r="D1337">
        <v>1</v>
      </c>
      <c r="E1337">
        <f>24/16</f>
        <v>1.5</v>
      </c>
      <c r="F1337" t="s">
        <v>314</v>
      </c>
      <c r="G1337" t="s">
        <v>824</v>
      </c>
      <c r="H1337" t="s">
        <v>1071</v>
      </c>
      <c r="I1337">
        <f t="shared" si="82"/>
        <v>1.5</v>
      </c>
      <c r="J1337">
        <f t="shared" si="80"/>
        <v>0.68038855500000006</v>
      </c>
      <c r="K1337">
        <v>8.5000000000000006E-2</v>
      </c>
      <c r="L1337">
        <f t="shared" si="81"/>
        <v>5.783302717500001E-2</v>
      </c>
    </row>
    <row r="1338" spans="1:12" x14ac:dyDescent="0.2">
      <c r="B1338" t="s">
        <v>48</v>
      </c>
      <c r="C1338" s="28">
        <v>2</v>
      </c>
      <c r="D1338">
        <v>1</v>
      </c>
      <c r="E1338">
        <f>24/16</f>
        <v>1.5</v>
      </c>
      <c r="F1338" t="s">
        <v>314</v>
      </c>
      <c r="G1338" t="s">
        <v>824</v>
      </c>
      <c r="H1338" t="s">
        <v>1071</v>
      </c>
      <c r="I1338">
        <f t="shared" si="82"/>
        <v>3</v>
      </c>
      <c r="J1338">
        <f t="shared" si="80"/>
        <v>1.3607771100000001</v>
      </c>
      <c r="K1338">
        <v>8.5000000000000006E-2</v>
      </c>
      <c r="L1338">
        <f t="shared" si="81"/>
        <v>0.11566605435000002</v>
      </c>
    </row>
    <row r="1339" spans="1:12" x14ac:dyDescent="0.2">
      <c r="A1339" s="4">
        <v>43400</v>
      </c>
      <c r="B1339" t="s">
        <v>48</v>
      </c>
      <c r="C1339" s="28">
        <v>28</v>
      </c>
      <c r="D1339">
        <v>1</v>
      </c>
      <c r="E1339">
        <f t="shared" ref="E1339:E1344" si="83">88*0.288806</f>
        <v>25.414928</v>
      </c>
      <c r="F1339" t="s">
        <v>55</v>
      </c>
      <c r="G1339" t="s">
        <v>55</v>
      </c>
      <c r="H1339" t="s">
        <v>1071</v>
      </c>
      <c r="I1339">
        <f t="shared" si="82"/>
        <v>711.61798399999998</v>
      </c>
      <c r="J1339">
        <f t="shared" si="80"/>
        <v>322.78448789718209</v>
      </c>
      <c r="K1339">
        <v>0.29399999999999998</v>
      </c>
      <c r="L1339">
        <f t="shared" si="81"/>
        <v>94.898639441771522</v>
      </c>
    </row>
    <row r="1340" spans="1:12" x14ac:dyDescent="0.2">
      <c r="A1340" s="4">
        <v>43402</v>
      </c>
      <c r="B1340" t="s">
        <v>48</v>
      </c>
      <c r="C1340" s="28">
        <v>25</v>
      </c>
      <c r="D1340">
        <v>1</v>
      </c>
      <c r="E1340">
        <f t="shared" si="83"/>
        <v>25.414928</v>
      </c>
      <c r="F1340" t="s">
        <v>55</v>
      </c>
      <c r="G1340" t="s">
        <v>55</v>
      </c>
      <c r="H1340" t="s">
        <v>1071</v>
      </c>
      <c r="I1340">
        <f t="shared" si="82"/>
        <v>635.3732</v>
      </c>
      <c r="J1340">
        <f t="shared" si="80"/>
        <v>288.20043562248401</v>
      </c>
      <c r="K1340">
        <v>0.29399999999999998</v>
      </c>
      <c r="L1340">
        <f t="shared" si="81"/>
        <v>84.73092807301029</v>
      </c>
    </row>
    <row r="1341" spans="1:12" x14ac:dyDescent="0.2">
      <c r="A1341" s="4">
        <v>43403</v>
      </c>
      <c r="B1341" t="s">
        <v>48</v>
      </c>
      <c r="C1341" s="28">
        <v>25</v>
      </c>
      <c r="D1341">
        <v>1</v>
      </c>
      <c r="E1341">
        <f t="shared" si="83"/>
        <v>25.414928</v>
      </c>
      <c r="F1341" t="s">
        <v>55</v>
      </c>
      <c r="G1341" t="s">
        <v>55</v>
      </c>
      <c r="H1341" t="s">
        <v>1071</v>
      </c>
      <c r="I1341">
        <f t="shared" si="82"/>
        <v>635.3732</v>
      </c>
      <c r="J1341">
        <f t="shared" si="80"/>
        <v>288.20043562248401</v>
      </c>
      <c r="K1341">
        <v>0.29399999999999998</v>
      </c>
      <c r="L1341">
        <f t="shared" si="81"/>
        <v>84.73092807301029</v>
      </c>
    </row>
    <row r="1342" spans="1:12" x14ac:dyDescent="0.2">
      <c r="A1342" s="4">
        <v>43404</v>
      </c>
      <c r="B1342" t="s">
        <v>48</v>
      </c>
      <c r="C1342" s="28">
        <v>17</v>
      </c>
      <c r="D1342">
        <v>1</v>
      </c>
      <c r="E1342">
        <f t="shared" si="83"/>
        <v>25.414928</v>
      </c>
      <c r="F1342" t="s">
        <v>55</v>
      </c>
      <c r="G1342" t="s">
        <v>55</v>
      </c>
      <c r="H1342" t="s">
        <v>1071</v>
      </c>
      <c r="I1342">
        <f t="shared" si="82"/>
        <v>432.05377599999997</v>
      </c>
      <c r="J1342">
        <f t="shared" si="80"/>
        <v>195.9762962232891</v>
      </c>
      <c r="K1342">
        <v>0.29399999999999998</v>
      </c>
      <c r="L1342">
        <f t="shared" si="81"/>
        <v>57.617031089646993</v>
      </c>
    </row>
    <row r="1343" spans="1:12" x14ac:dyDescent="0.2">
      <c r="A1343" s="4">
        <v>43405</v>
      </c>
      <c r="B1343" t="s">
        <v>48</v>
      </c>
      <c r="C1343" s="28">
        <v>16</v>
      </c>
      <c r="D1343">
        <v>1</v>
      </c>
      <c r="E1343">
        <f t="shared" si="83"/>
        <v>25.414928</v>
      </c>
      <c r="F1343" t="s">
        <v>55</v>
      </c>
      <c r="G1343" t="s">
        <v>55</v>
      </c>
      <c r="H1343" t="s">
        <v>1071</v>
      </c>
      <c r="I1343">
        <f t="shared" si="82"/>
        <v>406.638848</v>
      </c>
      <c r="J1343">
        <f t="shared" si="80"/>
        <v>184.44827879838977</v>
      </c>
      <c r="K1343">
        <v>0.29399999999999998</v>
      </c>
      <c r="L1343">
        <f t="shared" si="81"/>
        <v>54.227793966726587</v>
      </c>
    </row>
    <row r="1344" spans="1:12" x14ac:dyDescent="0.2">
      <c r="A1344" s="10">
        <v>43399</v>
      </c>
      <c r="B1344" s="8" t="s">
        <v>48</v>
      </c>
      <c r="C1344" s="35">
        <v>25</v>
      </c>
      <c r="D1344">
        <v>1</v>
      </c>
      <c r="E1344">
        <f t="shared" si="83"/>
        <v>25.414928</v>
      </c>
      <c r="F1344" s="8" t="s">
        <v>55</v>
      </c>
      <c r="G1344" s="8" t="s">
        <v>55</v>
      </c>
      <c r="H1344" t="s">
        <v>1071</v>
      </c>
      <c r="I1344">
        <f t="shared" si="82"/>
        <v>635.3732</v>
      </c>
      <c r="J1344">
        <f t="shared" si="80"/>
        <v>288.20043562248401</v>
      </c>
      <c r="K1344">
        <v>0.29399999999999998</v>
      </c>
      <c r="L1344">
        <f t="shared" si="81"/>
        <v>84.73092807301029</v>
      </c>
    </row>
    <row r="1345" spans="1:12" x14ac:dyDescent="0.2">
      <c r="A1345" s="4">
        <v>43434</v>
      </c>
      <c r="B1345" t="s">
        <v>538</v>
      </c>
      <c r="C1345">
        <v>1</v>
      </c>
      <c r="D1345">
        <v>6</v>
      </c>
      <c r="E1345">
        <v>5</v>
      </c>
      <c r="F1345" t="s">
        <v>439</v>
      </c>
      <c r="G1345" s="14" t="s">
        <v>904</v>
      </c>
      <c r="H1345" s="9" t="s">
        <v>1071</v>
      </c>
      <c r="I1345">
        <f t="shared" si="82"/>
        <v>30</v>
      </c>
      <c r="J1345">
        <f t="shared" si="80"/>
        <v>13.607771100000001</v>
      </c>
      <c r="L1345">
        <f t="shared" si="81"/>
        <v>0</v>
      </c>
    </row>
    <row r="1346" spans="1:12" x14ac:dyDescent="0.2">
      <c r="A1346" s="4">
        <v>43437</v>
      </c>
      <c r="B1346" t="s">
        <v>538</v>
      </c>
      <c r="C1346">
        <v>1</v>
      </c>
      <c r="D1346">
        <v>6</v>
      </c>
      <c r="E1346">
        <v>5</v>
      </c>
      <c r="F1346" t="s">
        <v>439</v>
      </c>
      <c r="G1346" s="14" t="s">
        <v>904</v>
      </c>
      <c r="H1346" s="9" t="s">
        <v>1071</v>
      </c>
      <c r="I1346">
        <f t="shared" si="82"/>
        <v>30</v>
      </c>
      <c r="J1346">
        <f t="shared" si="80"/>
        <v>13.607771100000001</v>
      </c>
      <c r="L1346">
        <f t="shared" si="81"/>
        <v>0</v>
      </c>
    </row>
    <row r="1347" spans="1:12" x14ac:dyDescent="0.2">
      <c r="A1347" s="28"/>
      <c r="B1347" t="s">
        <v>48</v>
      </c>
      <c r="C1347" s="28">
        <v>1</v>
      </c>
      <c r="D1347">
        <v>1</v>
      </c>
      <c r="E1347">
        <f>30*(2/16)</f>
        <v>3.75</v>
      </c>
      <c r="F1347" t="s">
        <v>316</v>
      </c>
      <c r="G1347" t="s">
        <v>814</v>
      </c>
      <c r="H1347" t="s">
        <v>1071</v>
      </c>
      <c r="I1347">
        <f t="shared" si="82"/>
        <v>3.75</v>
      </c>
      <c r="J1347">
        <f t="shared" ref="J1347:J1410" si="84">CONVERT(I1347,"lbm","kg")</f>
        <v>1.7009713875000001</v>
      </c>
      <c r="K1347">
        <v>0.23200000000000001</v>
      </c>
      <c r="L1347">
        <f t="shared" ref="L1347:L1410" si="85">J1347*K1347</f>
        <v>0.39462536190000003</v>
      </c>
    </row>
    <row r="1348" spans="1:12" x14ac:dyDescent="0.2">
      <c r="B1348" t="s">
        <v>48</v>
      </c>
      <c r="C1348" s="28">
        <v>1</v>
      </c>
      <c r="D1348">
        <v>1</v>
      </c>
      <c r="E1348">
        <f>30*(2/16)</f>
        <v>3.75</v>
      </c>
      <c r="F1348" t="s">
        <v>316</v>
      </c>
      <c r="G1348" t="s">
        <v>814</v>
      </c>
      <c r="H1348" t="s">
        <v>1071</v>
      </c>
      <c r="I1348">
        <f t="shared" si="82"/>
        <v>3.75</v>
      </c>
      <c r="J1348">
        <f t="shared" si="84"/>
        <v>1.7009713875000001</v>
      </c>
      <c r="K1348">
        <v>0.23200000000000001</v>
      </c>
      <c r="L1348">
        <f t="shared" si="85"/>
        <v>0.39462536190000003</v>
      </c>
    </row>
    <row r="1349" spans="1:12" x14ac:dyDescent="0.2">
      <c r="A1349" s="4">
        <v>43434</v>
      </c>
      <c r="B1349" t="s">
        <v>538</v>
      </c>
      <c r="C1349">
        <v>4</v>
      </c>
      <c r="D1349">
        <v>2</v>
      </c>
      <c r="E1349">
        <v>10</v>
      </c>
      <c r="F1349" t="s">
        <v>458</v>
      </c>
      <c r="G1349" s="6" t="s">
        <v>875</v>
      </c>
      <c r="H1349" s="9" t="s">
        <v>1071</v>
      </c>
      <c r="I1349">
        <f t="shared" si="82"/>
        <v>80</v>
      </c>
      <c r="J1349">
        <f t="shared" si="84"/>
        <v>36.287389600000004</v>
      </c>
      <c r="K1349">
        <v>5.99</v>
      </c>
      <c r="L1349">
        <f t="shared" si="85"/>
        <v>217.36146370400004</v>
      </c>
    </row>
    <row r="1350" spans="1:12" x14ac:dyDescent="0.2">
      <c r="A1350" s="4">
        <v>43434</v>
      </c>
      <c r="B1350" t="s">
        <v>538</v>
      </c>
      <c r="C1350">
        <v>4</v>
      </c>
      <c r="D1350">
        <v>2</v>
      </c>
      <c r="E1350">
        <v>10</v>
      </c>
      <c r="F1350" t="s">
        <v>461</v>
      </c>
      <c r="G1350" s="6" t="s">
        <v>875</v>
      </c>
      <c r="H1350" s="9" t="s">
        <v>1071</v>
      </c>
      <c r="I1350">
        <f t="shared" si="82"/>
        <v>80</v>
      </c>
      <c r="J1350">
        <f t="shared" si="84"/>
        <v>36.287389600000004</v>
      </c>
      <c r="K1350">
        <v>5.99</v>
      </c>
      <c r="L1350">
        <f t="shared" si="85"/>
        <v>217.36146370400004</v>
      </c>
    </row>
    <row r="1351" spans="1:12" x14ac:dyDescent="0.2">
      <c r="A1351" s="4">
        <v>43434</v>
      </c>
      <c r="B1351" t="s">
        <v>538</v>
      </c>
      <c r="C1351">
        <v>4</v>
      </c>
      <c r="D1351">
        <v>2</v>
      </c>
      <c r="E1351">
        <v>10</v>
      </c>
      <c r="F1351" t="s">
        <v>462</v>
      </c>
      <c r="G1351" s="6" t="s">
        <v>875</v>
      </c>
      <c r="H1351" s="9" t="s">
        <v>1071</v>
      </c>
      <c r="I1351">
        <f t="shared" si="82"/>
        <v>80</v>
      </c>
      <c r="J1351">
        <f t="shared" si="84"/>
        <v>36.287389600000004</v>
      </c>
      <c r="K1351">
        <v>5.99</v>
      </c>
      <c r="L1351">
        <f t="shared" si="85"/>
        <v>217.36146370400004</v>
      </c>
    </row>
    <row r="1352" spans="1:12" x14ac:dyDescent="0.2">
      <c r="A1352" s="4">
        <v>43434</v>
      </c>
      <c r="B1352" t="s">
        <v>538</v>
      </c>
      <c r="C1352">
        <v>4</v>
      </c>
      <c r="D1352">
        <v>2</v>
      </c>
      <c r="E1352">
        <v>10</v>
      </c>
      <c r="F1352" t="s">
        <v>566</v>
      </c>
      <c r="G1352" s="6" t="s">
        <v>875</v>
      </c>
      <c r="H1352" s="9" t="s">
        <v>1071</v>
      </c>
      <c r="I1352">
        <f t="shared" si="82"/>
        <v>80</v>
      </c>
      <c r="J1352">
        <f t="shared" si="84"/>
        <v>36.287389600000004</v>
      </c>
      <c r="K1352">
        <v>5.99</v>
      </c>
      <c r="L1352">
        <f t="shared" si="85"/>
        <v>217.36146370400004</v>
      </c>
    </row>
    <row r="1353" spans="1:12" x14ac:dyDescent="0.2">
      <c r="A1353" s="4">
        <v>43439</v>
      </c>
      <c r="B1353" t="s">
        <v>538</v>
      </c>
      <c r="C1353">
        <v>3</v>
      </c>
      <c r="D1353">
        <v>2</v>
      </c>
      <c r="E1353">
        <v>10</v>
      </c>
      <c r="F1353" t="s">
        <v>458</v>
      </c>
      <c r="G1353" s="6" t="s">
        <v>875</v>
      </c>
      <c r="H1353" s="9" t="s">
        <v>1071</v>
      </c>
      <c r="I1353">
        <f t="shared" si="82"/>
        <v>60</v>
      </c>
      <c r="J1353">
        <f t="shared" si="84"/>
        <v>27.215542200000002</v>
      </c>
      <c r="K1353">
        <v>5.99</v>
      </c>
      <c r="L1353">
        <f t="shared" si="85"/>
        <v>163.02109777800001</v>
      </c>
    </row>
    <row r="1354" spans="1:12" x14ac:dyDescent="0.2">
      <c r="A1354" s="4">
        <v>43434</v>
      </c>
      <c r="B1354" t="s">
        <v>538</v>
      </c>
      <c r="C1354">
        <v>1</v>
      </c>
      <c r="D1354">
        <v>12</v>
      </c>
      <c r="E1354">
        <v>1</v>
      </c>
      <c r="F1354" t="s">
        <v>560</v>
      </c>
      <c r="G1354" s="6" t="s">
        <v>911</v>
      </c>
      <c r="H1354" s="9" t="s">
        <v>1071</v>
      </c>
      <c r="I1354">
        <f t="shared" si="82"/>
        <v>12</v>
      </c>
      <c r="J1354">
        <f t="shared" si="84"/>
        <v>5.4431084400000005</v>
      </c>
      <c r="K1354">
        <v>0.11799999999999999</v>
      </c>
      <c r="L1354">
        <f t="shared" si="85"/>
        <v>0.64228679592000004</v>
      </c>
    </row>
    <row r="1355" spans="1:12" x14ac:dyDescent="0.2">
      <c r="A1355" s="4">
        <v>43439</v>
      </c>
      <c r="B1355" t="s">
        <v>538</v>
      </c>
      <c r="C1355">
        <v>1</v>
      </c>
      <c r="D1355">
        <v>1</v>
      </c>
      <c r="E1355">
        <v>20</v>
      </c>
      <c r="F1355" t="s">
        <v>592</v>
      </c>
      <c r="G1355" t="s">
        <v>921</v>
      </c>
      <c r="H1355" s="9" t="s">
        <v>1071</v>
      </c>
      <c r="I1355">
        <f t="shared" si="82"/>
        <v>20</v>
      </c>
      <c r="J1355">
        <f t="shared" si="84"/>
        <v>9.0718474000000011</v>
      </c>
      <c r="K1355">
        <v>0.61699999999999999</v>
      </c>
      <c r="L1355">
        <f t="shared" si="85"/>
        <v>5.5973298458000009</v>
      </c>
    </row>
    <row r="1356" spans="1:12" x14ac:dyDescent="0.2">
      <c r="A1356" s="28"/>
      <c r="B1356" t="s">
        <v>48</v>
      </c>
      <c r="C1356" s="28">
        <v>1</v>
      </c>
      <c r="D1356">
        <v>1</v>
      </c>
      <c r="E1356">
        <v>20</v>
      </c>
      <c r="F1356" t="s">
        <v>318</v>
      </c>
      <c r="G1356" t="s">
        <v>1043</v>
      </c>
      <c r="H1356" t="s">
        <v>1071</v>
      </c>
      <c r="I1356">
        <f t="shared" si="82"/>
        <v>20</v>
      </c>
      <c r="J1356">
        <f t="shared" si="84"/>
        <v>9.0718474000000011</v>
      </c>
      <c r="K1356">
        <v>0.61699999999999999</v>
      </c>
      <c r="L1356">
        <f t="shared" si="85"/>
        <v>5.5973298458000009</v>
      </c>
    </row>
    <row r="1357" spans="1:12" x14ac:dyDescent="0.2">
      <c r="A1357" s="28"/>
      <c r="B1357" t="s">
        <v>48</v>
      </c>
      <c r="C1357" s="28">
        <v>1</v>
      </c>
      <c r="D1357">
        <v>1</v>
      </c>
      <c r="E1357">
        <v>10</v>
      </c>
      <c r="F1357" t="s">
        <v>319</v>
      </c>
      <c r="G1357" t="s">
        <v>806</v>
      </c>
      <c r="H1357" t="s">
        <v>1071</v>
      </c>
      <c r="I1357">
        <f t="shared" si="82"/>
        <v>10</v>
      </c>
      <c r="J1357">
        <f t="shared" si="84"/>
        <v>4.5359237000000006</v>
      </c>
      <c r="K1357">
        <v>0.70099999999999996</v>
      </c>
      <c r="L1357">
        <f t="shared" si="85"/>
        <v>3.1796825137</v>
      </c>
    </row>
    <row r="1358" spans="1:12" x14ac:dyDescent="0.2">
      <c r="B1358" t="s">
        <v>48</v>
      </c>
      <c r="C1358" s="28">
        <v>4</v>
      </c>
      <c r="D1358">
        <v>1</v>
      </c>
      <c r="E1358">
        <v>10</v>
      </c>
      <c r="F1358" t="s">
        <v>319</v>
      </c>
      <c r="G1358" t="s">
        <v>806</v>
      </c>
      <c r="H1358" t="s">
        <v>1071</v>
      </c>
      <c r="I1358">
        <f t="shared" si="82"/>
        <v>40</v>
      </c>
      <c r="J1358">
        <f t="shared" si="84"/>
        <v>18.143694800000002</v>
      </c>
      <c r="K1358">
        <v>0.70099999999999996</v>
      </c>
      <c r="L1358">
        <f t="shared" si="85"/>
        <v>12.7187300548</v>
      </c>
    </row>
    <row r="1359" spans="1:12" x14ac:dyDescent="0.2">
      <c r="B1359" t="s">
        <v>48</v>
      </c>
      <c r="C1359" s="28">
        <v>3</v>
      </c>
      <c r="D1359">
        <v>1</v>
      </c>
      <c r="E1359">
        <v>10</v>
      </c>
      <c r="F1359" t="s">
        <v>371</v>
      </c>
      <c r="G1359" t="s">
        <v>806</v>
      </c>
      <c r="H1359" t="s">
        <v>1071</v>
      </c>
      <c r="I1359">
        <f t="shared" si="82"/>
        <v>30</v>
      </c>
      <c r="J1359">
        <f t="shared" si="84"/>
        <v>13.607771100000001</v>
      </c>
      <c r="K1359">
        <v>0.70099999999999996</v>
      </c>
      <c r="L1359">
        <f t="shared" si="85"/>
        <v>9.5390475411000004</v>
      </c>
    </row>
    <row r="1360" spans="1:12" x14ac:dyDescent="0.2">
      <c r="A1360" s="4">
        <v>43434</v>
      </c>
      <c r="B1360" t="s">
        <v>531</v>
      </c>
      <c r="C1360">
        <v>2</v>
      </c>
      <c r="D1360">
        <v>12</v>
      </c>
      <c r="E1360">
        <v>2.5</v>
      </c>
      <c r="F1360" t="s">
        <v>405</v>
      </c>
      <c r="G1360" t="s">
        <v>891</v>
      </c>
      <c r="H1360" s="9" t="s">
        <v>1071</v>
      </c>
      <c r="I1360">
        <f t="shared" si="82"/>
        <v>60</v>
      </c>
      <c r="J1360">
        <f t="shared" si="84"/>
        <v>27.215542200000002</v>
      </c>
      <c r="K1360">
        <v>0.61699999999999999</v>
      </c>
      <c r="L1360">
        <f t="shared" si="85"/>
        <v>16.791989537399999</v>
      </c>
    </row>
    <row r="1361" spans="1:12" x14ac:dyDescent="0.2">
      <c r="A1361" s="4">
        <v>43437</v>
      </c>
      <c r="B1361" t="s">
        <v>531</v>
      </c>
      <c r="C1361">
        <v>1</v>
      </c>
      <c r="D1361">
        <v>12</v>
      </c>
      <c r="E1361">
        <v>2.5</v>
      </c>
      <c r="F1361" t="s">
        <v>405</v>
      </c>
      <c r="G1361" t="s">
        <v>891</v>
      </c>
      <c r="H1361" s="9" t="s">
        <v>1071</v>
      </c>
      <c r="I1361">
        <f t="shared" si="82"/>
        <v>30</v>
      </c>
      <c r="J1361">
        <f t="shared" si="84"/>
        <v>13.607771100000001</v>
      </c>
      <c r="K1361">
        <v>0.61699999999999999</v>
      </c>
      <c r="L1361">
        <f t="shared" si="85"/>
        <v>8.3959947686999996</v>
      </c>
    </row>
    <row r="1362" spans="1:12" x14ac:dyDescent="0.2">
      <c r="B1362" t="s">
        <v>48</v>
      </c>
      <c r="C1362" s="28">
        <v>1</v>
      </c>
      <c r="D1362">
        <v>1</v>
      </c>
      <c r="E1362">
        <v>10</v>
      </c>
      <c r="F1362" t="s">
        <v>365</v>
      </c>
      <c r="G1362" t="s">
        <v>834</v>
      </c>
      <c r="H1362" t="s">
        <v>1071</v>
      </c>
      <c r="I1362">
        <f t="shared" si="82"/>
        <v>10</v>
      </c>
      <c r="J1362">
        <f t="shared" si="84"/>
        <v>4.5359237000000006</v>
      </c>
      <c r="K1362">
        <v>0.27400000000000002</v>
      </c>
      <c r="L1362">
        <f t="shared" si="85"/>
        <v>1.2428430938000004</v>
      </c>
    </row>
    <row r="1363" spans="1:12" x14ac:dyDescent="0.2">
      <c r="A1363" s="28"/>
      <c r="B1363" t="s">
        <v>48</v>
      </c>
      <c r="C1363" s="28">
        <v>2</v>
      </c>
      <c r="D1363">
        <v>1</v>
      </c>
      <c r="E1363">
        <f>120*0.39</f>
        <v>46.800000000000004</v>
      </c>
      <c r="F1363" t="s">
        <v>317</v>
      </c>
      <c r="G1363" t="s">
        <v>791</v>
      </c>
      <c r="H1363" t="s">
        <v>1071</v>
      </c>
      <c r="I1363">
        <f t="shared" si="82"/>
        <v>93.600000000000009</v>
      </c>
      <c r="J1363">
        <f t="shared" si="84"/>
        <v>42.456245832000008</v>
      </c>
      <c r="K1363">
        <v>0.249</v>
      </c>
      <c r="L1363">
        <f t="shared" si="85"/>
        <v>10.571605212168002</v>
      </c>
    </row>
    <row r="1364" spans="1:12" x14ac:dyDescent="0.2">
      <c r="B1364" t="s">
        <v>48</v>
      </c>
      <c r="C1364" s="28">
        <v>2</v>
      </c>
      <c r="D1364">
        <v>1</v>
      </c>
      <c r="E1364">
        <v>20</v>
      </c>
      <c r="F1364" t="s">
        <v>327</v>
      </c>
      <c r="G1364" t="s">
        <v>792</v>
      </c>
      <c r="H1364" t="s">
        <v>1071</v>
      </c>
      <c r="I1364">
        <f t="shared" si="82"/>
        <v>40</v>
      </c>
      <c r="J1364">
        <f t="shared" si="84"/>
        <v>18.143694800000002</v>
      </c>
      <c r="K1364">
        <v>0.52500000000000002</v>
      </c>
      <c r="L1364">
        <f t="shared" si="85"/>
        <v>9.525439770000002</v>
      </c>
    </row>
    <row r="1365" spans="1:12" x14ac:dyDescent="0.2">
      <c r="A1365" s="4">
        <v>43434</v>
      </c>
      <c r="B1365" t="s">
        <v>538</v>
      </c>
      <c r="C1365">
        <v>1</v>
      </c>
      <c r="D1365">
        <v>12</v>
      </c>
      <c r="E1365">
        <f>28/16</f>
        <v>1.75</v>
      </c>
      <c r="F1365" t="s">
        <v>559</v>
      </c>
      <c r="G1365" t="s">
        <v>848</v>
      </c>
      <c r="H1365" s="9" t="s">
        <v>1071</v>
      </c>
      <c r="I1365">
        <f t="shared" si="82"/>
        <v>21</v>
      </c>
      <c r="J1365">
        <f t="shared" si="84"/>
        <v>9.5254397700000002</v>
      </c>
      <c r="K1365">
        <v>0.52500000000000002</v>
      </c>
      <c r="L1365">
        <f t="shared" si="85"/>
        <v>5.0008558792500004</v>
      </c>
    </row>
    <row r="1366" spans="1:12" x14ac:dyDescent="0.2">
      <c r="A1366" s="4">
        <v>43434</v>
      </c>
      <c r="B1366" t="s">
        <v>538</v>
      </c>
      <c r="C1366">
        <v>1</v>
      </c>
      <c r="D1366">
        <v>3</v>
      </c>
      <c r="E1366">
        <v>5</v>
      </c>
      <c r="F1366" t="s">
        <v>556</v>
      </c>
      <c r="G1366" t="s">
        <v>909</v>
      </c>
      <c r="H1366" s="9" t="s">
        <v>1071</v>
      </c>
      <c r="I1366">
        <f t="shared" si="82"/>
        <v>15</v>
      </c>
      <c r="J1366">
        <f t="shared" si="84"/>
        <v>6.8038855500000004</v>
      </c>
      <c r="K1366">
        <v>0.87</v>
      </c>
      <c r="L1366">
        <f t="shared" si="85"/>
        <v>5.9193804285000002</v>
      </c>
    </row>
    <row r="1367" spans="1:12" x14ac:dyDescent="0.2">
      <c r="A1367" s="4">
        <v>43439</v>
      </c>
      <c r="B1367" t="s">
        <v>538</v>
      </c>
      <c r="C1367">
        <v>1</v>
      </c>
      <c r="D1367">
        <v>3</v>
      </c>
      <c r="E1367">
        <v>5</v>
      </c>
      <c r="F1367" t="s">
        <v>556</v>
      </c>
      <c r="G1367" t="s">
        <v>909</v>
      </c>
      <c r="H1367" s="9" t="s">
        <v>1071</v>
      </c>
      <c r="I1367">
        <f t="shared" si="82"/>
        <v>15</v>
      </c>
      <c r="J1367">
        <f t="shared" si="84"/>
        <v>6.8038855500000004</v>
      </c>
      <c r="K1367">
        <v>0.87</v>
      </c>
      <c r="L1367">
        <f t="shared" si="85"/>
        <v>5.9193804285000002</v>
      </c>
    </row>
    <row r="1368" spans="1:12" x14ac:dyDescent="0.2">
      <c r="A1368" s="28"/>
      <c r="B1368" t="s">
        <v>48</v>
      </c>
      <c r="C1368" s="28">
        <v>2</v>
      </c>
      <c r="D1368">
        <v>1</v>
      </c>
      <c r="E1368">
        <f t="shared" ref="E1368:E1373" si="86">10/9*30</f>
        <v>33.333333333333336</v>
      </c>
      <c r="F1368" t="s">
        <v>320</v>
      </c>
      <c r="G1368" t="s">
        <v>801</v>
      </c>
      <c r="H1368" t="s">
        <v>1071</v>
      </c>
      <c r="I1368">
        <f t="shared" si="82"/>
        <v>66.666666666666671</v>
      </c>
      <c r="J1368">
        <f t="shared" si="84"/>
        <v>30.239491333333337</v>
      </c>
      <c r="K1368">
        <v>0.52500000000000002</v>
      </c>
      <c r="L1368">
        <f t="shared" si="85"/>
        <v>15.875732950000003</v>
      </c>
    </row>
    <row r="1369" spans="1:12" x14ac:dyDescent="0.2">
      <c r="B1369" t="s">
        <v>48</v>
      </c>
      <c r="C1369" s="28">
        <v>1</v>
      </c>
      <c r="D1369">
        <v>1</v>
      </c>
      <c r="E1369">
        <f t="shared" si="86"/>
        <v>33.333333333333336</v>
      </c>
      <c r="F1369" t="s">
        <v>320</v>
      </c>
      <c r="G1369" t="s">
        <v>827</v>
      </c>
      <c r="H1369" t="s">
        <v>1071</v>
      </c>
      <c r="I1369">
        <f t="shared" si="82"/>
        <v>33.333333333333336</v>
      </c>
      <c r="J1369">
        <f t="shared" si="84"/>
        <v>15.119745666666669</v>
      </c>
      <c r="K1369">
        <v>0.52500000000000002</v>
      </c>
      <c r="L1369">
        <f t="shared" si="85"/>
        <v>7.9378664750000016</v>
      </c>
    </row>
    <row r="1370" spans="1:12" x14ac:dyDescent="0.2">
      <c r="B1370" t="s">
        <v>48</v>
      </c>
      <c r="C1370" s="28">
        <v>2</v>
      </c>
      <c r="D1370">
        <v>1</v>
      </c>
      <c r="E1370">
        <f t="shared" si="86"/>
        <v>33.333333333333336</v>
      </c>
      <c r="F1370" t="s">
        <v>320</v>
      </c>
      <c r="G1370" t="s">
        <v>827</v>
      </c>
      <c r="H1370" t="s">
        <v>1071</v>
      </c>
      <c r="I1370">
        <f t="shared" si="82"/>
        <v>66.666666666666671</v>
      </c>
      <c r="J1370">
        <f t="shared" si="84"/>
        <v>30.239491333333337</v>
      </c>
      <c r="K1370">
        <v>0.52500000000000002</v>
      </c>
      <c r="L1370">
        <f t="shared" si="85"/>
        <v>15.875732950000003</v>
      </c>
    </row>
    <row r="1371" spans="1:12" x14ac:dyDescent="0.2">
      <c r="B1371" t="s">
        <v>48</v>
      </c>
      <c r="C1371" s="28">
        <v>2</v>
      </c>
      <c r="D1371">
        <v>1</v>
      </c>
      <c r="E1371">
        <f t="shared" si="86"/>
        <v>33.333333333333336</v>
      </c>
      <c r="F1371" t="s">
        <v>320</v>
      </c>
      <c r="G1371" t="s">
        <v>827</v>
      </c>
      <c r="H1371" t="s">
        <v>1071</v>
      </c>
      <c r="I1371">
        <f t="shared" si="82"/>
        <v>66.666666666666671</v>
      </c>
      <c r="J1371">
        <f t="shared" si="84"/>
        <v>30.239491333333337</v>
      </c>
      <c r="K1371">
        <v>0.52500000000000002</v>
      </c>
      <c r="L1371">
        <f t="shared" si="85"/>
        <v>15.875732950000003</v>
      </c>
    </row>
    <row r="1372" spans="1:12" x14ac:dyDescent="0.2">
      <c r="B1372" t="s">
        <v>48</v>
      </c>
      <c r="C1372" s="28">
        <v>2</v>
      </c>
      <c r="D1372">
        <v>1</v>
      </c>
      <c r="E1372">
        <f t="shared" si="86"/>
        <v>33.333333333333336</v>
      </c>
      <c r="F1372" t="s">
        <v>320</v>
      </c>
      <c r="G1372" t="s">
        <v>827</v>
      </c>
      <c r="H1372" t="s">
        <v>1071</v>
      </c>
      <c r="I1372">
        <f t="shared" si="82"/>
        <v>66.666666666666671</v>
      </c>
      <c r="J1372">
        <f t="shared" si="84"/>
        <v>30.239491333333337</v>
      </c>
      <c r="K1372">
        <v>0.52500000000000002</v>
      </c>
      <c r="L1372">
        <f t="shared" si="85"/>
        <v>15.875732950000003</v>
      </c>
    </row>
    <row r="1373" spans="1:12" x14ac:dyDescent="0.2">
      <c r="B1373" t="s">
        <v>48</v>
      </c>
      <c r="C1373" s="28">
        <v>2</v>
      </c>
      <c r="D1373">
        <v>1</v>
      </c>
      <c r="E1373">
        <f t="shared" si="86"/>
        <v>33.333333333333336</v>
      </c>
      <c r="F1373" t="s">
        <v>372</v>
      </c>
      <c r="G1373" t="s">
        <v>827</v>
      </c>
      <c r="H1373" t="s">
        <v>1071</v>
      </c>
      <c r="I1373">
        <f t="shared" si="82"/>
        <v>66.666666666666671</v>
      </c>
      <c r="J1373">
        <f t="shared" si="84"/>
        <v>30.239491333333337</v>
      </c>
      <c r="K1373">
        <v>0.52500000000000002</v>
      </c>
      <c r="L1373">
        <f t="shared" si="85"/>
        <v>15.875732950000003</v>
      </c>
    </row>
    <row r="1374" spans="1:12" x14ac:dyDescent="0.2">
      <c r="B1374" t="s">
        <v>48</v>
      </c>
      <c r="C1374" s="28">
        <v>2</v>
      </c>
      <c r="D1374">
        <v>1</v>
      </c>
      <c r="E1374">
        <v>20</v>
      </c>
      <c r="F1374" t="s">
        <v>168</v>
      </c>
      <c r="G1374" t="s">
        <v>801</v>
      </c>
      <c r="H1374" t="s">
        <v>1071</v>
      </c>
      <c r="I1374">
        <f t="shared" si="82"/>
        <v>40</v>
      </c>
      <c r="J1374">
        <f t="shared" si="84"/>
        <v>18.143694800000002</v>
      </c>
      <c r="K1374">
        <v>0.52500000000000002</v>
      </c>
      <c r="L1374">
        <f t="shared" si="85"/>
        <v>9.525439770000002</v>
      </c>
    </row>
    <row r="1375" spans="1:12" x14ac:dyDescent="0.2">
      <c r="A1375" s="4">
        <v>43434</v>
      </c>
      <c r="B1375" t="s">
        <v>538</v>
      </c>
      <c r="C1375">
        <v>2</v>
      </c>
      <c r="D1375">
        <v>12</v>
      </c>
      <c r="E1375">
        <f>27/16</f>
        <v>1.6875</v>
      </c>
      <c r="F1375" t="s">
        <v>555</v>
      </c>
      <c r="G1375" t="s">
        <v>908</v>
      </c>
      <c r="H1375" s="9" t="s">
        <v>1071</v>
      </c>
      <c r="I1375">
        <f t="shared" si="82"/>
        <v>40.5</v>
      </c>
      <c r="J1375">
        <f t="shared" si="84"/>
        <v>18.370490985</v>
      </c>
      <c r="K1375">
        <v>0.79900000000000004</v>
      </c>
      <c r="L1375">
        <f t="shared" si="85"/>
        <v>14.678022297015001</v>
      </c>
    </row>
    <row r="1376" spans="1:12" x14ac:dyDescent="0.2">
      <c r="A1376" s="4">
        <v>43434</v>
      </c>
      <c r="B1376" t="s">
        <v>538</v>
      </c>
      <c r="C1376">
        <v>2</v>
      </c>
      <c r="D1376">
        <v>12</v>
      </c>
      <c r="E1376">
        <f>7/16</f>
        <v>0.4375</v>
      </c>
      <c r="F1376" t="s">
        <v>448</v>
      </c>
      <c r="G1376" t="s">
        <v>908</v>
      </c>
      <c r="H1376" s="9" t="s">
        <v>1071</v>
      </c>
      <c r="I1376">
        <f t="shared" si="82"/>
        <v>10.5</v>
      </c>
      <c r="J1376">
        <f t="shared" si="84"/>
        <v>4.7627198850000001</v>
      </c>
      <c r="K1376">
        <v>0.79900000000000004</v>
      </c>
      <c r="L1376">
        <f t="shared" si="85"/>
        <v>3.8054131881150002</v>
      </c>
    </row>
    <row r="1377" spans="1:12" x14ac:dyDescent="0.2">
      <c r="A1377" s="4">
        <v>43439</v>
      </c>
      <c r="B1377" t="s">
        <v>538</v>
      </c>
      <c r="C1377">
        <v>1</v>
      </c>
      <c r="D1377">
        <v>4</v>
      </c>
      <c r="E1377">
        <v>8.35</v>
      </c>
      <c r="F1377" t="s">
        <v>541</v>
      </c>
      <c r="G1377" t="s">
        <v>908</v>
      </c>
      <c r="H1377" s="9" t="s">
        <v>1071</v>
      </c>
      <c r="I1377">
        <f t="shared" si="82"/>
        <v>33.4</v>
      </c>
      <c r="J1377">
        <f t="shared" si="84"/>
        <v>15.149985158</v>
      </c>
      <c r="K1377">
        <v>0.79900000000000004</v>
      </c>
      <c r="L1377">
        <f t="shared" si="85"/>
        <v>12.104838141242</v>
      </c>
    </row>
    <row r="1378" spans="1:12" x14ac:dyDescent="0.2">
      <c r="A1378" s="4">
        <v>43434</v>
      </c>
      <c r="B1378" t="s">
        <v>538</v>
      </c>
      <c r="C1378">
        <v>1</v>
      </c>
      <c r="D1378">
        <v>4</v>
      </c>
      <c r="E1378">
        <v>8.35</v>
      </c>
      <c r="F1378" t="s">
        <v>541</v>
      </c>
      <c r="G1378" t="s">
        <v>937</v>
      </c>
      <c r="H1378" s="9" t="s">
        <v>1071</v>
      </c>
      <c r="I1378">
        <f t="shared" si="82"/>
        <v>33.4</v>
      </c>
      <c r="J1378">
        <f t="shared" si="84"/>
        <v>15.149985158</v>
      </c>
      <c r="K1378">
        <v>0.79900000000000004</v>
      </c>
      <c r="L1378">
        <f t="shared" si="85"/>
        <v>12.104838141242</v>
      </c>
    </row>
    <row r="1379" spans="1:12" x14ac:dyDescent="0.2">
      <c r="A1379" s="28"/>
      <c r="B1379" t="s">
        <v>48</v>
      </c>
      <c r="C1379" s="28">
        <v>1</v>
      </c>
      <c r="D1379">
        <v>1</v>
      </c>
      <c r="E1379">
        <f>10/9*30</f>
        <v>33.333333333333336</v>
      </c>
      <c r="F1379" t="s">
        <v>321</v>
      </c>
      <c r="G1379" t="s">
        <v>802</v>
      </c>
      <c r="H1379" t="s">
        <v>1071</v>
      </c>
      <c r="I1379">
        <f t="shared" si="82"/>
        <v>33.333333333333336</v>
      </c>
      <c r="J1379">
        <f t="shared" si="84"/>
        <v>15.119745666666669</v>
      </c>
      <c r="K1379">
        <v>0.52500000000000002</v>
      </c>
      <c r="L1379">
        <f t="shared" si="85"/>
        <v>7.9378664750000016</v>
      </c>
    </row>
    <row r="1380" spans="1:12" x14ac:dyDescent="0.2">
      <c r="B1380" t="s">
        <v>48</v>
      </c>
      <c r="C1380" s="28">
        <v>1</v>
      </c>
      <c r="D1380">
        <v>1</v>
      </c>
      <c r="E1380">
        <f>10/9*30</f>
        <v>33.333333333333336</v>
      </c>
      <c r="F1380" t="s">
        <v>321</v>
      </c>
      <c r="G1380" t="s">
        <v>828</v>
      </c>
      <c r="H1380" t="s">
        <v>1071</v>
      </c>
      <c r="I1380">
        <f t="shared" si="82"/>
        <v>33.333333333333336</v>
      </c>
      <c r="J1380">
        <f t="shared" si="84"/>
        <v>15.119745666666669</v>
      </c>
      <c r="K1380">
        <v>0.52500000000000002</v>
      </c>
      <c r="L1380">
        <f t="shared" si="85"/>
        <v>7.9378664750000016</v>
      </c>
    </row>
    <row r="1381" spans="1:12" x14ac:dyDescent="0.2">
      <c r="B1381" t="s">
        <v>48</v>
      </c>
      <c r="C1381" s="28">
        <v>1</v>
      </c>
      <c r="D1381">
        <v>1</v>
      </c>
      <c r="E1381">
        <f>10/9*30</f>
        <v>33.333333333333336</v>
      </c>
      <c r="F1381" t="s">
        <v>321</v>
      </c>
      <c r="G1381" t="s">
        <v>828</v>
      </c>
      <c r="H1381" t="s">
        <v>1071</v>
      </c>
      <c r="I1381">
        <f t="shared" si="82"/>
        <v>33.333333333333336</v>
      </c>
      <c r="J1381">
        <f t="shared" si="84"/>
        <v>15.119745666666669</v>
      </c>
      <c r="K1381">
        <v>0.52500000000000002</v>
      </c>
      <c r="L1381">
        <f t="shared" si="85"/>
        <v>7.9378664750000016</v>
      </c>
    </row>
    <row r="1382" spans="1:12" x14ac:dyDescent="0.2">
      <c r="B1382" t="s">
        <v>48</v>
      </c>
      <c r="C1382" s="28">
        <v>2</v>
      </c>
      <c r="D1382">
        <v>1</v>
      </c>
      <c r="E1382">
        <f>10/9*30</f>
        <v>33.333333333333336</v>
      </c>
      <c r="F1382" t="s">
        <v>373</v>
      </c>
      <c r="G1382" t="s">
        <v>828</v>
      </c>
      <c r="H1382" t="s">
        <v>1071</v>
      </c>
      <c r="I1382">
        <f t="shared" si="82"/>
        <v>66.666666666666671</v>
      </c>
      <c r="J1382">
        <f t="shared" si="84"/>
        <v>30.239491333333337</v>
      </c>
      <c r="K1382">
        <v>0.52500000000000002</v>
      </c>
      <c r="L1382">
        <f t="shared" si="85"/>
        <v>15.875732950000003</v>
      </c>
    </row>
    <row r="1383" spans="1:12" x14ac:dyDescent="0.2">
      <c r="B1383" t="s">
        <v>48</v>
      </c>
      <c r="C1383" s="28">
        <v>3</v>
      </c>
      <c r="D1383">
        <v>1</v>
      </c>
      <c r="E1383">
        <f>10*2</f>
        <v>20</v>
      </c>
      <c r="F1383" t="s">
        <v>341</v>
      </c>
      <c r="G1383" t="s">
        <v>793</v>
      </c>
      <c r="H1383" t="s">
        <v>1071</v>
      </c>
      <c r="I1383">
        <f t="shared" si="82"/>
        <v>60</v>
      </c>
      <c r="J1383">
        <f t="shared" si="84"/>
        <v>27.215542200000002</v>
      </c>
      <c r="K1383">
        <v>0.91400000000000003</v>
      </c>
      <c r="L1383">
        <f t="shared" si="85"/>
        <v>24.875005570800003</v>
      </c>
    </row>
    <row r="1384" spans="1:12" x14ac:dyDescent="0.2">
      <c r="B1384" t="s">
        <v>48</v>
      </c>
      <c r="C1384" s="28">
        <v>7</v>
      </c>
      <c r="D1384">
        <v>1</v>
      </c>
      <c r="E1384">
        <f>10*2</f>
        <v>20</v>
      </c>
      <c r="F1384" t="s">
        <v>341</v>
      </c>
      <c r="G1384" t="s">
        <v>793</v>
      </c>
      <c r="H1384" t="s">
        <v>1071</v>
      </c>
      <c r="I1384">
        <f t="shared" si="82"/>
        <v>140</v>
      </c>
      <c r="J1384">
        <f t="shared" si="84"/>
        <v>63.502931800000006</v>
      </c>
      <c r="K1384">
        <v>0.91400000000000003</v>
      </c>
      <c r="L1384">
        <f t="shared" si="85"/>
        <v>58.041679665200007</v>
      </c>
    </row>
    <row r="1385" spans="1:12" x14ac:dyDescent="0.2">
      <c r="B1385" t="s">
        <v>48</v>
      </c>
      <c r="C1385" s="28">
        <v>8</v>
      </c>
      <c r="D1385">
        <v>1</v>
      </c>
      <c r="E1385">
        <f>10*2</f>
        <v>20</v>
      </c>
      <c r="F1385" t="s">
        <v>374</v>
      </c>
      <c r="G1385" t="s">
        <v>793</v>
      </c>
      <c r="H1385" t="s">
        <v>1071</v>
      </c>
      <c r="I1385">
        <f t="shared" si="82"/>
        <v>160</v>
      </c>
      <c r="J1385">
        <f t="shared" si="84"/>
        <v>72.574779200000009</v>
      </c>
      <c r="K1385">
        <v>0.91400000000000003</v>
      </c>
      <c r="L1385">
        <f t="shared" si="85"/>
        <v>66.333348188800016</v>
      </c>
    </row>
    <row r="1386" spans="1:12" x14ac:dyDescent="0.2">
      <c r="A1386" s="4">
        <v>43399</v>
      </c>
      <c r="B1386" t="s">
        <v>13</v>
      </c>
      <c r="C1386" s="28">
        <v>1</v>
      </c>
      <c r="D1386">
        <v>1</v>
      </c>
      <c r="E1386">
        <v>100</v>
      </c>
      <c r="F1386" t="s">
        <v>19</v>
      </c>
      <c r="G1386" t="s">
        <v>15</v>
      </c>
      <c r="H1386" t="s">
        <v>1072</v>
      </c>
      <c r="I1386">
        <f t="shared" si="82"/>
        <v>100</v>
      </c>
      <c r="J1386">
        <f t="shared" si="84"/>
        <v>45.359237</v>
      </c>
      <c r="K1386">
        <v>5.56</v>
      </c>
      <c r="L1386">
        <f t="shared" si="85"/>
        <v>252.19735771999999</v>
      </c>
    </row>
    <row r="1387" spans="1:12" x14ac:dyDescent="0.2">
      <c r="A1387" s="4">
        <v>43399</v>
      </c>
      <c r="B1387" t="s">
        <v>13</v>
      </c>
      <c r="C1387" s="28">
        <v>1</v>
      </c>
      <c r="D1387">
        <v>1</v>
      </c>
      <c r="E1387">
        <v>40</v>
      </c>
      <c r="F1387" t="s">
        <v>14</v>
      </c>
      <c r="G1387" t="s">
        <v>15</v>
      </c>
      <c r="H1387" t="s">
        <v>1072</v>
      </c>
      <c r="I1387">
        <f t="shared" si="82"/>
        <v>40</v>
      </c>
      <c r="J1387">
        <f t="shared" si="84"/>
        <v>18.143694800000002</v>
      </c>
      <c r="K1387">
        <v>5.56</v>
      </c>
      <c r="L1387">
        <f t="shared" si="85"/>
        <v>100.878943088</v>
      </c>
    </row>
    <row r="1388" spans="1:12" x14ac:dyDescent="0.2">
      <c r="A1388" s="4">
        <v>43399</v>
      </c>
      <c r="B1388" t="s">
        <v>13</v>
      </c>
      <c r="C1388" s="28">
        <v>1</v>
      </c>
      <c r="D1388">
        <v>1</v>
      </c>
      <c r="E1388">
        <v>100</v>
      </c>
      <c r="F1388" t="s">
        <v>20</v>
      </c>
      <c r="G1388" t="s">
        <v>15</v>
      </c>
      <c r="H1388" t="s">
        <v>1072</v>
      </c>
      <c r="I1388">
        <f t="shared" si="82"/>
        <v>100</v>
      </c>
      <c r="J1388">
        <f t="shared" si="84"/>
        <v>45.359237</v>
      </c>
      <c r="K1388">
        <v>5.56</v>
      </c>
      <c r="L1388">
        <f t="shared" si="85"/>
        <v>252.19735771999999</v>
      </c>
    </row>
    <row r="1389" spans="1:12" x14ac:dyDescent="0.2">
      <c r="A1389" s="4">
        <v>43399</v>
      </c>
      <c r="B1389" t="s">
        <v>13</v>
      </c>
      <c r="C1389" s="28">
        <v>1</v>
      </c>
      <c r="D1389">
        <v>1</v>
      </c>
      <c r="E1389">
        <v>40</v>
      </c>
      <c r="F1389" t="s">
        <v>285</v>
      </c>
      <c r="G1389" t="s">
        <v>15</v>
      </c>
      <c r="H1389" t="s">
        <v>1072</v>
      </c>
      <c r="I1389">
        <f t="shared" si="82"/>
        <v>40</v>
      </c>
      <c r="J1389">
        <f t="shared" si="84"/>
        <v>18.143694800000002</v>
      </c>
      <c r="K1389">
        <v>5.56</v>
      </c>
      <c r="L1389">
        <f t="shared" si="85"/>
        <v>100.878943088</v>
      </c>
    </row>
    <row r="1390" spans="1:12" x14ac:dyDescent="0.2">
      <c r="A1390" s="4">
        <v>43399</v>
      </c>
      <c r="B1390" t="s">
        <v>13</v>
      </c>
      <c r="C1390" s="28">
        <v>1</v>
      </c>
      <c r="D1390">
        <v>1</v>
      </c>
      <c r="E1390">
        <v>303.95</v>
      </c>
      <c r="F1390" t="s">
        <v>286</v>
      </c>
      <c r="G1390" t="s">
        <v>15</v>
      </c>
      <c r="H1390" t="s">
        <v>1072</v>
      </c>
      <c r="I1390">
        <f t="shared" si="82"/>
        <v>303.95</v>
      </c>
      <c r="J1390">
        <f t="shared" si="84"/>
        <v>137.8694008615</v>
      </c>
      <c r="K1390">
        <v>5.56</v>
      </c>
      <c r="L1390">
        <f t="shared" si="85"/>
        <v>766.55386878993988</v>
      </c>
    </row>
    <row r="1391" spans="1:12" x14ac:dyDescent="0.2">
      <c r="A1391" s="4">
        <v>43399</v>
      </c>
      <c r="B1391" t="s">
        <v>13</v>
      </c>
      <c r="C1391" s="28">
        <v>1</v>
      </c>
      <c r="D1391">
        <v>1</v>
      </c>
      <c r="E1391">
        <v>307.60000000000002</v>
      </c>
      <c r="F1391" t="s">
        <v>287</v>
      </c>
      <c r="G1391" t="s">
        <v>15</v>
      </c>
      <c r="H1391" t="s">
        <v>1072</v>
      </c>
      <c r="I1391">
        <f t="shared" si="82"/>
        <v>307.60000000000002</v>
      </c>
      <c r="J1391">
        <f t="shared" si="84"/>
        <v>139.52501301200002</v>
      </c>
      <c r="K1391">
        <v>5.56</v>
      </c>
      <c r="L1391">
        <f t="shared" si="85"/>
        <v>775.75907234672002</v>
      </c>
    </row>
    <row r="1392" spans="1:12" x14ac:dyDescent="0.2">
      <c r="A1392" s="4">
        <v>43399</v>
      </c>
      <c r="B1392" t="s">
        <v>13</v>
      </c>
      <c r="C1392" s="28">
        <v>1</v>
      </c>
      <c r="D1392">
        <v>1</v>
      </c>
      <c r="E1392">
        <v>60</v>
      </c>
      <c r="F1392" t="s">
        <v>288</v>
      </c>
      <c r="G1392" t="s">
        <v>15</v>
      </c>
      <c r="H1392" t="s">
        <v>1072</v>
      </c>
      <c r="I1392">
        <f t="shared" si="82"/>
        <v>60</v>
      </c>
      <c r="J1392">
        <f t="shared" si="84"/>
        <v>27.215542200000002</v>
      </c>
      <c r="K1392">
        <v>5.56</v>
      </c>
      <c r="L1392">
        <f t="shared" si="85"/>
        <v>151.31841463199999</v>
      </c>
    </row>
    <row r="1393" spans="1:12" x14ac:dyDescent="0.2">
      <c r="A1393" s="4">
        <v>43399</v>
      </c>
      <c r="B1393" t="s">
        <v>13</v>
      </c>
      <c r="C1393" s="28">
        <v>1</v>
      </c>
      <c r="D1393">
        <v>1</v>
      </c>
      <c r="E1393">
        <v>20</v>
      </c>
      <c r="F1393" t="s">
        <v>18</v>
      </c>
      <c r="G1393" t="s">
        <v>15</v>
      </c>
      <c r="H1393" t="s">
        <v>1072</v>
      </c>
      <c r="I1393">
        <f t="shared" si="82"/>
        <v>20</v>
      </c>
      <c r="J1393">
        <f t="shared" si="84"/>
        <v>9.0718474000000011</v>
      </c>
      <c r="K1393">
        <v>5.56</v>
      </c>
      <c r="L1393">
        <f t="shared" si="85"/>
        <v>50.439471544</v>
      </c>
    </row>
    <row r="1394" spans="1:12" x14ac:dyDescent="0.2">
      <c r="A1394" s="4">
        <v>43434</v>
      </c>
      <c r="B1394" t="s">
        <v>525</v>
      </c>
      <c r="C1394">
        <v>1</v>
      </c>
      <c r="D1394">
        <v>1</v>
      </c>
      <c r="E1394">
        <v>89.1</v>
      </c>
      <c r="F1394" t="s">
        <v>396</v>
      </c>
      <c r="G1394" t="s">
        <v>15</v>
      </c>
      <c r="H1394" s="9" t="s">
        <v>1072</v>
      </c>
      <c r="I1394">
        <f t="shared" si="82"/>
        <v>89.1</v>
      </c>
      <c r="J1394">
        <f t="shared" si="84"/>
        <v>40.415080166999999</v>
      </c>
      <c r="K1394">
        <v>5.56</v>
      </c>
      <c r="L1394">
        <f t="shared" si="85"/>
        <v>224.70784572851997</v>
      </c>
    </row>
    <row r="1395" spans="1:12" x14ac:dyDescent="0.2">
      <c r="A1395" s="4">
        <v>43439</v>
      </c>
      <c r="B1395" t="s">
        <v>525</v>
      </c>
      <c r="C1395">
        <v>1</v>
      </c>
      <c r="D1395">
        <v>1</v>
      </c>
      <c r="E1395">
        <v>29.8</v>
      </c>
      <c r="F1395" t="s">
        <v>396</v>
      </c>
      <c r="G1395" t="s">
        <v>15</v>
      </c>
      <c r="H1395" s="9" t="s">
        <v>1072</v>
      </c>
      <c r="I1395">
        <f t="shared" si="82"/>
        <v>29.8</v>
      </c>
      <c r="J1395">
        <f t="shared" si="84"/>
        <v>13.517052626000002</v>
      </c>
      <c r="K1395">
        <v>5.56</v>
      </c>
      <c r="L1395">
        <f t="shared" si="85"/>
        <v>75.154812600560007</v>
      </c>
    </row>
    <row r="1396" spans="1:12" x14ac:dyDescent="0.2">
      <c r="B1396" t="s">
        <v>48</v>
      </c>
      <c r="C1396" s="28">
        <v>1</v>
      </c>
      <c r="D1396">
        <v>1</v>
      </c>
      <c r="E1396">
        <v>50</v>
      </c>
      <c r="F1396" t="s">
        <v>342</v>
      </c>
      <c r="G1396" t="s">
        <v>343</v>
      </c>
      <c r="H1396" t="s">
        <v>1071</v>
      </c>
      <c r="I1396">
        <f t="shared" si="82"/>
        <v>50</v>
      </c>
      <c r="J1396">
        <f t="shared" si="84"/>
        <v>22.6796185</v>
      </c>
      <c r="K1396">
        <v>0.217</v>
      </c>
      <c r="L1396">
        <f t="shared" si="85"/>
        <v>4.9214772145000003</v>
      </c>
    </row>
    <row r="1397" spans="1:12" x14ac:dyDescent="0.2">
      <c r="B1397" t="s">
        <v>48</v>
      </c>
      <c r="C1397" s="28">
        <v>1</v>
      </c>
      <c r="D1397">
        <v>1</v>
      </c>
      <c r="E1397">
        <v>50</v>
      </c>
      <c r="F1397" t="s">
        <v>343</v>
      </c>
      <c r="G1397" t="s">
        <v>343</v>
      </c>
      <c r="H1397" t="s">
        <v>1071</v>
      </c>
      <c r="I1397">
        <f t="shared" si="82"/>
        <v>50</v>
      </c>
      <c r="J1397">
        <f t="shared" si="84"/>
        <v>22.6796185</v>
      </c>
      <c r="K1397">
        <v>0.217</v>
      </c>
      <c r="L1397">
        <f t="shared" si="85"/>
        <v>4.9214772145000003</v>
      </c>
    </row>
    <row r="1398" spans="1:12" x14ac:dyDescent="0.2">
      <c r="B1398" t="s">
        <v>48</v>
      </c>
      <c r="C1398" s="28">
        <v>4</v>
      </c>
      <c r="D1398">
        <v>1</v>
      </c>
      <c r="E1398">
        <v>50</v>
      </c>
      <c r="F1398" t="s">
        <v>342</v>
      </c>
      <c r="G1398" t="s">
        <v>343</v>
      </c>
      <c r="H1398" t="s">
        <v>1071</v>
      </c>
      <c r="I1398">
        <f t="shared" ref="I1398:I1461" si="87">C1398*D1398*E1398</f>
        <v>200</v>
      </c>
      <c r="J1398">
        <f t="shared" si="84"/>
        <v>90.718474000000001</v>
      </c>
      <c r="K1398">
        <v>0.217</v>
      </c>
      <c r="L1398">
        <f t="shared" si="85"/>
        <v>19.685908858000001</v>
      </c>
    </row>
    <row r="1399" spans="1:12" x14ac:dyDescent="0.2">
      <c r="B1399" t="s">
        <v>48</v>
      </c>
      <c r="C1399" s="28">
        <v>3</v>
      </c>
      <c r="D1399">
        <v>1</v>
      </c>
      <c r="E1399">
        <v>50</v>
      </c>
      <c r="F1399" t="s">
        <v>342</v>
      </c>
      <c r="G1399" t="s">
        <v>343</v>
      </c>
      <c r="H1399" t="s">
        <v>1071</v>
      </c>
      <c r="I1399">
        <f t="shared" si="87"/>
        <v>150</v>
      </c>
      <c r="J1399">
        <f t="shared" si="84"/>
        <v>68.038855500000011</v>
      </c>
      <c r="K1399">
        <v>0.217</v>
      </c>
      <c r="L1399">
        <f t="shared" si="85"/>
        <v>14.764431643500002</v>
      </c>
    </row>
    <row r="1400" spans="1:12" x14ac:dyDescent="0.2">
      <c r="B1400" t="s">
        <v>48</v>
      </c>
      <c r="C1400" s="28">
        <v>3</v>
      </c>
      <c r="D1400">
        <v>1</v>
      </c>
      <c r="E1400">
        <v>40</v>
      </c>
      <c r="F1400" t="s">
        <v>350</v>
      </c>
      <c r="G1400" t="s">
        <v>343</v>
      </c>
      <c r="H1400" t="s">
        <v>1071</v>
      </c>
      <c r="I1400">
        <f t="shared" si="87"/>
        <v>120</v>
      </c>
      <c r="J1400">
        <f t="shared" si="84"/>
        <v>54.431084400000003</v>
      </c>
      <c r="K1400">
        <v>0.217</v>
      </c>
      <c r="L1400">
        <f t="shared" si="85"/>
        <v>11.8115453148</v>
      </c>
    </row>
    <row r="1401" spans="1:12" x14ac:dyDescent="0.2">
      <c r="B1401" t="s">
        <v>48</v>
      </c>
      <c r="C1401" s="28">
        <v>6</v>
      </c>
      <c r="D1401">
        <v>1</v>
      </c>
      <c r="E1401">
        <v>50</v>
      </c>
      <c r="F1401" t="s">
        <v>342</v>
      </c>
      <c r="G1401" t="s">
        <v>343</v>
      </c>
      <c r="H1401" t="s">
        <v>1071</v>
      </c>
      <c r="I1401">
        <f t="shared" si="87"/>
        <v>300</v>
      </c>
      <c r="J1401">
        <f t="shared" si="84"/>
        <v>136.07771100000002</v>
      </c>
      <c r="K1401">
        <v>0.217</v>
      </c>
      <c r="L1401">
        <f t="shared" si="85"/>
        <v>29.528863287000004</v>
      </c>
    </row>
    <row r="1402" spans="1:12" x14ac:dyDescent="0.2">
      <c r="B1402" t="s">
        <v>48</v>
      </c>
      <c r="C1402" s="28">
        <v>4</v>
      </c>
      <c r="D1402">
        <v>1</v>
      </c>
      <c r="E1402">
        <v>50</v>
      </c>
      <c r="F1402" t="s">
        <v>343</v>
      </c>
      <c r="G1402" t="s">
        <v>343</v>
      </c>
      <c r="H1402" t="s">
        <v>1071</v>
      </c>
      <c r="I1402">
        <f t="shared" si="87"/>
        <v>200</v>
      </c>
      <c r="J1402">
        <f t="shared" si="84"/>
        <v>90.718474000000001</v>
      </c>
      <c r="K1402">
        <v>0.217</v>
      </c>
      <c r="L1402">
        <f t="shared" si="85"/>
        <v>19.685908858000001</v>
      </c>
    </row>
    <row r="1403" spans="1:12" x14ac:dyDescent="0.2">
      <c r="B1403" t="s">
        <v>48</v>
      </c>
      <c r="C1403" s="28">
        <v>4</v>
      </c>
      <c r="D1403">
        <v>1</v>
      </c>
      <c r="E1403">
        <v>50</v>
      </c>
      <c r="F1403" t="s">
        <v>343</v>
      </c>
      <c r="G1403" t="s">
        <v>343</v>
      </c>
      <c r="H1403" t="s">
        <v>1071</v>
      </c>
      <c r="I1403">
        <f t="shared" si="87"/>
        <v>200</v>
      </c>
      <c r="J1403">
        <f t="shared" si="84"/>
        <v>90.718474000000001</v>
      </c>
      <c r="K1403">
        <v>0.217</v>
      </c>
      <c r="L1403">
        <f t="shared" si="85"/>
        <v>19.685908858000001</v>
      </c>
    </row>
    <row r="1404" spans="1:12" x14ac:dyDescent="0.2">
      <c r="B1404" t="s">
        <v>48</v>
      </c>
      <c r="C1404" s="28">
        <v>2</v>
      </c>
      <c r="D1404">
        <v>1</v>
      </c>
      <c r="E1404">
        <v>50</v>
      </c>
      <c r="F1404" t="s">
        <v>343</v>
      </c>
      <c r="G1404" t="s">
        <v>343</v>
      </c>
      <c r="H1404" t="s">
        <v>1071</v>
      </c>
      <c r="I1404">
        <f t="shared" si="87"/>
        <v>100</v>
      </c>
      <c r="J1404">
        <f t="shared" si="84"/>
        <v>45.359237</v>
      </c>
      <c r="K1404">
        <v>0.217</v>
      </c>
      <c r="L1404">
        <f t="shared" si="85"/>
        <v>9.8429544290000006</v>
      </c>
    </row>
    <row r="1405" spans="1:12" x14ac:dyDescent="0.2">
      <c r="A1405" s="4">
        <v>43434</v>
      </c>
      <c r="B1405" t="s">
        <v>531</v>
      </c>
      <c r="C1405">
        <v>4</v>
      </c>
      <c r="D1405">
        <v>6</v>
      </c>
      <c r="E1405">
        <v>6</v>
      </c>
      <c r="F1405" t="s">
        <v>533</v>
      </c>
      <c r="G1405" t="s">
        <v>854</v>
      </c>
      <c r="H1405" s="9" t="s">
        <v>1071</v>
      </c>
      <c r="I1405">
        <f t="shared" si="87"/>
        <v>144</v>
      </c>
      <c r="J1405">
        <f t="shared" si="84"/>
        <v>65.317301279999995</v>
      </c>
      <c r="K1405">
        <v>0.217</v>
      </c>
      <c r="L1405">
        <f t="shared" si="85"/>
        <v>14.17385437776</v>
      </c>
    </row>
    <row r="1406" spans="1:12" x14ac:dyDescent="0.2">
      <c r="A1406" s="4">
        <v>43434</v>
      </c>
      <c r="B1406" t="s">
        <v>531</v>
      </c>
      <c r="C1406">
        <v>4</v>
      </c>
      <c r="D1406">
        <v>6</v>
      </c>
      <c r="E1406">
        <v>3</v>
      </c>
      <c r="F1406" t="s">
        <v>404</v>
      </c>
      <c r="G1406" t="s">
        <v>854</v>
      </c>
      <c r="H1406" s="9" t="s">
        <v>1071</v>
      </c>
      <c r="I1406">
        <f t="shared" si="87"/>
        <v>72</v>
      </c>
      <c r="J1406">
        <f t="shared" si="84"/>
        <v>32.658650639999998</v>
      </c>
      <c r="K1406">
        <v>0.217</v>
      </c>
      <c r="L1406">
        <f t="shared" si="85"/>
        <v>7.0869271888799998</v>
      </c>
    </row>
    <row r="1407" spans="1:12" x14ac:dyDescent="0.2">
      <c r="A1407" s="4">
        <v>43434</v>
      </c>
      <c r="B1407" t="s">
        <v>531</v>
      </c>
      <c r="C1407">
        <v>6</v>
      </c>
      <c r="D1407">
        <v>6</v>
      </c>
      <c r="E1407">
        <v>5</v>
      </c>
      <c r="F1407" t="s">
        <v>419</v>
      </c>
      <c r="G1407" t="s">
        <v>854</v>
      </c>
      <c r="H1407" s="9" t="s">
        <v>1071</v>
      </c>
      <c r="I1407">
        <f t="shared" si="87"/>
        <v>180</v>
      </c>
      <c r="J1407">
        <f t="shared" si="84"/>
        <v>81.646626600000005</v>
      </c>
      <c r="K1407">
        <v>0.217</v>
      </c>
      <c r="L1407">
        <f t="shared" si="85"/>
        <v>17.7173179722</v>
      </c>
    </row>
    <row r="1408" spans="1:12" x14ac:dyDescent="0.2">
      <c r="A1408" s="4">
        <v>43437</v>
      </c>
      <c r="B1408" t="s">
        <v>531</v>
      </c>
      <c r="C1408">
        <v>4</v>
      </c>
      <c r="D1408">
        <v>6</v>
      </c>
      <c r="E1408">
        <v>6</v>
      </c>
      <c r="F1408" t="s">
        <v>533</v>
      </c>
      <c r="G1408" t="s">
        <v>854</v>
      </c>
      <c r="H1408" s="9" t="s">
        <v>1071</v>
      </c>
      <c r="I1408">
        <f t="shared" si="87"/>
        <v>144</v>
      </c>
      <c r="J1408">
        <f t="shared" si="84"/>
        <v>65.317301279999995</v>
      </c>
      <c r="K1408">
        <v>0.217</v>
      </c>
      <c r="L1408">
        <f t="shared" si="85"/>
        <v>14.17385437776</v>
      </c>
    </row>
    <row r="1409" spans="1:12" x14ac:dyDescent="0.2">
      <c r="A1409" s="4">
        <v>43437</v>
      </c>
      <c r="B1409" t="s">
        <v>531</v>
      </c>
      <c r="C1409">
        <v>4</v>
      </c>
      <c r="D1409">
        <v>6</v>
      </c>
      <c r="E1409">
        <v>3</v>
      </c>
      <c r="F1409" t="s">
        <v>404</v>
      </c>
      <c r="G1409" t="s">
        <v>854</v>
      </c>
      <c r="H1409" s="9" t="s">
        <v>1071</v>
      </c>
      <c r="I1409">
        <f t="shared" si="87"/>
        <v>72</v>
      </c>
      <c r="J1409">
        <f t="shared" si="84"/>
        <v>32.658650639999998</v>
      </c>
      <c r="K1409">
        <v>0.217</v>
      </c>
      <c r="L1409">
        <f t="shared" si="85"/>
        <v>7.0869271888799998</v>
      </c>
    </row>
    <row r="1410" spans="1:12" x14ac:dyDescent="0.2">
      <c r="A1410" s="4">
        <v>43437</v>
      </c>
      <c r="B1410" t="s">
        <v>531</v>
      </c>
      <c r="C1410">
        <v>4</v>
      </c>
      <c r="D1410">
        <v>6</v>
      </c>
      <c r="E1410">
        <v>5</v>
      </c>
      <c r="F1410" t="s">
        <v>406</v>
      </c>
      <c r="G1410" t="s">
        <v>854</v>
      </c>
      <c r="H1410" s="9" t="s">
        <v>1071</v>
      </c>
      <c r="I1410">
        <f t="shared" si="87"/>
        <v>120</v>
      </c>
      <c r="J1410">
        <f t="shared" si="84"/>
        <v>54.431084400000003</v>
      </c>
      <c r="K1410">
        <v>0.217</v>
      </c>
      <c r="L1410">
        <f t="shared" si="85"/>
        <v>11.8115453148</v>
      </c>
    </row>
    <row r="1411" spans="1:12" x14ac:dyDescent="0.2">
      <c r="A1411" s="4">
        <v>43439</v>
      </c>
      <c r="B1411" t="s">
        <v>531</v>
      </c>
      <c r="C1411">
        <v>4</v>
      </c>
      <c r="D1411">
        <v>6</v>
      </c>
      <c r="E1411">
        <v>5</v>
      </c>
      <c r="F1411" t="s">
        <v>403</v>
      </c>
      <c r="G1411" t="s">
        <v>854</v>
      </c>
      <c r="H1411" s="9" t="s">
        <v>1071</v>
      </c>
      <c r="I1411">
        <f t="shared" si="87"/>
        <v>120</v>
      </c>
      <c r="J1411">
        <f t="shared" ref="J1411:J1474" si="88">CONVERT(I1411,"lbm","kg")</f>
        <v>54.431084400000003</v>
      </c>
      <c r="K1411">
        <v>0.217</v>
      </c>
      <c r="L1411">
        <f t="shared" ref="L1411:L1474" si="89">J1411*K1411</f>
        <v>11.8115453148</v>
      </c>
    </row>
    <row r="1412" spans="1:12" x14ac:dyDescent="0.2">
      <c r="A1412" s="4">
        <v>43439</v>
      </c>
      <c r="B1412" t="s">
        <v>531</v>
      </c>
      <c r="C1412">
        <v>4</v>
      </c>
      <c r="D1412">
        <v>6</v>
      </c>
      <c r="E1412">
        <v>5</v>
      </c>
      <c r="F1412" t="s">
        <v>406</v>
      </c>
      <c r="G1412" t="s">
        <v>854</v>
      </c>
      <c r="H1412" s="9" t="s">
        <v>1071</v>
      </c>
      <c r="I1412">
        <f t="shared" si="87"/>
        <v>120</v>
      </c>
      <c r="J1412">
        <f t="shared" si="88"/>
        <v>54.431084400000003</v>
      </c>
      <c r="K1412">
        <v>0.217</v>
      </c>
      <c r="L1412">
        <f t="shared" si="89"/>
        <v>11.8115453148</v>
      </c>
    </row>
    <row r="1413" spans="1:12" x14ac:dyDescent="0.2">
      <c r="A1413" s="4">
        <v>43439</v>
      </c>
      <c r="B1413" t="s">
        <v>531</v>
      </c>
      <c r="C1413">
        <v>8</v>
      </c>
      <c r="D1413">
        <v>6</v>
      </c>
      <c r="E1413">
        <v>5</v>
      </c>
      <c r="F1413" t="s">
        <v>419</v>
      </c>
      <c r="G1413" t="s">
        <v>854</v>
      </c>
      <c r="H1413" s="9" t="s">
        <v>1071</v>
      </c>
      <c r="I1413">
        <f t="shared" si="87"/>
        <v>240</v>
      </c>
      <c r="J1413">
        <f t="shared" si="88"/>
        <v>108.86216880000001</v>
      </c>
      <c r="K1413">
        <v>0.217</v>
      </c>
      <c r="L1413">
        <f t="shared" si="89"/>
        <v>23.6230906296</v>
      </c>
    </row>
    <row r="1414" spans="1:12" x14ac:dyDescent="0.2">
      <c r="A1414" s="4">
        <v>43437</v>
      </c>
      <c r="B1414" t="s">
        <v>531</v>
      </c>
      <c r="C1414">
        <v>4</v>
      </c>
      <c r="D1414">
        <v>6</v>
      </c>
      <c r="E1414">
        <v>5</v>
      </c>
      <c r="F1414" t="s">
        <v>412</v>
      </c>
      <c r="G1414" t="s">
        <v>914</v>
      </c>
      <c r="H1414" s="9" t="s">
        <v>1071</v>
      </c>
      <c r="I1414">
        <f t="shared" si="87"/>
        <v>120</v>
      </c>
      <c r="J1414">
        <f t="shared" si="88"/>
        <v>54.431084400000003</v>
      </c>
      <c r="K1414">
        <v>1.5449999999999999</v>
      </c>
      <c r="L1414">
        <f t="shared" si="89"/>
        <v>84.096025397999995</v>
      </c>
    </row>
    <row r="1415" spans="1:12" x14ac:dyDescent="0.2">
      <c r="A1415" s="4">
        <v>43439</v>
      </c>
      <c r="B1415" t="s">
        <v>538</v>
      </c>
      <c r="C1415">
        <v>1</v>
      </c>
      <c r="D1415">
        <v>24</v>
      </c>
      <c r="E1415">
        <f>15/16</f>
        <v>0.9375</v>
      </c>
      <c r="F1415" t="s">
        <v>590</v>
      </c>
      <c r="G1415" t="s">
        <v>882</v>
      </c>
      <c r="H1415" s="9" t="s">
        <v>1071</v>
      </c>
      <c r="I1415">
        <f t="shared" si="87"/>
        <v>22.5</v>
      </c>
      <c r="J1415">
        <f t="shared" si="88"/>
        <v>10.205828325000001</v>
      </c>
      <c r="K1415">
        <v>0.68400000000000005</v>
      </c>
      <c r="L1415">
        <f t="shared" si="89"/>
        <v>6.9807865743000006</v>
      </c>
    </row>
    <row r="1416" spans="1:12" x14ac:dyDescent="0.2">
      <c r="A1416" s="4">
        <v>43439</v>
      </c>
      <c r="B1416" t="s">
        <v>538</v>
      </c>
      <c r="C1416">
        <v>1</v>
      </c>
      <c r="D1416">
        <v>1</v>
      </c>
      <c r="E1416">
        <v>30</v>
      </c>
      <c r="F1416" t="s">
        <v>593</v>
      </c>
      <c r="G1416" t="s">
        <v>882</v>
      </c>
      <c r="H1416" s="9" t="s">
        <v>1071</v>
      </c>
      <c r="I1416">
        <f t="shared" si="87"/>
        <v>30</v>
      </c>
      <c r="J1416">
        <f t="shared" si="88"/>
        <v>13.607771100000001</v>
      </c>
      <c r="K1416">
        <v>0.68400000000000005</v>
      </c>
      <c r="L1416">
        <f t="shared" si="89"/>
        <v>9.307715432400002</v>
      </c>
    </row>
    <row r="1417" spans="1:12" x14ac:dyDescent="0.2">
      <c r="A1417" s="4">
        <v>43434</v>
      </c>
      <c r="B1417" t="s">
        <v>538</v>
      </c>
      <c r="C1417">
        <v>8</v>
      </c>
      <c r="D1417">
        <v>1</v>
      </c>
      <c r="E1417">
        <v>25</v>
      </c>
      <c r="F1417" t="s">
        <v>424</v>
      </c>
      <c r="G1417" t="s">
        <v>859</v>
      </c>
      <c r="H1417" s="9" t="s">
        <v>1071</v>
      </c>
      <c r="I1417">
        <f t="shared" si="87"/>
        <v>200</v>
      </c>
      <c r="J1417">
        <f t="shared" si="88"/>
        <v>90.718474000000001</v>
      </c>
      <c r="K1417">
        <v>1.5409999999999999</v>
      </c>
      <c r="L1417">
        <f t="shared" si="89"/>
        <v>139.79716843399999</v>
      </c>
    </row>
    <row r="1418" spans="1:12" x14ac:dyDescent="0.2">
      <c r="A1418" s="4">
        <v>43434</v>
      </c>
      <c r="B1418" t="s">
        <v>538</v>
      </c>
      <c r="C1418">
        <v>4</v>
      </c>
      <c r="D1418">
        <v>2</v>
      </c>
      <c r="E1418">
        <v>5</v>
      </c>
      <c r="F1418" t="s">
        <v>429</v>
      </c>
      <c r="G1418" t="s">
        <v>859</v>
      </c>
      <c r="H1418" s="9" t="s">
        <v>1071</v>
      </c>
      <c r="I1418">
        <f t="shared" si="87"/>
        <v>40</v>
      </c>
      <c r="J1418">
        <f t="shared" si="88"/>
        <v>18.143694800000002</v>
      </c>
      <c r="K1418">
        <v>1.5409999999999999</v>
      </c>
      <c r="L1418">
        <f t="shared" si="89"/>
        <v>27.959433686800001</v>
      </c>
    </row>
    <row r="1419" spans="1:12" x14ac:dyDescent="0.2">
      <c r="A1419" s="4">
        <v>43434</v>
      </c>
      <c r="B1419" t="s">
        <v>538</v>
      </c>
      <c r="C1419">
        <v>4</v>
      </c>
      <c r="D1419">
        <v>1</v>
      </c>
      <c r="E1419">
        <v>25</v>
      </c>
      <c r="F1419" t="s">
        <v>452</v>
      </c>
      <c r="G1419" t="s">
        <v>859</v>
      </c>
      <c r="H1419" s="9" t="s">
        <v>1071</v>
      </c>
      <c r="I1419">
        <f t="shared" si="87"/>
        <v>100</v>
      </c>
      <c r="J1419">
        <f t="shared" si="88"/>
        <v>45.359237</v>
      </c>
      <c r="K1419">
        <v>1.5409999999999999</v>
      </c>
      <c r="L1419">
        <f t="shared" si="89"/>
        <v>69.898584216999993</v>
      </c>
    </row>
    <row r="1420" spans="1:12" x14ac:dyDescent="0.2">
      <c r="A1420" s="4">
        <v>43434</v>
      </c>
      <c r="B1420" t="s">
        <v>538</v>
      </c>
      <c r="C1420">
        <v>4</v>
      </c>
      <c r="D1420">
        <v>2</v>
      </c>
      <c r="E1420">
        <v>5</v>
      </c>
      <c r="F1420" t="s">
        <v>564</v>
      </c>
      <c r="G1420" t="s">
        <v>859</v>
      </c>
      <c r="H1420" s="9" t="s">
        <v>1071</v>
      </c>
      <c r="I1420">
        <f t="shared" si="87"/>
        <v>40</v>
      </c>
      <c r="J1420">
        <f t="shared" si="88"/>
        <v>18.143694800000002</v>
      </c>
      <c r="K1420">
        <v>1.5409999999999999</v>
      </c>
      <c r="L1420">
        <f t="shared" si="89"/>
        <v>27.959433686800001</v>
      </c>
    </row>
    <row r="1421" spans="1:12" x14ac:dyDescent="0.2">
      <c r="A1421" s="4">
        <v>43437</v>
      </c>
      <c r="B1421" t="s">
        <v>538</v>
      </c>
      <c r="C1421">
        <v>3</v>
      </c>
      <c r="D1421">
        <v>1</v>
      </c>
      <c r="E1421">
        <v>25</v>
      </c>
      <c r="F1421" t="s">
        <v>424</v>
      </c>
      <c r="G1421" t="s">
        <v>859</v>
      </c>
      <c r="H1421" s="9" t="s">
        <v>1071</v>
      </c>
      <c r="I1421">
        <f t="shared" si="87"/>
        <v>75</v>
      </c>
      <c r="J1421">
        <f t="shared" si="88"/>
        <v>34.019427750000006</v>
      </c>
      <c r="K1421">
        <v>1.5409999999999999</v>
      </c>
      <c r="L1421">
        <f t="shared" si="89"/>
        <v>52.423938162750005</v>
      </c>
    </row>
    <row r="1422" spans="1:12" x14ac:dyDescent="0.2">
      <c r="A1422" s="4">
        <v>43437</v>
      </c>
      <c r="B1422" t="s">
        <v>538</v>
      </c>
      <c r="C1422">
        <v>3</v>
      </c>
      <c r="D1422">
        <v>2</v>
      </c>
      <c r="E1422">
        <v>5</v>
      </c>
      <c r="F1422" t="s">
        <v>429</v>
      </c>
      <c r="G1422" t="s">
        <v>859</v>
      </c>
      <c r="H1422" s="9" t="s">
        <v>1071</v>
      </c>
      <c r="I1422">
        <f t="shared" si="87"/>
        <v>30</v>
      </c>
      <c r="J1422">
        <f t="shared" si="88"/>
        <v>13.607771100000001</v>
      </c>
      <c r="K1422">
        <v>1.5409999999999999</v>
      </c>
      <c r="L1422">
        <f t="shared" si="89"/>
        <v>20.969575265100001</v>
      </c>
    </row>
    <row r="1423" spans="1:12" x14ac:dyDescent="0.2">
      <c r="A1423" s="4">
        <v>43437</v>
      </c>
      <c r="B1423" t="s">
        <v>538</v>
      </c>
      <c r="C1423">
        <v>2</v>
      </c>
      <c r="D1423">
        <v>1</v>
      </c>
      <c r="E1423">
        <v>25</v>
      </c>
      <c r="F1423" t="s">
        <v>452</v>
      </c>
      <c r="G1423" t="s">
        <v>859</v>
      </c>
      <c r="H1423" s="9" t="s">
        <v>1071</v>
      </c>
      <c r="I1423">
        <f t="shared" si="87"/>
        <v>50</v>
      </c>
      <c r="J1423">
        <f t="shared" si="88"/>
        <v>22.6796185</v>
      </c>
      <c r="K1423">
        <v>1.5409999999999999</v>
      </c>
      <c r="L1423">
        <f t="shared" si="89"/>
        <v>34.949292108499996</v>
      </c>
    </row>
    <row r="1424" spans="1:12" x14ac:dyDescent="0.2">
      <c r="A1424" s="4">
        <v>43437</v>
      </c>
      <c r="B1424" t="s">
        <v>538</v>
      </c>
      <c r="C1424">
        <v>1</v>
      </c>
      <c r="D1424">
        <v>1</v>
      </c>
      <c r="E1424">
        <v>50</v>
      </c>
      <c r="F1424" t="s">
        <v>459</v>
      </c>
      <c r="G1424" t="s">
        <v>859</v>
      </c>
      <c r="H1424" s="9" t="s">
        <v>1071</v>
      </c>
      <c r="I1424">
        <f t="shared" si="87"/>
        <v>50</v>
      </c>
      <c r="J1424">
        <f t="shared" si="88"/>
        <v>22.6796185</v>
      </c>
      <c r="K1424">
        <v>1.5409999999999999</v>
      </c>
      <c r="L1424">
        <f t="shared" si="89"/>
        <v>34.949292108499996</v>
      </c>
    </row>
    <row r="1425" spans="1:12" x14ac:dyDescent="0.2">
      <c r="A1425" s="4">
        <v>43439</v>
      </c>
      <c r="B1425" t="s">
        <v>538</v>
      </c>
      <c r="C1425">
        <v>4</v>
      </c>
      <c r="D1425">
        <v>1</v>
      </c>
      <c r="E1425">
        <v>25</v>
      </c>
      <c r="F1425" t="s">
        <v>424</v>
      </c>
      <c r="G1425" t="s">
        <v>859</v>
      </c>
      <c r="H1425" s="9" t="s">
        <v>1071</v>
      </c>
      <c r="I1425">
        <f t="shared" si="87"/>
        <v>100</v>
      </c>
      <c r="J1425">
        <f t="shared" si="88"/>
        <v>45.359237</v>
      </c>
      <c r="K1425">
        <v>1.5409999999999999</v>
      </c>
      <c r="L1425">
        <f t="shared" si="89"/>
        <v>69.898584216999993</v>
      </c>
    </row>
    <row r="1426" spans="1:12" x14ac:dyDescent="0.2">
      <c r="A1426" s="4">
        <v>43439</v>
      </c>
      <c r="B1426" t="s">
        <v>538</v>
      </c>
      <c r="C1426">
        <v>3</v>
      </c>
      <c r="D1426">
        <v>1</v>
      </c>
      <c r="E1426">
        <v>25</v>
      </c>
      <c r="F1426" t="s">
        <v>452</v>
      </c>
      <c r="G1426" t="s">
        <v>859</v>
      </c>
      <c r="H1426" s="9" t="s">
        <v>1071</v>
      </c>
      <c r="I1426">
        <f t="shared" si="87"/>
        <v>75</v>
      </c>
      <c r="J1426">
        <f t="shared" si="88"/>
        <v>34.019427750000006</v>
      </c>
      <c r="K1426">
        <v>1.5409999999999999</v>
      </c>
      <c r="L1426">
        <f t="shared" si="89"/>
        <v>52.423938162750005</v>
      </c>
    </row>
    <row r="1427" spans="1:12" x14ac:dyDescent="0.2">
      <c r="A1427" s="4">
        <v>43439</v>
      </c>
      <c r="B1427" t="s">
        <v>538</v>
      </c>
      <c r="C1427">
        <v>1</v>
      </c>
      <c r="D1427">
        <v>1</v>
      </c>
      <c r="E1427">
        <v>50</v>
      </c>
      <c r="F1427" t="s">
        <v>459</v>
      </c>
      <c r="G1427" t="s">
        <v>859</v>
      </c>
      <c r="H1427" s="9" t="s">
        <v>1071</v>
      </c>
      <c r="I1427">
        <f t="shared" si="87"/>
        <v>50</v>
      </c>
      <c r="J1427">
        <f t="shared" si="88"/>
        <v>22.6796185</v>
      </c>
      <c r="K1427">
        <v>1.5409999999999999</v>
      </c>
      <c r="L1427">
        <f t="shared" si="89"/>
        <v>34.949292108499996</v>
      </c>
    </row>
    <row r="1428" spans="1:12" x14ac:dyDescent="0.2">
      <c r="B1428" t="s">
        <v>48</v>
      </c>
      <c r="C1428" s="28">
        <v>2</v>
      </c>
      <c r="D1428">
        <v>1</v>
      </c>
      <c r="E1428">
        <v>48</v>
      </c>
      <c r="F1428" t="s">
        <v>329</v>
      </c>
      <c r="G1428" t="s">
        <v>795</v>
      </c>
      <c r="H1428" t="s">
        <v>1071</v>
      </c>
      <c r="I1428">
        <f t="shared" si="87"/>
        <v>96</v>
      </c>
      <c r="J1428">
        <f t="shared" si="88"/>
        <v>43.544867520000004</v>
      </c>
      <c r="K1428">
        <v>0.158</v>
      </c>
      <c r="L1428">
        <f t="shared" si="89"/>
        <v>6.8800890681600011</v>
      </c>
    </row>
    <row r="1429" spans="1:12" x14ac:dyDescent="0.2">
      <c r="B1429" t="s">
        <v>48</v>
      </c>
      <c r="C1429" s="28">
        <v>2</v>
      </c>
      <c r="D1429">
        <v>1</v>
      </c>
      <c r="E1429">
        <v>48</v>
      </c>
      <c r="F1429" t="s">
        <v>345</v>
      </c>
      <c r="G1429" t="s">
        <v>795</v>
      </c>
      <c r="H1429" t="s">
        <v>1071</v>
      </c>
      <c r="I1429">
        <f t="shared" si="87"/>
        <v>96</v>
      </c>
      <c r="J1429">
        <f t="shared" si="88"/>
        <v>43.544867520000004</v>
      </c>
      <c r="K1429">
        <v>0.158</v>
      </c>
      <c r="L1429">
        <f t="shared" si="89"/>
        <v>6.8800890681600011</v>
      </c>
    </row>
    <row r="1430" spans="1:12" x14ac:dyDescent="0.2">
      <c r="B1430" t="s">
        <v>48</v>
      </c>
      <c r="C1430" s="28">
        <v>3</v>
      </c>
      <c r="D1430">
        <v>1</v>
      </c>
      <c r="E1430">
        <v>48</v>
      </c>
      <c r="F1430" t="s">
        <v>345</v>
      </c>
      <c r="G1430" t="s">
        <v>795</v>
      </c>
      <c r="H1430" t="s">
        <v>1071</v>
      </c>
      <c r="I1430">
        <f t="shared" si="87"/>
        <v>144</v>
      </c>
      <c r="J1430">
        <f t="shared" si="88"/>
        <v>65.317301279999995</v>
      </c>
      <c r="K1430">
        <v>0.158</v>
      </c>
      <c r="L1430">
        <f t="shared" si="89"/>
        <v>10.320133602239999</v>
      </c>
    </row>
    <row r="1431" spans="1:12" x14ac:dyDescent="0.2">
      <c r="B1431" t="s">
        <v>48</v>
      </c>
      <c r="C1431" s="28">
        <v>2</v>
      </c>
      <c r="D1431">
        <v>1</v>
      </c>
      <c r="E1431">
        <v>48</v>
      </c>
      <c r="F1431" t="s">
        <v>329</v>
      </c>
      <c r="G1431" t="s">
        <v>795</v>
      </c>
      <c r="H1431" t="s">
        <v>1071</v>
      </c>
      <c r="I1431">
        <f t="shared" si="87"/>
        <v>96</v>
      </c>
      <c r="J1431">
        <f t="shared" si="88"/>
        <v>43.544867520000004</v>
      </c>
      <c r="K1431">
        <v>0.158</v>
      </c>
      <c r="L1431">
        <f t="shared" si="89"/>
        <v>6.8800890681600011</v>
      </c>
    </row>
    <row r="1432" spans="1:12" x14ac:dyDescent="0.2">
      <c r="B1432" t="s">
        <v>48</v>
      </c>
      <c r="C1432" s="28">
        <v>3</v>
      </c>
      <c r="D1432">
        <v>1</v>
      </c>
      <c r="E1432">
        <v>48</v>
      </c>
      <c r="F1432" t="s">
        <v>329</v>
      </c>
      <c r="G1432" t="s">
        <v>795</v>
      </c>
      <c r="H1432" t="s">
        <v>1071</v>
      </c>
      <c r="I1432">
        <f t="shared" si="87"/>
        <v>144</v>
      </c>
      <c r="J1432">
        <f t="shared" si="88"/>
        <v>65.317301279999995</v>
      </c>
      <c r="K1432">
        <v>0.158</v>
      </c>
      <c r="L1432">
        <f t="shared" si="89"/>
        <v>10.320133602239999</v>
      </c>
    </row>
    <row r="1433" spans="1:12" x14ac:dyDescent="0.2">
      <c r="B1433" t="s">
        <v>48</v>
      </c>
      <c r="C1433" s="28">
        <v>4</v>
      </c>
      <c r="D1433">
        <v>1</v>
      </c>
      <c r="E1433">
        <v>48</v>
      </c>
      <c r="F1433" t="s">
        <v>345</v>
      </c>
      <c r="G1433" t="s">
        <v>795</v>
      </c>
      <c r="H1433" t="s">
        <v>1071</v>
      </c>
      <c r="I1433">
        <f t="shared" si="87"/>
        <v>192</v>
      </c>
      <c r="J1433">
        <f t="shared" si="88"/>
        <v>87.089735040000008</v>
      </c>
      <c r="K1433">
        <v>0.158</v>
      </c>
      <c r="L1433">
        <f t="shared" si="89"/>
        <v>13.760178136320002</v>
      </c>
    </row>
    <row r="1434" spans="1:12" x14ac:dyDescent="0.2">
      <c r="A1434" s="4">
        <v>43434</v>
      </c>
      <c r="B1434" t="s">
        <v>538</v>
      </c>
      <c r="C1434">
        <v>1</v>
      </c>
      <c r="D1434">
        <v>4</v>
      </c>
      <c r="E1434">
        <v>7.9</v>
      </c>
      <c r="F1434" t="s">
        <v>550</v>
      </c>
      <c r="G1434" t="s">
        <v>906</v>
      </c>
      <c r="H1434" s="9" t="s">
        <v>1071</v>
      </c>
      <c r="I1434">
        <f t="shared" si="87"/>
        <v>31.6</v>
      </c>
      <c r="J1434">
        <f t="shared" si="88"/>
        <v>14.333518892000003</v>
      </c>
      <c r="K1434">
        <v>2.3340000000000001</v>
      </c>
      <c r="L1434">
        <f t="shared" si="89"/>
        <v>33.45443309392801</v>
      </c>
    </row>
    <row r="1435" spans="1:12" x14ac:dyDescent="0.2">
      <c r="A1435" s="10">
        <v>43404</v>
      </c>
      <c r="B1435" s="9" t="s">
        <v>946</v>
      </c>
      <c r="C1435" s="35">
        <v>1</v>
      </c>
      <c r="D1435">
        <v>1</v>
      </c>
      <c r="E1435" s="9">
        <v>100</v>
      </c>
      <c r="F1435" s="9" t="s">
        <v>1006</v>
      </c>
      <c r="G1435" s="9" t="s">
        <v>951</v>
      </c>
      <c r="H1435" t="s">
        <v>1071</v>
      </c>
      <c r="I1435">
        <f t="shared" si="87"/>
        <v>100</v>
      </c>
      <c r="J1435">
        <f t="shared" si="88"/>
        <v>45.359237</v>
      </c>
      <c r="K1435">
        <v>0.63900000000000001</v>
      </c>
      <c r="L1435">
        <f t="shared" si="89"/>
        <v>28.984552443000002</v>
      </c>
    </row>
    <row r="1436" spans="1:12" x14ac:dyDescent="0.2">
      <c r="A1436" s="4">
        <v>43434</v>
      </c>
      <c r="B1436" t="s">
        <v>517</v>
      </c>
      <c r="C1436">
        <v>3</v>
      </c>
      <c r="D1436">
        <v>1</v>
      </c>
      <c r="E1436">
        <f>2.5*8.6</f>
        <v>21.5</v>
      </c>
      <c r="F1436" t="s">
        <v>463</v>
      </c>
      <c r="G1436" t="s">
        <v>933</v>
      </c>
      <c r="H1436" s="9" t="s">
        <v>1071</v>
      </c>
      <c r="I1436">
        <f t="shared" si="87"/>
        <v>64.5</v>
      </c>
      <c r="J1436">
        <f t="shared" si="88"/>
        <v>29.256707864999999</v>
      </c>
      <c r="K1436">
        <v>0.25800000000000001</v>
      </c>
      <c r="L1436">
        <f t="shared" si="89"/>
        <v>7.5482306291699999</v>
      </c>
    </row>
    <row r="1437" spans="1:12" x14ac:dyDescent="0.2">
      <c r="A1437" s="4">
        <v>43434</v>
      </c>
      <c r="B1437" t="s">
        <v>517</v>
      </c>
      <c r="C1437">
        <v>3</v>
      </c>
      <c r="D1437">
        <v>1</v>
      </c>
      <c r="E1437">
        <f>2.5*8.6</f>
        <v>21.5</v>
      </c>
      <c r="F1437" t="s">
        <v>464</v>
      </c>
      <c r="G1437" t="s">
        <v>933</v>
      </c>
      <c r="H1437" s="9" t="s">
        <v>1071</v>
      </c>
      <c r="I1437">
        <f t="shared" si="87"/>
        <v>64.5</v>
      </c>
      <c r="J1437">
        <f t="shared" si="88"/>
        <v>29.256707864999999</v>
      </c>
      <c r="K1437">
        <v>0.25800000000000001</v>
      </c>
      <c r="L1437">
        <f t="shared" si="89"/>
        <v>7.5482306291699999</v>
      </c>
    </row>
    <row r="1438" spans="1:12" x14ac:dyDescent="0.2">
      <c r="A1438" s="4">
        <v>43434</v>
      </c>
      <c r="B1438" t="s">
        <v>517</v>
      </c>
      <c r="C1438">
        <v>1</v>
      </c>
      <c r="D1438">
        <v>12</v>
      </c>
      <c r="E1438">
        <f>2</f>
        <v>2</v>
      </c>
      <c r="F1438" t="s">
        <v>520</v>
      </c>
      <c r="G1438" t="s">
        <v>933</v>
      </c>
      <c r="H1438" s="9" t="s">
        <v>1071</v>
      </c>
      <c r="I1438">
        <f t="shared" si="87"/>
        <v>24</v>
      </c>
      <c r="J1438">
        <f t="shared" si="88"/>
        <v>10.886216880000001</v>
      </c>
      <c r="K1438">
        <v>0.25800000000000001</v>
      </c>
      <c r="L1438">
        <f t="shared" si="89"/>
        <v>2.8086439550400004</v>
      </c>
    </row>
    <row r="1439" spans="1:12" x14ac:dyDescent="0.2">
      <c r="A1439" s="4">
        <v>43437</v>
      </c>
      <c r="B1439" t="s">
        <v>517</v>
      </c>
      <c r="C1439">
        <v>2</v>
      </c>
      <c r="D1439">
        <v>1</v>
      </c>
      <c r="E1439">
        <f>2.5*8.6</f>
        <v>21.5</v>
      </c>
      <c r="F1439" t="s">
        <v>463</v>
      </c>
      <c r="G1439" t="s">
        <v>933</v>
      </c>
      <c r="H1439" s="9" t="s">
        <v>1071</v>
      </c>
      <c r="I1439">
        <f t="shared" si="87"/>
        <v>43</v>
      </c>
      <c r="J1439">
        <f t="shared" si="88"/>
        <v>19.504471909999999</v>
      </c>
      <c r="K1439">
        <v>0.25800000000000001</v>
      </c>
      <c r="L1439">
        <f t="shared" si="89"/>
        <v>5.0321537527800002</v>
      </c>
    </row>
    <row r="1440" spans="1:12" x14ac:dyDescent="0.2">
      <c r="A1440" s="4">
        <v>43437</v>
      </c>
      <c r="B1440" t="s">
        <v>517</v>
      </c>
      <c r="C1440">
        <v>1</v>
      </c>
      <c r="D1440">
        <v>1</v>
      </c>
      <c r="E1440">
        <f>2.5*8.6</f>
        <v>21.5</v>
      </c>
      <c r="F1440" t="s">
        <v>464</v>
      </c>
      <c r="G1440" t="s">
        <v>933</v>
      </c>
      <c r="H1440" s="9" t="s">
        <v>1071</v>
      </c>
      <c r="I1440">
        <f t="shared" si="87"/>
        <v>21.5</v>
      </c>
      <c r="J1440">
        <f t="shared" si="88"/>
        <v>9.7522359549999997</v>
      </c>
      <c r="K1440">
        <v>0.25800000000000001</v>
      </c>
      <c r="L1440">
        <f t="shared" si="89"/>
        <v>2.5160768763900001</v>
      </c>
    </row>
    <row r="1441" spans="1:12" x14ac:dyDescent="0.2">
      <c r="A1441" s="4">
        <v>43439</v>
      </c>
      <c r="B1441" t="s">
        <v>517</v>
      </c>
      <c r="C1441">
        <v>2</v>
      </c>
      <c r="D1441">
        <v>1</v>
      </c>
      <c r="E1441">
        <f>2.5*8.6</f>
        <v>21.5</v>
      </c>
      <c r="F1441" t="s">
        <v>463</v>
      </c>
      <c r="G1441" t="s">
        <v>933</v>
      </c>
      <c r="H1441" s="9" t="s">
        <v>1071</v>
      </c>
      <c r="I1441">
        <f t="shared" si="87"/>
        <v>43</v>
      </c>
      <c r="J1441">
        <f t="shared" si="88"/>
        <v>19.504471909999999</v>
      </c>
      <c r="K1441">
        <v>0.25800000000000001</v>
      </c>
      <c r="L1441">
        <f t="shared" si="89"/>
        <v>5.0321537527800002</v>
      </c>
    </row>
    <row r="1442" spans="1:12" x14ac:dyDescent="0.2">
      <c r="A1442" s="4">
        <v>43439</v>
      </c>
      <c r="B1442" t="s">
        <v>517</v>
      </c>
      <c r="C1442">
        <v>2</v>
      </c>
      <c r="D1442">
        <v>1</v>
      </c>
      <c r="E1442">
        <f>2.5*8.6</f>
        <v>21.5</v>
      </c>
      <c r="F1442" t="s">
        <v>464</v>
      </c>
      <c r="G1442" t="s">
        <v>933</v>
      </c>
      <c r="H1442" s="9" t="s">
        <v>1071</v>
      </c>
      <c r="I1442">
        <f t="shared" si="87"/>
        <v>43</v>
      </c>
      <c r="J1442">
        <f t="shared" si="88"/>
        <v>19.504471909999999</v>
      </c>
      <c r="K1442">
        <v>0.25800000000000001</v>
      </c>
      <c r="L1442">
        <f t="shared" si="89"/>
        <v>5.0321537527800002</v>
      </c>
    </row>
    <row r="1443" spans="1:12" x14ac:dyDescent="0.2">
      <c r="B1443" t="s">
        <v>48</v>
      </c>
      <c r="C1443" s="28">
        <v>1</v>
      </c>
      <c r="D1443">
        <v>1</v>
      </c>
      <c r="E1443">
        <v>20</v>
      </c>
      <c r="F1443" t="s">
        <v>250</v>
      </c>
      <c r="G1443" t="s">
        <v>963</v>
      </c>
      <c r="H1443" t="s">
        <v>1071</v>
      </c>
      <c r="I1443">
        <f t="shared" si="87"/>
        <v>20</v>
      </c>
      <c r="J1443">
        <f t="shared" si="88"/>
        <v>9.0718474000000011</v>
      </c>
      <c r="K1443">
        <v>1.1539999999999999</v>
      </c>
      <c r="L1443">
        <f t="shared" si="89"/>
        <v>10.4689118996</v>
      </c>
    </row>
    <row r="1444" spans="1:12" x14ac:dyDescent="0.2">
      <c r="B1444" t="s">
        <v>48</v>
      </c>
      <c r="C1444" s="28">
        <v>1</v>
      </c>
      <c r="D1444">
        <v>1</v>
      </c>
      <c r="E1444">
        <v>20</v>
      </c>
      <c r="F1444" t="s">
        <v>250</v>
      </c>
      <c r="G1444" t="s">
        <v>963</v>
      </c>
      <c r="H1444" t="s">
        <v>1071</v>
      </c>
      <c r="I1444">
        <f t="shared" si="87"/>
        <v>20</v>
      </c>
      <c r="J1444">
        <f t="shared" si="88"/>
        <v>9.0718474000000011</v>
      </c>
      <c r="K1444">
        <v>1.1539999999999999</v>
      </c>
      <c r="L1444">
        <f t="shared" si="89"/>
        <v>10.4689118996</v>
      </c>
    </row>
    <row r="1445" spans="1:12" x14ac:dyDescent="0.2">
      <c r="B1445" t="s">
        <v>48</v>
      </c>
      <c r="C1445" s="28">
        <v>3</v>
      </c>
      <c r="D1445">
        <v>1</v>
      </c>
      <c r="E1445">
        <v>20</v>
      </c>
      <c r="F1445" t="s">
        <v>250</v>
      </c>
      <c r="G1445" t="s">
        <v>963</v>
      </c>
      <c r="H1445" t="s">
        <v>1071</v>
      </c>
      <c r="I1445">
        <f t="shared" si="87"/>
        <v>60</v>
      </c>
      <c r="J1445">
        <f t="shared" si="88"/>
        <v>27.215542200000002</v>
      </c>
      <c r="K1445">
        <v>1.1539999999999999</v>
      </c>
      <c r="L1445">
        <f t="shared" si="89"/>
        <v>31.406735698799999</v>
      </c>
    </row>
    <row r="1446" spans="1:12" x14ac:dyDescent="0.2">
      <c r="A1446" s="4">
        <v>43437</v>
      </c>
      <c r="B1446" t="s">
        <v>538</v>
      </c>
      <c r="C1446">
        <v>3</v>
      </c>
      <c r="D1446">
        <v>6</v>
      </c>
      <c r="E1446">
        <f>14/16</f>
        <v>0.875</v>
      </c>
      <c r="F1446" t="s">
        <v>581</v>
      </c>
      <c r="G1446" t="s">
        <v>869</v>
      </c>
      <c r="H1446" s="9" t="s">
        <v>1071</v>
      </c>
      <c r="I1446">
        <f t="shared" si="87"/>
        <v>15.75</v>
      </c>
      <c r="J1446">
        <f t="shared" si="88"/>
        <v>7.1440798275000006</v>
      </c>
      <c r="K1446">
        <v>0.87</v>
      </c>
      <c r="L1446">
        <f t="shared" si="89"/>
        <v>6.2153494499250002</v>
      </c>
    </row>
    <row r="1447" spans="1:12" x14ac:dyDescent="0.2">
      <c r="A1447" s="4">
        <v>43437</v>
      </c>
      <c r="B1447" t="s">
        <v>538</v>
      </c>
      <c r="C1447">
        <v>3</v>
      </c>
      <c r="D1447">
        <v>6</v>
      </c>
      <c r="E1447">
        <v>1</v>
      </c>
      <c r="F1447" t="s">
        <v>582</v>
      </c>
      <c r="G1447" t="s">
        <v>869</v>
      </c>
      <c r="H1447" s="9" t="s">
        <v>1071</v>
      </c>
      <c r="I1447">
        <f t="shared" si="87"/>
        <v>18</v>
      </c>
      <c r="J1447">
        <f t="shared" si="88"/>
        <v>8.1646626599999994</v>
      </c>
      <c r="K1447">
        <v>0.87</v>
      </c>
      <c r="L1447">
        <f t="shared" si="89"/>
        <v>7.103256514199999</v>
      </c>
    </row>
    <row r="1448" spans="1:12" x14ac:dyDescent="0.2">
      <c r="A1448" s="4">
        <v>43439</v>
      </c>
      <c r="B1448" t="s">
        <v>538</v>
      </c>
      <c r="C1448">
        <v>3</v>
      </c>
      <c r="D1448">
        <v>6</v>
      </c>
      <c r="E1448">
        <f>18/16</f>
        <v>1.125</v>
      </c>
      <c r="F1448" t="s">
        <v>597</v>
      </c>
      <c r="G1448" t="s">
        <v>869</v>
      </c>
      <c r="H1448" s="9" t="s">
        <v>1071</v>
      </c>
      <c r="I1448">
        <f t="shared" si="87"/>
        <v>20.25</v>
      </c>
      <c r="J1448">
        <f t="shared" si="88"/>
        <v>9.1852454925</v>
      </c>
      <c r="K1448">
        <v>0.87</v>
      </c>
      <c r="L1448">
        <f t="shared" si="89"/>
        <v>7.9911635784749997</v>
      </c>
    </row>
    <row r="1449" spans="1:12" x14ac:dyDescent="0.2">
      <c r="A1449" s="4">
        <v>43439</v>
      </c>
      <c r="B1449" t="s">
        <v>538</v>
      </c>
      <c r="C1449">
        <v>3</v>
      </c>
      <c r="D1449">
        <v>6</v>
      </c>
      <c r="E1449">
        <f>14/16</f>
        <v>0.875</v>
      </c>
      <c r="F1449" t="s">
        <v>581</v>
      </c>
      <c r="G1449" t="s">
        <v>869</v>
      </c>
      <c r="H1449" s="9" t="s">
        <v>1071</v>
      </c>
      <c r="I1449">
        <f t="shared" si="87"/>
        <v>15.75</v>
      </c>
      <c r="J1449">
        <f t="shared" si="88"/>
        <v>7.1440798275000006</v>
      </c>
      <c r="K1449">
        <v>0.87</v>
      </c>
      <c r="L1449">
        <f t="shared" si="89"/>
        <v>6.2153494499250002</v>
      </c>
    </row>
    <row r="1450" spans="1:12" x14ac:dyDescent="0.2">
      <c r="A1450" s="4">
        <v>43439</v>
      </c>
      <c r="B1450" t="s">
        <v>538</v>
      </c>
      <c r="C1450">
        <v>1</v>
      </c>
      <c r="D1450">
        <v>3</v>
      </c>
      <c r="E1450">
        <v>7.25</v>
      </c>
      <c r="F1450" t="s">
        <v>554</v>
      </c>
      <c r="G1450" t="s">
        <v>869</v>
      </c>
      <c r="H1450" s="9" t="s">
        <v>1071</v>
      </c>
      <c r="I1450">
        <f t="shared" si="87"/>
        <v>21.75</v>
      </c>
      <c r="J1450">
        <f t="shared" si="88"/>
        <v>9.8656340475000004</v>
      </c>
      <c r="K1450">
        <v>0.87</v>
      </c>
      <c r="L1450">
        <f t="shared" si="89"/>
        <v>8.5831016213249995</v>
      </c>
    </row>
    <row r="1451" spans="1:12" x14ac:dyDescent="0.2">
      <c r="A1451" s="4">
        <v>43439</v>
      </c>
      <c r="B1451" t="s">
        <v>538</v>
      </c>
      <c r="C1451">
        <v>3</v>
      </c>
      <c r="D1451">
        <v>6</v>
      </c>
      <c r="E1451">
        <f>20/16</f>
        <v>1.25</v>
      </c>
      <c r="F1451" t="s">
        <v>598</v>
      </c>
      <c r="G1451" t="s">
        <v>869</v>
      </c>
      <c r="H1451" s="9" t="s">
        <v>1071</v>
      </c>
      <c r="I1451">
        <f t="shared" si="87"/>
        <v>22.5</v>
      </c>
      <c r="J1451">
        <f t="shared" si="88"/>
        <v>10.205828325000001</v>
      </c>
      <c r="K1451">
        <v>0.87</v>
      </c>
      <c r="L1451">
        <f t="shared" si="89"/>
        <v>8.8790706427500012</v>
      </c>
    </row>
    <row r="1452" spans="1:12" x14ac:dyDescent="0.2">
      <c r="B1452" t="s">
        <v>48</v>
      </c>
      <c r="C1452" s="28">
        <v>1</v>
      </c>
      <c r="D1452">
        <v>1</v>
      </c>
      <c r="E1452">
        <f>20/16</f>
        <v>1.25</v>
      </c>
      <c r="F1452" t="s">
        <v>357</v>
      </c>
      <c r="G1452" t="s">
        <v>1039</v>
      </c>
      <c r="H1452" t="s">
        <v>1071</v>
      </c>
      <c r="I1452">
        <f t="shared" si="87"/>
        <v>1.25</v>
      </c>
      <c r="J1452">
        <f t="shared" si="88"/>
        <v>0.56699046250000007</v>
      </c>
      <c r="K1452">
        <v>0.87</v>
      </c>
      <c r="L1452">
        <f t="shared" si="89"/>
        <v>0.49328170237500008</v>
      </c>
    </row>
    <row r="1453" spans="1:12" x14ac:dyDescent="0.2">
      <c r="A1453" s="4">
        <v>43434</v>
      </c>
      <c r="B1453" t="s">
        <v>538</v>
      </c>
      <c r="C1453">
        <v>2</v>
      </c>
      <c r="D1453">
        <v>6</v>
      </c>
      <c r="E1453">
        <f>18/16</f>
        <v>1.125</v>
      </c>
      <c r="F1453" t="s">
        <v>552</v>
      </c>
      <c r="G1453" t="s">
        <v>907</v>
      </c>
      <c r="H1453" s="9" t="s">
        <v>1071</v>
      </c>
      <c r="I1453">
        <f t="shared" si="87"/>
        <v>13.5</v>
      </c>
      <c r="J1453">
        <f t="shared" si="88"/>
        <v>6.1234969950000009</v>
      </c>
      <c r="K1453">
        <v>0.87</v>
      </c>
      <c r="L1453">
        <f t="shared" si="89"/>
        <v>5.3274423856500004</v>
      </c>
    </row>
    <row r="1454" spans="1:12" x14ac:dyDescent="0.2">
      <c r="A1454" s="4">
        <v>43434</v>
      </c>
      <c r="B1454" t="s">
        <v>538</v>
      </c>
      <c r="C1454">
        <v>1</v>
      </c>
      <c r="D1454">
        <v>6</v>
      </c>
      <c r="E1454">
        <v>1</v>
      </c>
      <c r="F1454" t="s">
        <v>553</v>
      </c>
      <c r="G1454" t="s">
        <v>907</v>
      </c>
      <c r="H1454" s="9" t="s">
        <v>1071</v>
      </c>
      <c r="I1454">
        <f t="shared" si="87"/>
        <v>6</v>
      </c>
      <c r="J1454">
        <f t="shared" si="88"/>
        <v>2.7215542200000002</v>
      </c>
      <c r="K1454">
        <v>0.87</v>
      </c>
      <c r="L1454">
        <f t="shared" si="89"/>
        <v>2.3677521714000003</v>
      </c>
    </row>
    <row r="1455" spans="1:12" x14ac:dyDescent="0.2">
      <c r="A1455" s="4">
        <v>43434</v>
      </c>
      <c r="B1455" t="s">
        <v>538</v>
      </c>
      <c r="C1455">
        <v>1</v>
      </c>
      <c r="D1455">
        <v>3</v>
      </c>
      <c r="E1455">
        <v>7.25</v>
      </c>
      <c r="F1455" t="s">
        <v>554</v>
      </c>
      <c r="G1455" t="s">
        <v>907</v>
      </c>
      <c r="H1455" s="9" t="s">
        <v>1071</v>
      </c>
      <c r="I1455">
        <f t="shared" si="87"/>
        <v>21.75</v>
      </c>
      <c r="J1455">
        <f t="shared" si="88"/>
        <v>9.8656340475000004</v>
      </c>
      <c r="K1455">
        <v>0.87</v>
      </c>
      <c r="L1455">
        <f t="shared" si="89"/>
        <v>8.5831016213249995</v>
      </c>
    </row>
    <row r="1456" spans="1:12" x14ac:dyDescent="0.2">
      <c r="A1456" s="4">
        <v>43434</v>
      </c>
      <c r="B1456" t="s">
        <v>538</v>
      </c>
      <c r="C1456">
        <v>1</v>
      </c>
      <c r="D1456">
        <v>12</v>
      </c>
      <c r="E1456">
        <v>3</v>
      </c>
      <c r="F1456" t="s">
        <v>451</v>
      </c>
      <c r="G1456" t="s">
        <v>907</v>
      </c>
      <c r="H1456" s="9" t="s">
        <v>1071</v>
      </c>
      <c r="I1456">
        <f t="shared" si="87"/>
        <v>36</v>
      </c>
      <c r="J1456">
        <f t="shared" si="88"/>
        <v>16.329325319999999</v>
      </c>
      <c r="K1456">
        <v>0.87</v>
      </c>
      <c r="L1456">
        <f t="shared" si="89"/>
        <v>14.206513028399998</v>
      </c>
    </row>
    <row r="1457" spans="1:12" x14ac:dyDescent="0.2">
      <c r="A1457" s="4">
        <v>43434</v>
      </c>
      <c r="B1457" t="s">
        <v>538</v>
      </c>
      <c r="C1457">
        <v>2</v>
      </c>
      <c r="D1457">
        <v>6</v>
      </c>
      <c r="E1457">
        <f>24/16</f>
        <v>1.5</v>
      </c>
      <c r="F1457" t="s">
        <v>562</v>
      </c>
      <c r="G1457" t="s">
        <v>907</v>
      </c>
      <c r="H1457" s="9" t="s">
        <v>1071</v>
      </c>
      <c r="I1457">
        <f t="shared" si="87"/>
        <v>18</v>
      </c>
      <c r="J1457">
        <f t="shared" si="88"/>
        <v>8.1646626599999994</v>
      </c>
      <c r="K1457">
        <v>0.87</v>
      </c>
      <c r="L1457">
        <f t="shared" si="89"/>
        <v>7.103256514199999</v>
      </c>
    </row>
    <row r="1458" spans="1:12" x14ac:dyDescent="0.2">
      <c r="A1458" s="4">
        <v>43434</v>
      </c>
      <c r="B1458" t="s">
        <v>538</v>
      </c>
      <c r="C1458">
        <v>1</v>
      </c>
      <c r="D1458">
        <v>6</v>
      </c>
      <c r="E1458">
        <f>6.25/16</f>
        <v>0.390625</v>
      </c>
      <c r="F1458" t="s">
        <v>567</v>
      </c>
      <c r="G1458" t="s">
        <v>907</v>
      </c>
      <c r="H1458" s="9" t="s">
        <v>1071</v>
      </c>
      <c r="I1458">
        <f t="shared" si="87"/>
        <v>2.34375</v>
      </c>
      <c r="J1458">
        <f t="shared" si="88"/>
        <v>1.0631071171875002</v>
      </c>
      <c r="K1458">
        <v>0.87</v>
      </c>
      <c r="L1458">
        <f t="shared" si="89"/>
        <v>0.92490319195312509</v>
      </c>
    </row>
    <row r="1459" spans="1:12" x14ac:dyDescent="0.2">
      <c r="A1459" s="4">
        <v>43437</v>
      </c>
      <c r="B1459" t="s">
        <v>538</v>
      </c>
      <c r="C1459">
        <v>2</v>
      </c>
      <c r="D1459">
        <v>6</v>
      </c>
      <c r="E1459">
        <f>18/16</f>
        <v>1.125</v>
      </c>
      <c r="F1459" t="s">
        <v>583</v>
      </c>
      <c r="G1459" t="s">
        <v>907</v>
      </c>
      <c r="H1459" s="9" t="s">
        <v>1071</v>
      </c>
      <c r="I1459">
        <f t="shared" si="87"/>
        <v>13.5</v>
      </c>
      <c r="J1459">
        <f t="shared" si="88"/>
        <v>6.1234969950000009</v>
      </c>
      <c r="K1459">
        <v>0.87</v>
      </c>
      <c r="L1459">
        <f t="shared" si="89"/>
        <v>5.3274423856500004</v>
      </c>
    </row>
    <row r="1460" spans="1:12" x14ac:dyDescent="0.2">
      <c r="A1460" s="4">
        <v>43437</v>
      </c>
      <c r="B1460" t="s">
        <v>538</v>
      </c>
      <c r="C1460">
        <v>1</v>
      </c>
      <c r="D1460">
        <v>12</v>
      </c>
      <c r="E1460">
        <v>3</v>
      </c>
      <c r="F1460" t="s">
        <v>451</v>
      </c>
      <c r="G1460" t="s">
        <v>907</v>
      </c>
      <c r="H1460" s="9" t="s">
        <v>1071</v>
      </c>
      <c r="I1460">
        <f t="shared" si="87"/>
        <v>36</v>
      </c>
      <c r="J1460">
        <f t="shared" si="88"/>
        <v>16.329325319999999</v>
      </c>
      <c r="K1460">
        <v>0.87</v>
      </c>
      <c r="L1460">
        <f t="shared" si="89"/>
        <v>14.206513028399998</v>
      </c>
    </row>
    <row r="1461" spans="1:12" x14ac:dyDescent="0.2">
      <c r="A1461" s="4">
        <v>43439</v>
      </c>
      <c r="B1461" t="s">
        <v>538</v>
      </c>
      <c r="C1461">
        <v>2</v>
      </c>
      <c r="D1461">
        <v>12</v>
      </c>
      <c r="E1461">
        <v>3</v>
      </c>
      <c r="F1461" t="s">
        <v>451</v>
      </c>
      <c r="G1461" t="s">
        <v>907</v>
      </c>
      <c r="H1461" s="9" t="s">
        <v>1071</v>
      </c>
      <c r="I1461">
        <f t="shared" si="87"/>
        <v>72</v>
      </c>
      <c r="J1461">
        <f t="shared" si="88"/>
        <v>32.658650639999998</v>
      </c>
      <c r="K1461">
        <v>0.87</v>
      </c>
      <c r="L1461">
        <f t="shared" si="89"/>
        <v>28.413026056799996</v>
      </c>
    </row>
    <row r="1462" spans="1:12" x14ac:dyDescent="0.2">
      <c r="B1462" t="s">
        <v>48</v>
      </c>
      <c r="C1462" s="28">
        <v>5</v>
      </c>
      <c r="D1462">
        <v>1</v>
      </c>
      <c r="E1462">
        <f t="shared" ref="E1462:E1467" si="90">4*2.5</f>
        <v>10</v>
      </c>
      <c r="F1462" t="s">
        <v>330</v>
      </c>
      <c r="G1462" t="s">
        <v>815</v>
      </c>
      <c r="H1462" t="s">
        <v>1071</v>
      </c>
      <c r="I1462">
        <f t="shared" ref="I1462:I1525" si="91">C1462*D1462*E1462</f>
        <v>50</v>
      </c>
      <c r="J1462">
        <f t="shared" si="88"/>
        <v>22.6796185</v>
      </c>
      <c r="K1462">
        <v>0.307</v>
      </c>
      <c r="L1462">
        <f t="shared" si="89"/>
        <v>6.9626428794999997</v>
      </c>
    </row>
    <row r="1463" spans="1:12" x14ac:dyDescent="0.2">
      <c r="B1463" t="s">
        <v>48</v>
      </c>
      <c r="C1463" s="28">
        <v>1</v>
      </c>
      <c r="D1463">
        <v>1</v>
      </c>
      <c r="E1463">
        <f t="shared" si="90"/>
        <v>10</v>
      </c>
      <c r="F1463" t="s">
        <v>330</v>
      </c>
      <c r="G1463" t="s">
        <v>815</v>
      </c>
      <c r="H1463" t="s">
        <v>1071</v>
      </c>
      <c r="I1463">
        <f t="shared" si="91"/>
        <v>10</v>
      </c>
      <c r="J1463">
        <f t="shared" si="88"/>
        <v>4.5359237000000006</v>
      </c>
      <c r="K1463">
        <v>0.307</v>
      </c>
      <c r="L1463">
        <f t="shared" si="89"/>
        <v>1.3925285759000001</v>
      </c>
    </row>
    <row r="1464" spans="1:12" x14ac:dyDescent="0.2">
      <c r="B1464" t="s">
        <v>48</v>
      </c>
      <c r="C1464" s="28">
        <v>4</v>
      </c>
      <c r="D1464">
        <v>1</v>
      </c>
      <c r="E1464">
        <f t="shared" si="90"/>
        <v>10</v>
      </c>
      <c r="F1464" t="s">
        <v>330</v>
      </c>
      <c r="G1464" t="s">
        <v>815</v>
      </c>
      <c r="H1464" t="s">
        <v>1071</v>
      </c>
      <c r="I1464">
        <f t="shared" si="91"/>
        <v>40</v>
      </c>
      <c r="J1464">
        <f t="shared" si="88"/>
        <v>18.143694800000002</v>
      </c>
      <c r="K1464">
        <v>0.307</v>
      </c>
      <c r="L1464">
        <f t="shared" si="89"/>
        <v>5.5701143036000005</v>
      </c>
    </row>
    <row r="1465" spans="1:12" x14ac:dyDescent="0.2">
      <c r="B1465" t="s">
        <v>48</v>
      </c>
      <c r="C1465" s="28">
        <v>6</v>
      </c>
      <c r="D1465">
        <v>1</v>
      </c>
      <c r="E1465">
        <f t="shared" si="90"/>
        <v>10</v>
      </c>
      <c r="F1465" t="s">
        <v>330</v>
      </c>
      <c r="G1465" t="s">
        <v>815</v>
      </c>
      <c r="H1465" t="s">
        <v>1071</v>
      </c>
      <c r="I1465">
        <f t="shared" si="91"/>
        <v>60</v>
      </c>
      <c r="J1465">
        <f t="shared" si="88"/>
        <v>27.215542200000002</v>
      </c>
      <c r="K1465">
        <v>0.307</v>
      </c>
      <c r="L1465">
        <f t="shared" si="89"/>
        <v>8.3551714554000007</v>
      </c>
    </row>
    <row r="1466" spans="1:12" x14ac:dyDescent="0.2">
      <c r="B1466" t="s">
        <v>48</v>
      </c>
      <c r="C1466" s="28">
        <v>4</v>
      </c>
      <c r="D1466">
        <v>1</v>
      </c>
      <c r="E1466">
        <f t="shared" si="90"/>
        <v>10</v>
      </c>
      <c r="F1466" t="s">
        <v>330</v>
      </c>
      <c r="G1466" t="s">
        <v>815</v>
      </c>
      <c r="H1466" t="s">
        <v>1071</v>
      </c>
      <c r="I1466">
        <f t="shared" si="91"/>
        <v>40</v>
      </c>
      <c r="J1466">
        <f t="shared" si="88"/>
        <v>18.143694800000002</v>
      </c>
      <c r="K1466">
        <v>0.307</v>
      </c>
      <c r="L1466">
        <f t="shared" si="89"/>
        <v>5.5701143036000005</v>
      </c>
    </row>
    <row r="1467" spans="1:12" x14ac:dyDescent="0.2">
      <c r="B1467" t="s">
        <v>48</v>
      </c>
      <c r="C1467" s="28">
        <v>4</v>
      </c>
      <c r="D1467">
        <v>1</v>
      </c>
      <c r="E1467">
        <f t="shared" si="90"/>
        <v>10</v>
      </c>
      <c r="F1467" t="s">
        <v>330</v>
      </c>
      <c r="G1467" t="s">
        <v>815</v>
      </c>
      <c r="H1467" t="s">
        <v>1071</v>
      </c>
      <c r="I1467">
        <f t="shared" si="91"/>
        <v>40</v>
      </c>
      <c r="J1467">
        <f t="shared" si="88"/>
        <v>18.143694800000002</v>
      </c>
      <c r="K1467">
        <v>0.307</v>
      </c>
      <c r="L1467">
        <f t="shared" si="89"/>
        <v>5.5701143036000005</v>
      </c>
    </row>
    <row r="1468" spans="1:12" x14ac:dyDescent="0.2">
      <c r="B1468" t="s">
        <v>48</v>
      </c>
      <c r="C1468" s="28">
        <v>3</v>
      </c>
      <c r="D1468">
        <v>1</v>
      </c>
      <c r="E1468">
        <f>3/4*44</f>
        <v>33</v>
      </c>
      <c r="F1468" t="s">
        <v>331</v>
      </c>
      <c r="G1468" t="s">
        <v>796</v>
      </c>
      <c r="H1468" t="s">
        <v>1071</v>
      </c>
      <c r="I1468">
        <f t="shared" si="91"/>
        <v>99</v>
      </c>
      <c r="J1468">
        <f t="shared" si="88"/>
        <v>44.905644630000005</v>
      </c>
      <c r="K1468">
        <v>1.2290000000000001</v>
      </c>
      <c r="L1468">
        <f t="shared" si="89"/>
        <v>55.189037250270012</v>
      </c>
    </row>
    <row r="1469" spans="1:12" x14ac:dyDescent="0.2">
      <c r="B1469" t="s">
        <v>48</v>
      </c>
      <c r="C1469" s="28">
        <v>3</v>
      </c>
      <c r="D1469">
        <v>1</v>
      </c>
      <c r="E1469">
        <f>1/2*44</f>
        <v>22</v>
      </c>
      <c r="F1469" t="s">
        <v>332</v>
      </c>
      <c r="G1469" t="s">
        <v>796</v>
      </c>
      <c r="H1469" t="s">
        <v>1071</v>
      </c>
      <c r="I1469">
        <f t="shared" si="91"/>
        <v>66</v>
      </c>
      <c r="J1469">
        <f t="shared" si="88"/>
        <v>29.937096420000003</v>
      </c>
      <c r="K1469">
        <v>1.2290000000000001</v>
      </c>
      <c r="L1469">
        <f t="shared" si="89"/>
        <v>36.792691500180005</v>
      </c>
    </row>
    <row r="1470" spans="1:12" x14ac:dyDescent="0.2">
      <c r="B1470" t="s">
        <v>48</v>
      </c>
      <c r="C1470" s="28">
        <v>4</v>
      </c>
      <c r="D1470">
        <v>1</v>
      </c>
      <c r="E1470">
        <f>1/2*44</f>
        <v>22</v>
      </c>
      <c r="F1470" t="s">
        <v>332</v>
      </c>
      <c r="G1470" t="s">
        <v>796</v>
      </c>
      <c r="H1470" t="s">
        <v>1071</v>
      </c>
      <c r="I1470">
        <f t="shared" si="91"/>
        <v>88</v>
      </c>
      <c r="J1470">
        <f t="shared" si="88"/>
        <v>39.916128560000004</v>
      </c>
      <c r="K1470">
        <v>1.2290000000000001</v>
      </c>
      <c r="L1470">
        <f t="shared" si="89"/>
        <v>49.056922000240007</v>
      </c>
    </row>
    <row r="1471" spans="1:12" x14ac:dyDescent="0.2">
      <c r="B1471" t="s">
        <v>48</v>
      </c>
      <c r="C1471" s="28">
        <v>4</v>
      </c>
      <c r="D1471">
        <v>1</v>
      </c>
      <c r="E1471">
        <f>3/4*44</f>
        <v>33</v>
      </c>
      <c r="F1471" t="s">
        <v>331</v>
      </c>
      <c r="G1471" t="s">
        <v>796</v>
      </c>
      <c r="H1471" t="s">
        <v>1071</v>
      </c>
      <c r="I1471">
        <f t="shared" si="91"/>
        <v>132</v>
      </c>
      <c r="J1471">
        <f t="shared" si="88"/>
        <v>59.874192840000006</v>
      </c>
      <c r="K1471">
        <v>1.2290000000000001</v>
      </c>
      <c r="L1471">
        <f t="shared" si="89"/>
        <v>73.585383000360011</v>
      </c>
    </row>
    <row r="1472" spans="1:12" x14ac:dyDescent="0.2">
      <c r="B1472" t="s">
        <v>48</v>
      </c>
      <c r="C1472" s="28">
        <v>4</v>
      </c>
      <c r="D1472">
        <v>1</v>
      </c>
      <c r="E1472">
        <f>1/2*44</f>
        <v>22</v>
      </c>
      <c r="F1472" t="s">
        <v>332</v>
      </c>
      <c r="G1472" t="s">
        <v>796</v>
      </c>
      <c r="H1472" t="s">
        <v>1071</v>
      </c>
      <c r="I1472">
        <f t="shared" si="91"/>
        <v>88</v>
      </c>
      <c r="J1472">
        <f t="shared" si="88"/>
        <v>39.916128560000004</v>
      </c>
      <c r="K1472">
        <v>1.2290000000000001</v>
      </c>
      <c r="L1472">
        <f t="shared" si="89"/>
        <v>49.056922000240007</v>
      </c>
    </row>
    <row r="1473" spans="1:12" x14ac:dyDescent="0.2">
      <c r="B1473" t="s">
        <v>48</v>
      </c>
      <c r="C1473" s="28">
        <v>3</v>
      </c>
      <c r="D1473">
        <v>1</v>
      </c>
      <c r="E1473">
        <v>20</v>
      </c>
      <c r="F1473" t="s">
        <v>349</v>
      </c>
      <c r="G1473" t="s">
        <v>796</v>
      </c>
      <c r="H1473" t="s">
        <v>1071</v>
      </c>
      <c r="I1473">
        <f t="shared" si="91"/>
        <v>60</v>
      </c>
      <c r="J1473">
        <f t="shared" si="88"/>
        <v>27.215542200000002</v>
      </c>
      <c r="K1473">
        <v>1.2290000000000001</v>
      </c>
      <c r="L1473">
        <f t="shared" si="89"/>
        <v>33.447901363800007</v>
      </c>
    </row>
    <row r="1474" spans="1:12" x14ac:dyDescent="0.2">
      <c r="B1474" t="s">
        <v>48</v>
      </c>
      <c r="C1474" s="28">
        <v>2</v>
      </c>
      <c r="D1474">
        <v>1</v>
      </c>
      <c r="E1474">
        <f>1/2*44</f>
        <v>22</v>
      </c>
      <c r="F1474" t="s">
        <v>332</v>
      </c>
      <c r="G1474" t="s">
        <v>796</v>
      </c>
      <c r="H1474" t="s">
        <v>1071</v>
      </c>
      <c r="I1474">
        <f t="shared" si="91"/>
        <v>44</v>
      </c>
      <c r="J1474">
        <f t="shared" si="88"/>
        <v>19.958064280000002</v>
      </c>
      <c r="K1474">
        <v>1.2290000000000001</v>
      </c>
      <c r="L1474">
        <f t="shared" si="89"/>
        <v>24.528461000120004</v>
      </c>
    </row>
    <row r="1475" spans="1:12" x14ac:dyDescent="0.2">
      <c r="B1475" t="s">
        <v>48</v>
      </c>
      <c r="C1475" s="28">
        <v>2</v>
      </c>
      <c r="D1475">
        <v>1</v>
      </c>
      <c r="E1475">
        <v>20</v>
      </c>
      <c r="F1475" t="s">
        <v>349</v>
      </c>
      <c r="G1475" t="s">
        <v>796</v>
      </c>
      <c r="H1475" t="s">
        <v>1071</v>
      </c>
      <c r="I1475">
        <f t="shared" si="91"/>
        <v>40</v>
      </c>
      <c r="J1475">
        <f t="shared" ref="J1475:J1538" si="92">CONVERT(I1475,"lbm","kg")</f>
        <v>18.143694800000002</v>
      </c>
      <c r="K1475">
        <v>1.2290000000000001</v>
      </c>
      <c r="L1475">
        <f t="shared" ref="L1475:L1538" si="93">J1475*K1475</f>
        <v>22.298600909200005</v>
      </c>
    </row>
    <row r="1476" spans="1:12" x14ac:dyDescent="0.2">
      <c r="B1476" t="s">
        <v>48</v>
      </c>
      <c r="C1476" s="28">
        <v>2</v>
      </c>
      <c r="D1476">
        <v>1</v>
      </c>
      <c r="E1476">
        <f>1/2*44</f>
        <v>22</v>
      </c>
      <c r="F1476" t="s">
        <v>332</v>
      </c>
      <c r="G1476" t="s">
        <v>796</v>
      </c>
      <c r="H1476" t="s">
        <v>1071</v>
      </c>
      <c r="I1476">
        <f t="shared" si="91"/>
        <v>44</v>
      </c>
      <c r="J1476">
        <f t="shared" si="92"/>
        <v>19.958064280000002</v>
      </c>
      <c r="K1476">
        <v>1.2290000000000001</v>
      </c>
      <c r="L1476">
        <f t="shared" si="93"/>
        <v>24.528461000120004</v>
      </c>
    </row>
    <row r="1477" spans="1:12" x14ac:dyDescent="0.2">
      <c r="B1477" t="s">
        <v>48</v>
      </c>
      <c r="C1477" s="28">
        <v>2</v>
      </c>
      <c r="D1477">
        <v>1</v>
      </c>
      <c r="E1477">
        <f>3/4*44</f>
        <v>33</v>
      </c>
      <c r="F1477" t="s">
        <v>360</v>
      </c>
      <c r="G1477" t="s">
        <v>765</v>
      </c>
      <c r="H1477" t="s">
        <v>1071</v>
      </c>
      <c r="I1477">
        <f t="shared" si="91"/>
        <v>66</v>
      </c>
      <c r="J1477">
        <f t="shared" si="92"/>
        <v>29.937096420000003</v>
      </c>
      <c r="K1477">
        <v>1.2290000000000001</v>
      </c>
      <c r="L1477">
        <f t="shared" si="93"/>
        <v>36.792691500180005</v>
      </c>
    </row>
    <row r="1478" spans="1:12" x14ac:dyDescent="0.2">
      <c r="B1478" t="s">
        <v>48</v>
      </c>
      <c r="C1478" s="28">
        <v>2</v>
      </c>
      <c r="D1478">
        <v>1</v>
      </c>
      <c r="E1478">
        <f>1/2*44</f>
        <v>22</v>
      </c>
      <c r="F1478" t="s">
        <v>100</v>
      </c>
      <c r="G1478" t="s">
        <v>765</v>
      </c>
      <c r="H1478" t="s">
        <v>1071</v>
      </c>
      <c r="I1478">
        <f t="shared" si="91"/>
        <v>44</v>
      </c>
      <c r="J1478">
        <f t="shared" si="92"/>
        <v>19.958064280000002</v>
      </c>
      <c r="K1478">
        <v>1.2290000000000001</v>
      </c>
      <c r="L1478">
        <f t="shared" si="93"/>
        <v>24.528461000120004</v>
      </c>
    </row>
    <row r="1479" spans="1:12" x14ac:dyDescent="0.2">
      <c r="B1479" t="s">
        <v>48</v>
      </c>
      <c r="C1479" s="28">
        <v>2</v>
      </c>
      <c r="D1479">
        <v>1</v>
      </c>
      <c r="E1479">
        <v>20</v>
      </c>
      <c r="F1479" t="s">
        <v>235</v>
      </c>
      <c r="G1479" t="s">
        <v>765</v>
      </c>
      <c r="H1479" t="s">
        <v>1071</v>
      </c>
      <c r="I1479">
        <f t="shared" si="91"/>
        <v>40</v>
      </c>
      <c r="J1479">
        <f t="shared" si="92"/>
        <v>18.143694800000002</v>
      </c>
      <c r="K1479">
        <v>1.2290000000000001</v>
      </c>
      <c r="L1479">
        <f t="shared" si="93"/>
        <v>22.298600909200005</v>
      </c>
    </row>
    <row r="1480" spans="1:12" x14ac:dyDescent="0.2">
      <c r="B1480" t="s">
        <v>48</v>
      </c>
      <c r="C1480" s="28">
        <v>4</v>
      </c>
      <c r="D1480">
        <v>1</v>
      </c>
      <c r="E1480">
        <f>3/4*44</f>
        <v>33</v>
      </c>
      <c r="F1480" t="s">
        <v>242</v>
      </c>
      <c r="G1480" t="s">
        <v>765</v>
      </c>
      <c r="H1480" t="s">
        <v>1071</v>
      </c>
      <c r="I1480">
        <f t="shared" si="91"/>
        <v>132</v>
      </c>
      <c r="J1480">
        <f t="shared" si="92"/>
        <v>59.874192840000006</v>
      </c>
      <c r="K1480">
        <v>1.2290000000000001</v>
      </c>
      <c r="L1480">
        <f t="shared" si="93"/>
        <v>73.585383000360011</v>
      </c>
    </row>
    <row r="1481" spans="1:12" x14ac:dyDescent="0.2">
      <c r="B1481" t="s">
        <v>48</v>
      </c>
      <c r="C1481" s="28">
        <v>3</v>
      </c>
      <c r="D1481">
        <v>1</v>
      </c>
      <c r="E1481">
        <f>1/2*44</f>
        <v>22</v>
      </c>
      <c r="F1481" t="s">
        <v>100</v>
      </c>
      <c r="G1481" t="s">
        <v>765</v>
      </c>
      <c r="H1481" t="s">
        <v>1071</v>
      </c>
      <c r="I1481">
        <f t="shared" si="91"/>
        <v>66</v>
      </c>
      <c r="J1481">
        <f t="shared" si="92"/>
        <v>29.937096420000003</v>
      </c>
      <c r="K1481">
        <v>1.2290000000000001</v>
      </c>
      <c r="L1481">
        <f t="shared" si="93"/>
        <v>36.792691500180005</v>
      </c>
    </row>
    <row r="1482" spans="1:12" x14ac:dyDescent="0.2">
      <c r="B1482" t="s">
        <v>48</v>
      </c>
      <c r="C1482" s="28">
        <v>4</v>
      </c>
      <c r="D1482">
        <v>1</v>
      </c>
      <c r="E1482">
        <v>8</v>
      </c>
      <c r="F1482" t="s">
        <v>333</v>
      </c>
      <c r="G1482" t="s">
        <v>797</v>
      </c>
      <c r="H1482" t="s">
        <v>1071</v>
      </c>
      <c r="I1482">
        <f t="shared" si="91"/>
        <v>32</v>
      </c>
      <c r="J1482">
        <f t="shared" si="92"/>
        <v>14.514955840000001</v>
      </c>
      <c r="K1482">
        <v>0.61399999999999999</v>
      </c>
      <c r="L1482">
        <f t="shared" si="93"/>
        <v>8.9121828857600001</v>
      </c>
    </row>
    <row r="1483" spans="1:12" x14ac:dyDescent="0.2">
      <c r="B1483" t="s">
        <v>48</v>
      </c>
      <c r="C1483" s="28">
        <v>6</v>
      </c>
      <c r="D1483">
        <v>1</v>
      </c>
      <c r="E1483">
        <v>8</v>
      </c>
      <c r="F1483" t="s">
        <v>333</v>
      </c>
      <c r="G1483" t="s">
        <v>797</v>
      </c>
      <c r="H1483" t="s">
        <v>1071</v>
      </c>
      <c r="I1483">
        <f t="shared" si="91"/>
        <v>48</v>
      </c>
      <c r="J1483">
        <f t="shared" si="92"/>
        <v>21.772433760000002</v>
      </c>
      <c r="K1483">
        <v>0.61399999999999999</v>
      </c>
      <c r="L1483">
        <f t="shared" si="93"/>
        <v>13.368274328640002</v>
      </c>
    </row>
    <row r="1484" spans="1:12" x14ac:dyDescent="0.2">
      <c r="B1484" t="s">
        <v>48</v>
      </c>
      <c r="C1484" s="28">
        <v>4</v>
      </c>
      <c r="D1484">
        <v>1</v>
      </c>
      <c r="E1484">
        <v>8</v>
      </c>
      <c r="F1484" t="s">
        <v>333</v>
      </c>
      <c r="G1484" t="s">
        <v>797</v>
      </c>
      <c r="H1484" t="s">
        <v>1071</v>
      </c>
      <c r="I1484">
        <f t="shared" si="91"/>
        <v>32</v>
      </c>
      <c r="J1484">
        <f t="shared" si="92"/>
        <v>14.514955840000001</v>
      </c>
      <c r="K1484">
        <v>0.61399999999999999</v>
      </c>
      <c r="L1484">
        <f t="shared" si="93"/>
        <v>8.9121828857600001</v>
      </c>
    </row>
    <row r="1485" spans="1:12" x14ac:dyDescent="0.2">
      <c r="B1485" t="s">
        <v>48</v>
      </c>
      <c r="C1485" s="28">
        <v>10</v>
      </c>
      <c r="D1485">
        <v>1</v>
      </c>
      <c r="E1485">
        <v>8</v>
      </c>
      <c r="F1485" t="s">
        <v>333</v>
      </c>
      <c r="G1485" t="s">
        <v>797</v>
      </c>
      <c r="H1485" t="s">
        <v>1071</v>
      </c>
      <c r="I1485">
        <f t="shared" si="91"/>
        <v>80</v>
      </c>
      <c r="J1485">
        <f t="shared" si="92"/>
        <v>36.287389600000004</v>
      </c>
      <c r="K1485">
        <v>0.61399999999999999</v>
      </c>
      <c r="L1485">
        <f t="shared" si="93"/>
        <v>22.280457214400002</v>
      </c>
    </row>
    <row r="1486" spans="1:12" x14ac:dyDescent="0.2">
      <c r="B1486" t="s">
        <v>48</v>
      </c>
      <c r="C1486" s="28">
        <v>10</v>
      </c>
      <c r="D1486">
        <v>1</v>
      </c>
      <c r="E1486">
        <v>8</v>
      </c>
      <c r="F1486" t="s">
        <v>333</v>
      </c>
      <c r="G1486" t="s">
        <v>797</v>
      </c>
      <c r="H1486" t="s">
        <v>1071</v>
      </c>
      <c r="I1486">
        <f t="shared" si="91"/>
        <v>80</v>
      </c>
      <c r="J1486">
        <f t="shared" si="92"/>
        <v>36.287389600000004</v>
      </c>
      <c r="K1486">
        <v>0.61399999999999999</v>
      </c>
      <c r="L1486">
        <f t="shared" si="93"/>
        <v>22.280457214400002</v>
      </c>
    </row>
    <row r="1487" spans="1:12" x14ac:dyDescent="0.2">
      <c r="B1487" t="s">
        <v>48</v>
      </c>
      <c r="C1487" s="28">
        <v>10</v>
      </c>
      <c r="D1487">
        <v>1</v>
      </c>
      <c r="E1487">
        <v>8</v>
      </c>
      <c r="F1487" t="s">
        <v>377</v>
      </c>
      <c r="G1487" t="s">
        <v>248</v>
      </c>
      <c r="H1487" t="s">
        <v>1071</v>
      </c>
      <c r="I1487">
        <f t="shared" si="91"/>
        <v>80</v>
      </c>
      <c r="J1487">
        <f t="shared" si="92"/>
        <v>36.287389600000004</v>
      </c>
      <c r="K1487">
        <v>0.61399999999999999</v>
      </c>
      <c r="L1487">
        <f t="shared" si="93"/>
        <v>22.280457214400002</v>
      </c>
    </row>
    <row r="1488" spans="1:12" x14ac:dyDescent="0.2">
      <c r="A1488" s="4">
        <v>43434</v>
      </c>
      <c r="B1488" t="s">
        <v>538</v>
      </c>
      <c r="C1488">
        <v>1</v>
      </c>
      <c r="D1488">
        <v>1</v>
      </c>
      <c r="E1488">
        <v>50</v>
      </c>
      <c r="F1488" t="s">
        <v>425</v>
      </c>
      <c r="G1488" t="s">
        <v>860</v>
      </c>
      <c r="H1488" s="9" t="s">
        <v>1071</v>
      </c>
      <c r="I1488">
        <f t="shared" si="91"/>
        <v>50</v>
      </c>
      <c r="J1488">
        <f t="shared" si="92"/>
        <v>22.6796185</v>
      </c>
      <c r="K1488">
        <v>0.7</v>
      </c>
      <c r="L1488">
        <f t="shared" si="93"/>
        <v>15.87573295</v>
      </c>
    </row>
    <row r="1489" spans="1:12" x14ac:dyDescent="0.2">
      <c r="A1489" s="4">
        <v>43434</v>
      </c>
      <c r="B1489" t="s">
        <v>538</v>
      </c>
      <c r="C1489">
        <v>2</v>
      </c>
      <c r="D1489">
        <v>1</v>
      </c>
      <c r="E1489">
        <v>25</v>
      </c>
      <c r="F1489" t="s">
        <v>443</v>
      </c>
      <c r="G1489" t="s">
        <v>860</v>
      </c>
      <c r="H1489" s="9" t="s">
        <v>1071</v>
      </c>
      <c r="I1489">
        <f t="shared" si="91"/>
        <v>50</v>
      </c>
      <c r="J1489">
        <f t="shared" si="92"/>
        <v>22.6796185</v>
      </c>
      <c r="K1489">
        <v>0.7</v>
      </c>
      <c r="L1489">
        <f t="shared" si="93"/>
        <v>15.87573295</v>
      </c>
    </row>
    <row r="1490" spans="1:12" x14ac:dyDescent="0.2">
      <c r="A1490" s="4">
        <v>43437</v>
      </c>
      <c r="B1490" t="s">
        <v>538</v>
      </c>
      <c r="C1490">
        <v>1</v>
      </c>
      <c r="D1490">
        <v>1</v>
      </c>
      <c r="E1490">
        <v>50</v>
      </c>
      <c r="F1490" t="s">
        <v>434</v>
      </c>
      <c r="G1490" t="s">
        <v>860</v>
      </c>
      <c r="H1490" s="9" t="s">
        <v>1071</v>
      </c>
      <c r="I1490">
        <f t="shared" si="91"/>
        <v>50</v>
      </c>
      <c r="J1490">
        <f t="shared" si="92"/>
        <v>22.6796185</v>
      </c>
      <c r="K1490">
        <v>0.7</v>
      </c>
      <c r="L1490">
        <f t="shared" si="93"/>
        <v>15.87573295</v>
      </c>
    </row>
    <row r="1491" spans="1:12" x14ac:dyDescent="0.2">
      <c r="A1491" s="4">
        <v>43439</v>
      </c>
      <c r="B1491" t="s">
        <v>538</v>
      </c>
      <c r="C1491">
        <v>1</v>
      </c>
      <c r="D1491">
        <v>1</v>
      </c>
      <c r="E1491">
        <v>50</v>
      </c>
      <c r="F1491" t="s">
        <v>434</v>
      </c>
      <c r="G1491" t="s">
        <v>860</v>
      </c>
      <c r="H1491" s="9" t="s">
        <v>1071</v>
      </c>
      <c r="I1491">
        <f t="shared" si="91"/>
        <v>50</v>
      </c>
      <c r="J1491">
        <f t="shared" si="92"/>
        <v>22.6796185</v>
      </c>
      <c r="K1491">
        <v>0.7</v>
      </c>
      <c r="L1491">
        <f t="shared" si="93"/>
        <v>15.87573295</v>
      </c>
    </row>
    <row r="1492" spans="1:12" x14ac:dyDescent="0.2">
      <c r="A1492" s="4">
        <v>43399</v>
      </c>
      <c r="B1492" t="s">
        <v>22</v>
      </c>
      <c r="C1492" s="28">
        <v>1</v>
      </c>
      <c r="D1492">
        <v>1</v>
      </c>
      <c r="E1492">
        <v>120</v>
      </c>
      <c r="F1492" t="s">
        <v>24</v>
      </c>
      <c r="G1492" t="s">
        <v>512</v>
      </c>
      <c r="H1492" t="s">
        <v>1071</v>
      </c>
      <c r="I1492">
        <f t="shared" si="91"/>
        <v>120</v>
      </c>
      <c r="J1492">
        <f t="shared" si="92"/>
        <v>54.431084400000003</v>
      </c>
      <c r="K1492">
        <v>0.30199999999999999</v>
      </c>
      <c r="L1492">
        <f t="shared" si="93"/>
        <v>16.438187488800001</v>
      </c>
    </row>
    <row r="1493" spans="1:12" x14ac:dyDescent="0.2">
      <c r="A1493" s="4">
        <v>43403</v>
      </c>
      <c r="B1493" t="s">
        <v>22</v>
      </c>
      <c r="C1493" s="28">
        <v>1</v>
      </c>
      <c r="D1493">
        <v>1</v>
      </c>
      <c r="E1493">
        <v>120</v>
      </c>
      <c r="F1493" t="s">
        <v>24</v>
      </c>
      <c r="G1493" t="s">
        <v>512</v>
      </c>
      <c r="H1493" t="s">
        <v>1071</v>
      </c>
      <c r="I1493">
        <f t="shared" si="91"/>
        <v>120</v>
      </c>
      <c r="J1493">
        <f t="shared" si="92"/>
        <v>54.431084400000003</v>
      </c>
      <c r="K1493">
        <v>0.30199999999999999</v>
      </c>
      <c r="L1493">
        <f t="shared" si="93"/>
        <v>16.438187488800001</v>
      </c>
    </row>
    <row r="1494" spans="1:12" x14ac:dyDescent="0.2">
      <c r="A1494" s="4">
        <v>43437</v>
      </c>
      <c r="B1494" t="s">
        <v>531</v>
      </c>
      <c r="C1494">
        <v>4</v>
      </c>
      <c r="D1494">
        <v>5</v>
      </c>
      <c r="E1494">
        <v>3</v>
      </c>
      <c r="F1494" t="s">
        <v>416</v>
      </c>
      <c r="G1494" t="s">
        <v>915</v>
      </c>
      <c r="H1494" s="9" t="s">
        <v>1071</v>
      </c>
      <c r="I1494">
        <f t="shared" si="91"/>
        <v>60</v>
      </c>
      <c r="J1494">
        <f t="shared" si="92"/>
        <v>27.215542200000002</v>
      </c>
      <c r="K1494">
        <v>0.30199999999999999</v>
      </c>
      <c r="L1494">
        <f t="shared" si="93"/>
        <v>8.2190937444000003</v>
      </c>
    </row>
    <row r="1495" spans="1:12" x14ac:dyDescent="0.2">
      <c r="B1495" t="s">
        <v>48</v>
      </c>
      <c r="C1495" s="28">
        <v>6</v>
      </c>
      <c r="D1495">
        <v>1</v>
      </c>
      <c r="E1495">
        <v>12</v>
      </c>
      <c r="F1495" t="s">
        <v>339</v>
      </c>
      <c r="G1495" t="s">
        <v>777</v>
      </c>
      <c r="H1495" t="s">
        <v>1071</v>
      </c>
      <c r="I1495">
        <f t="shared" si="91"/>
        <v>72</v>
      </c>
      <c r="J1495">
        <f t="shared" si="92"/>
        <v>32.658650639999998</v>
      </c>
      <c r="K1495">
        <v>0.19600000000000001</v>
      </c>
      <c r="L1495">
        <f t="shared" si="93"/>
        <v>6.4010955254399997</v>
      </c>
    </row>
    <row r="1496" spans="1:12" x14ac:dyDescent="0.2">
      <c r="B1496" t="s">
        <v>48</v>
      </c>
      <c r="C1496" s="28">
        <v>2</v>
      </c>
      <c r="D1496">
        <v>1</v>
      </c>
      <c r="E1496">
        <v>12</v>
      </c>
      <c r="F1496" t="s">
        <v>346</v>
      </c>
      <c r="G1496" t="s">
        <v>777</v>
      </c>
      <c r="H1496" t="s">
        <v>1071</v>
      </c>
      <c r="I1496">
        <f t="shared" si="91"/>
        <v>24</v>
      </c>
      <c r="J1496">
        <f t="shared" si="92"/>
        <v>10.886216880000001</v>
      </c>
      <c r="K1496">
        <v>0.19600000000000001</v>
      </c>
      <c r="L1496">
        <f t="shared" si="93"/>
        <v>2.1336985084800002</v>
      </c>
    </row>
    <row r="1497" spans="1:12" x14ac:dyDescent="0.2">
      <c r="A1497" s="4">
        <v>43437</v>
      </c>
      <c r="B1497" t="s">
        <v>538</v>
      </c>
      <c r="C1497">
        <v>2</v>
      </c>
      <c r="D1497">
        <v>4</v>
      </c>
      <c r="E1497">
        <v>11.01</v>
      </c>
      <c r="F1497" t="s">
        <v>435</v>
      </c>
      <c r="G1497" s="6" t="s">
        <v>864</v>
      </c>
      <c r="H1497" s="9" t="s">
        <v>1071</v>
      </c>
      <c r="I1497">
        <f t="shared" si="91"/>
        <v>88.08</v>
      </c>
      <c r="J1497">
        <f t="shared" si="92"/>
        <v>39.952415949600002</v>
      </c>
      <c r="K1497">
        <v>6.7539999999999996</v>
      </c>
      <c r="L1497">
        <f t="shared" si="93"/>
        <v>269.83861732359838</v>
      </c>
    </row>
    <row r="1498" spans="1:12" x14ac:dyDescent="0.2">
      <c r="A1498" s="4">
        <v>43434</v>
      </c>
      <c r="B1498" t="s">
        <v>538</v>
      </c>
      <c r="C1498">
        <v>1</v>
      </c>
      <c r="D1498">
        <v>4</v>
      </c>
      <c r="E1498">
        <v>11.01</v>
      </c>
      <c r="F1498" t="s">
        <v>435</v>
      </c>
      <c r="G1498" t="s">
        <v>902</v>
      </c>
      <c r="H1498" s="9" t="s">
        <v>1071</v>
      </c>
      <c r="I1498">
        <f t="shared" si="91"/>
        <v>44.04</v>
      </c>
      <c r="J1498">
        <f t="shared" si="92"/>
        <v>19.976207974800001</v>
      </c>
      <c r="K1498">
        <v>6.7539999999999996</v>
      </c>
      <c r="L1498">
        <f t="shared" si="93"/>
        <v>134.91930866179919</v>
      </c>
    </row>
    <row r="1499" spans="1:12" x14ac:dyDescent="0.2">
      <c r="B1499" t="s">
        <v>48</v>
      </c>
      <c r="C1499" s="28">
        <v>3</v>
      </c>
      <c r="D1499">
        <v>1</v>
      </c>
      <c r="E1499">
        <v>4.1719999999999997</v>
      </c>
      <c r="F1499" t="s">
        <v>278</v>
      </c>
      <c r="G1499" t="s">
        <v>798</v>
      </c>
      <c r="H1499" t="s">
        <v>1071</v>
      </c>
      <c r="I1499">
        <f t="shared" si="91"/>
        <v>12.515999999999998</v>
      </c>
      <c r="J1499">
        <f t="shared" si="92"/>
        <v>5.6771621029199997</v>
      </c>
      <c r="K1499">
        <v>1.6639999999999999</v>
      </c>
      <c r="L1499">
        <f t="shared" si="93"/>
        <v>9.4467977392588782</v>
      </c>
    </row>
    <row r="1500" spans="1:12" x14ac:dyDescent="0.2">
      <c r="B1500" t="s">
        <v>48</v>
      </c>
      <c r="C1500" s="28">
        <v>1</v>
      </c>
      <c r="D1500">
        <v>1</v>
      </c>
      <c r="E1500">
        <v>4.1719999999999997</v>
      </c>
      <c r="F1500" t="s">
        <v>278</v>
      </c>
      <c r="G1500" t="s">
        <v>798</v>
      </c>
      <c r="H1500" t="s">
        <v>1071</v>
      </c>
      <c r="I1500">
        <f t="shared" si="91"/>
        <v>4.1719999999999997</v>
      </c>
      <c r="J1500">
        <f t="shared" si="92"/>
        <v>1.8923873676399998</v>
      </c>
      <c r="K1500">
        <v>1.6639999999999999</v>
      </c>
      <c r="L1500">
        <f t="shared" si="93"/>
        <v>3.1489325797529597</v>
      </c>
    </row>
    <row r="1501" spans="1:12" x14ac:dyDescent="0.2">
      <c r="B1501" t="s">
        <v>48</v>
      </c>
      <c r="C1501" s="28">
        <v>6</v>
      </c>
      <c r="D1501">
        <v>1</v>
      </c>
      <c r="E1501">
        <v>4.1719999999999997</v>
      </c>
      <c r="F1501" t="s">
        <v>278</v>
      </c>
      <c r="G1501" t="s">
        <v>798</v>
      </c>
      <c r="H1501" t="s">
        <v>1071</v>
      </c>
      <c r="I1501">
        <f t="shared" si="91"/>
        <v>25.031999999999996</v>
      </c>
      <c r="J1501">
        <f t="shared" si="92"/>
        <v>11.354324205839999</v>
      </c>
      <c r="K1501">
        <v>1.6639999999999999</v>
      </c>
      <c r="L1501">
        <f t="shared" si="93"/>
        <v>18.893595478517756</v>
      </c>
    </row>
    <row r="1502" spans="1:12" x14ac:dyDescent="0.2">
      <c r="B1502" t="s">
        <v>48</v>
      </c>
      <c r="C1502" s="28">
        <v>2</v>
      </c>
      <c r="D1502">
        <v>1</v>
      </c>
      <c r="E1502">
        <v>4.1719999999999997</v>
      </c>
      <c r="F1502" t="s">
        <v>278</v>
      </c>
      <c r="G1502" t="s">
        <v>798</v>
      </c>
      <c r="H1502" t="s">
        <v>1071</v>
      </c>
      <c r="I1502">
        <f t="shared" si="91"/>
        <v>8.3439999999999994</v>
      </c>
      <c r="J1502">
        <f t="shared" si="92"/>
        <v>3.7847747352799996</v>
      </c>
      <c r="K1502">
        <v>1.6639999999999999</v>
      </c>
      <c r="L1502">
        <f t="shared" si="93"/>
        <v>6.2978651595059194</v>
      </c>
    </row>
    <row r="1503" spans="1:12" x14ac:dyDescent="0.2">
      <c r="B1503" t="s">
        <v>48</v>
      </c>
      <c r="C1503" s="28">
        <v>5</v>
      </c>
      <c r="D1503">
        <v>1</v>
      </c>
      <c r="E1503">
        <v>4.1719999999999997</v>
      </c>
      <c r="F1503" t="s">
        <v>278</v>
      </c>
      <c r="G1503" t="s">
        <v>798</v>
      </c>
      <c r="H1503" t="s">
        <v>1071</v>
      </c>
      <c r="I1503">
        <f t="shared" si="91"/>
        <v>20.86</v>
      </c>
      <c r="J1503">
        <f t="shared" si="92"/>
        <v>9.4619368381999998</v>
      </c>
      <c r="K1503">
        <v>1.6639999999999999</v>
      </c>
      <c r="L1503">
        <f t="shared" si="93"/>
        <v>15.744662898764799</v>
      </c>
    </row>
    <row r="1504" spans="1:12" x14ac:dyDescent="0.2">
      <c r="B1504" t="s">
        <v>48</v>
      </c>
      <c r="C1504" s="28">
        <v>2</v>
      </c>
      <c r="D1504">
        <v>1</v>
      </c>
      <c r="E1504">
        <v>4.1719999999999997</v>
      </c>
      <c r="F1504" t="s">
        <v>378</v>
      </c>
      <c r="G1504" t="s">
        <v>193</v>
      </c>
      <c r="H1504" t="s">
        <v>1071</v>
      </c>
      <c r="I1504">
        <f t="shared" si="91"/>
        <v>8.3439999999999994</v>
      </c>
      <c r="J1504">
        <f t="shared" si="92"/>
        <v>3.7847747352799996</v>
      </c>
      <c r="K1504">
        <v>1.6639999999999999</v>
      </c>
      <c r="L1504">
        <f t="shared" si="93"/>
        <v>6.2978651595059194</v>
      </c>
    </row>
    <row r="1505" spans="2:12" x14ac:dyDescent="0.2">
      <c r="B1505" t="s">
        <v>48</v>
      </c>
      <c r="C1505" s="28">
        <v>3</v>
      </c>
      <c r="D1505">
        <v>1</v>
      </c>
      <c r="E1505">
        <v>10</v>
      </c>
      <c r="F1505" t="s">
        <v>328</v>
      </c>
      <c r="G1505" t="s">
        <v>334</v>
      </c>
      <c r="H1505" t="s">
        <v>1071</v>
      </c>
      <c r="I1505">
        <f t="shared" si="91"/>
        <v>30</v>
      </c>
      <c r="J1505">
        <f t="shared" si="92"/>
        <v>13.607771100000001</v>
      </c>
      <c r="K1505">
        <v>0.47</v>
      </c>
      <c r="L1505">
        <f t="shared" si="93"/>
        <v>6.395652417</v>
      </c>
    </row>
    <row r="1506" spans="2:12" x14ac:dyDescent="0.2">
      <c r="B1506" t="s">
        <v>48</v>
      </c>
      <c r="C1506" s="28">
        <v>1</v>
      </c>
      <c r="D1506">
        <v>1</v>
      </c>
      <c r="E1506">
        <v>20</v>
      </c>
      <c r="F1506" t="s">
        <v>334</v>
      </c>
      <c r="G1506" t="s">
        <v>334</v>
      </c>
      <c r="H1506" t="s">
        <v>1071</v>
      </c>
      <c r="I1506">
        <f t="shared" si="91"/>
        <v>20</v>
      </c>
      <c r="J1506">
        <f t="shared" si="92"/>
        <v>9.0718474000000011</v>
      </c>
      <c r="K1506">
        <v>0.47</v>
      </c>
      <c r="L1506">
        <f t="shared" si="93"/>
        <v>4.2637682780000006</v>
      </c>
    </row>
    <row r="1507" spans="2:12" x14ac:dyDescent="0.2">
      <c r="B1507" t="s">
        <v>48</v>
      </c>
      <c r="C1507" s="28">
        <v>8</v>
      </c>
      <c r="D1507">
        <v>1</v>
      </c>
      <c r="E1507">
        <v>10</v>
      </c>
      <c r="F1507" t="s">
        <v>335</v>
      </c>
      <c r="G1507" t="s">
        <v>334</v>
      </c>
      <c r="H1507" t="s">
        <v>1071</v>
      </c>
      <c r="I1507">
        <f t="shared" si="91"/>
        <v>80</v>
      </c>
      <c r="J1507">
        <f t="shared" si="92"/>
        <v>36.287389600000004</v>
      </c>
      <c r="K1507">
        <v>0.47</v>
      </c>
      <c r="L1507">
        <f t="shared" si="93"/>
        <v>17.055073112000002</v>
      </c>
    </row>
    <row r="1508" spans="2:12" x14ac:dyDescent="0.2">
      <c r="B1508" t="s">
        <v>48</v>
      </c>
      <c r="C1508" s="28">
        <v>1</v>
      </c>
      <c r="D1508">
        <v>1</v>
      </c>
      <c r="E1508">
        <v>10</v>
      </c>
      <c r="F1508" t="s">
        <v>328</v>
      </c>
      <c r="G1508" t="s">
        <v>334</v>
      </c>
      <c r="H1508" t="s">
        <v>1071</v>
      </c>
      <c r="I1508">
        <f t="shared" si="91"/>
        <v>10</v>
      </c>
      <c r="J1508">
        <f t="shared" si="92"/>
        <v>4.5359237000000006</v>
      </c>
      <c r="K1508">
        <v>0.47</v>
      </c>
      <c r="L1508">
        <f t="shared" si="93"/>
        <v>2.1318841390000003</v>
      </c>
    </row>
    <row r="1509" spans="2:12" x14ac:dyDescent="0.2">
      <c r="B1509" t="s">
        <v>48</v>
      </c>
      <c r="C1509" s="28">
        <v>1</v>
      </c>
      <c r="D1509">
        <v>1</v>
      </c>
      <c r="E1509">
        <v>25</v>
      </c>
      <c r="F1509" t="s">
        <v>334</v>
      </c>
      <c r="G1509" t="s">
        <v>334</v>
      </c>
      <c r="H1509" t="s">
        <v>1071</v>
      </c>
      <c r="I1509">
        <f t="shared" si="91"/>
        <v>25</v>
      </c>
      <c r="J1509">
        <f t="shared" si="92"/>
        <v>11.33980925</v>
      </c>
      <c r="K1509">
        <v>0.47</v>
      </c>
      <c r="L1509">
        <f t="shared" si="93"/>
        <v>5.3297103474999998</v>
      </c>
    </row>
    <row r="1510" spans="2:12" x14ac:dyDescent="0.2">
      <c r="B1510" t="s">
        <v>48</v>
      </c>
      <c r="C1510" s="28">
        <v>8</v>
      </c>
      <c r="D1510">
        <v>1</v>
      </c>
      <c r="E1510">
        <v>10</v>
      </c>
      <c r="F1510" t="s">
        <v>335</v>
      </c>
      <c r="G1510" t="s">
        <v>334</v>
      </c>
      <c r="H1510" t="s">
        <v>1071</v>
      </c>
      <c r="I1510">
        <f t="shared" si="91"/>
        <v>80</v>
      </c>
      <c r="J1510">
        <f t="shared" si="92"/>
        <v>36.287389600000004</v>
      </c>
      <c r="K1510">
        <v>0.47</v>
      </c>
      <c r="L1510">
        <f t="shared" si="93"/>
        <v>17.055073112000002</v>
      </c>
    </row>
    <row r="1511" spans="2:12" x14ac:dyDescent="0.2">
      <c r="B1511" t="s">
        <v>48</v>
      </c>
      <c r="C1511" s="28">
        <v>1</v>
      </c>
      <c r="D1511">
        <v>1</v>
      </c>
      <c r="E1511">
        <v>10</v>
      </c>
      <c r="F1511" t="s">
        <v>328</v>
      </c>
      <c r="G1511" t="s">
        <v>334</v>
      </c>
      <c r="H1511" t="s">
        <v>1071</v>
      </c>
      <c r="I1511">
        <f t="shared" si="91"/>
        <v>10</v>
      </c>
      <c r="J1511">
        <f t="shared" si="92"/>
        <v>4.5359237000000006</v>
      </c>
      <c r="K1511">
        <v>0.47</v>
      </c>
      <c r="L1511">
        <f t="shared" si="93"/>
        <v>2.1318841390000003</v>
      </c>
    </row>
    <row r="1512" spans="2:12" x14ac:dyDescent="0.2">
      <c r="B1512" t="s">
        <v>48</v>
      </c>
      <c r="C1512" s="28">
        <v>2</v>
      </c>
      <c r="D1512">
        <v>1</v>
      </c>
      <c r="E1512">
        <v>25</v>
      </c>
      <c r="F1512" t="s">
        <v>194</v>
      </c>
      <c r="G1512" t="s">
        <v>194</v>
      </c>
      <c r="H1512" t="s">
        <v>1071</v>
      </c>
      <c r="I1512">
        <f t="shared" si="91"/>
        <v>50</v>
      </c>
      <c r="J1512">
        <f t="shared" si="92"/>
        <v>22.6796185</v>
      </c>
      <c r="K1512">
        <v>0.47</v>
      </c>
      <c r="L1512">
        <f t="shared" si="93"/>
        <v>10.659420695</v>
      </c>
    </row>
    <row r="1513" spans="2:12" x14ac:dyDescent="0.2">
      <c r="B1513" t="s">
        <v>48</v>
      </c>
      <c r="C1513" s="28">
        <v>5</v>
      </c>
      <c r="D1513">
        <v>1</v>
      </c>
      <c r="E1513">
        <v>10</v>
      </c>
      <c r="F1513" t="s">
        <v>77</v>
      </c>
      <c r="G1513" t="s">
        <v>194</v>
      </c>
      <c r="H1513" t="s">
        <v>1071</v>
      </c>
      <c r="I1513">
        <f t="shared" si="91"/>
        <v>50</v>
      </c>
      <c r="J1513">
        <f t="shared" si="92"/>
        <v>22.6796185</v>
      </c>
      <c r="K1513">
        <v>0.47</v>
      </c>
      <c r="L1513">
        <f t="shared" si="93"/>
        <v>10.659420695</v>
      </c>
    </row>
    <row r="1514" spans="2:12" x14ac:dyDescent="0.2">
      <c r="B1514" t="s">
        <v>48</v>
      </c>
      <c r="C1514" s="28">
        <v>1</v>
      </c>
      <c r="D1514">
        <v>1</v>
      </c>
      <c r="E1514">
        <v>10</v>
      </c>
      <c r="F1514" t="s">
        <v>328</v>
      </c>
      <c r="G1514" t="s">
        <v>334</v>
      </c>
      <c r="H1514" t="s">
        <v>1071</v>
      </c>
      <c r="I1514">
        <f t="shared" si="91"/>
        <v>10</v>
      </c>
      <c r="J1514">
        <f t="shared" si="92"/>
        <v>4.5359237000000006</v>
      </c>
      <c r="K1514">
        <v>0.47</v>
      </c>
      <c r="L1514">
        <f t="shared" si="93"/>
        <v>2.1318841390000003</v>
      </c>
    </row>
    <row r="1515" spans="2:12" x14ac:dyDescent="0.2">
      <c r="B1515" t="s">
        <v>48</v>
      </c>
      <c r="C1515" s="28">
        <v>1</v>
      </c>
      <c r="D1515">
        <v>1</v>
      </c>
      <c r="E1515">
        <v>25</v>
      </c>
      <c r="F1515" t="s">
        <v>334</v>
      </c>
      <c r="G1515" t="s">
        <v>334</v>
      </c>
      <c r="H1515" t="s">
        <v>1071</v>
      </c>
      <c r="I1515">
        <f t="shared" si="91"/>
        <v>25</v>
      </c>
      <c r="J1515">
        <f t="shared" si="92"/>
        <v>11.33980925</v>
      </c>
      <c r="K1515">
        <v>0.47</v>
      </c>
      <c r="L1515">
        <f t="shared" si="93"/>
        <v>5.3297103474999998</v>
      </c>
    </row>
    <row r="1516" spans="2:12" x14ac:dyDescent="0.2">
      <c r="B1516" t="s">
        <v>48</v>
      </c>
      <c r="C1516" s="28">
        <v>8</v>
      </c>
      <c r="D1516">
        <v>1</v>
      </c>
      <c r="E1516">
        <v>10</v>
      </c>
      <c r="F1516" t="s">
        <v>335</v>
      </c>
      <c r="G1516" t="s">
        <v>334</v>
      </c>
      <c r="H1516" t="s">
        <v>1071</v>
      </c>
      <c r="I1516">
        <f t="shared" si="91"/>
        <v>80</v>
      </c>
      <c r="J1516">
        <f t="shared" si="92"/>
        <v>36.287389600000004</v>
      </c>
      <c r="K1516">
        <v>0.47</v>
      </c>
      <c r="L1516">
        <f t="shared" si="93"/>
        <v>17.055073112000002</v>
      </c>
    </row>
    <row r="1517" spans="2:12" x14ac:dyDescent="0.2">
      <c r="B1517" t="s">
        <v>48</v>
      </c>
      <c r="C1517" s="28">
        <v>1</v>
      </c>
      <c r="D1517">
        <v>1</v>
      </c>
      <c r="E1517">
        <v>10</v>
      </c>
      <c r="F1517" t="s">
        <v>328</v>
      </c>
      <c r="G1517" t="s">
        <v>334</v>
      </c>
      <c r="H1517" t="s">
        <v>1071</v>
      </c>
      <c r="I1517">
        <f t="shared" si="91"/>
        <v>10</v>
      </c>
      <c r="J1517">
        <f t="shared" si="92"/>
        <v>4.5359237000000006</v>
      </c>
      <c r="K1517">
        <v>0.47</v>
      </c>
      <c r="L1517">
        <f t="shared" si="93"/>
        <v>2.1318841390000003</v>
      </c>
    </row>
    <row r="1518" spans="2:12" x14ac:dyDescent="0.2">
      <c r="B1518" t="s">
        <v>48</v>
      </c>
      <c r="C1518" s="28">
        <v>1</v>
      </c>
      <c r="D1518">
        <v>1</v>
      </c>
      <c r="E1518">
        <v>20</v>
      </c>
      <c r="F1518" t="s">
        <v>334</v>
      </c>
      <c r="G1518" t="s">
        <v>334</v>
      </c>
      <c r="H1518" t="s">
        <v>1071</v>
      </c>
      <c r="I1518">
        <f t="shared" si="91"/>
        <v>20</v>
      </c>
      <c r="J1518">
        <f t="shared" si="92"/>
        <v>9.0718474000000011</v>
      </c>
      <c r="K1518">
        <v>0.47</v>
      </c>
      <c r="L1518">
        <f t="shared" si="93"/>
        <v>4.2637682780000006</v>
      </c>
    </row>
    <row r="1519" spans="2:12" x14ac:dyDescent="0.2">
      <c r="B1519" t="s">
        <v>48</v>
      </c>
      <c r="C1519" s="28">
        <v>6</v>
      </c>
      <c r="D1519">
        <v>1</v>
      </c>
      <c r="E1519">
        <v>10</v>
      </c>
      <c r="F1519" t="s">
        <v>335</v>
      </c>
      <c r="G1519" t="s">
        <v>334</v>
      </c>
      <c r="H1519" t="s">
        <v>1071</v>
      </c>
      <c r="I1519">
        <f t="shared" si="91"/>
        <v>60</v>
      </c>
      <c r="J1519">
        <f t="shared" si="92"/>
        <v>27.215542200000002</v>
      </c>
      <c r="K1519">
        <v>0.47</v>
      </c>
      <c r="L1519">
        <f t="shared" si="93"/>
        <v>12.791304834</v>
      </c>
    </row>
    <row r="1520" spans="2:12" x14ac:dyDescent="0.2">
      <c r="B1520" t="s">
        <v>48</v>
      </c>
      <c r="C1520" s="28">
        <v>2</v>
      </c>
      <c r="D1520">
        <v>1</v>
      </c>
      <c r="E1520">
        <v>10</v>
      </c>
      <c r="F1520" t="s">
        <v>70</v>
      </c>
      <c r="G1520" t="s">
        <v>194</v>
      </c>
      <c r="H1520" t="s">
        <v>1071</v>
      </c>
      <c r="I1520">
        <f t="shared" si="91"/>
        <v>20</v>
      </c>
      <c r="J1520">
        <f t="shared" si="92"/>
        <v>9.0718474000000011</v>
      </c>
      <c r="K1520">
        <v>0.47</v>
      </c>
      <c r="L1520">
        <f t="shared" si="93"/>
        <v>4.2637682780000006</v>
      </c>
    </row>
    <row r="1521" spans="1:12" x14ac:dyDescent="0.2">
      <c r="B1521" t="s">
        <v>48</v>
      </c>
      <c r="C1521" s="28">
        <v>1</v>
      </c>
      <c r="D1521">
        <v>1</v>
      </c>
      <c r="E1521">
        <v>20</v>
      </c>
      <c r="F1521" t="s">
        <v>194</v>
      </c>
      <c r="G1521" t="s">
        <v>194</v>
      </c>
      <c r="H1521" t="s">
        <v>1071</v>
      </c>
      <c r="I1521">
        <f t="shared" si="91"/>
        <v>20</v>
      </c>
      <c r="J1521">
        <f t="shared" si="92"/>
        <v>9.0718474000000011</v>
      </c>
      <c r="K1521">
        <v>0.47</v>
      </c>
      <c r="L1521">
        <f t="shared" si="93"/>
        <v>4.2637682780000006</v>
      </c>
    </row>
    <row r="1522" spans="1:12" x14ac:dyDescent="0.2">
      <c r="B1522" t="s">
        <v>48</v>
      </c>
      <c r="C1522" s="28">
        <v>10</v>
      </c>
      <c r="D1522">
        <v>1</v>
      </c>
      <c r="E1522">
        <v>10</v>
      </c>
      <c r="F1522" t="s">
        <v>77</v>
      </c>
      <c r="G1522" t="s">
        <v>194</v>
      </c>
      <c r="H1522" t="s">
        <v>1071</v>
      </c>
      <c r="I1522">
        <f t="shared" si="91"/>
        <v>100</v>
      </c>
      <c r="J1522">
        <f t="shared" si="92"/>
        <v>45.359237</v>
      </c>
      <c r="K1522">
        <v>0.47</v>
      </c>
      <c r="L1522">
        <f t="shared" si="93"/>
        <v>21.318841389999999</v>
      </c>
    </row>
    <row r="1523" spans="1:12" x14ac:dyDescent="0.2">
      <c r="A1523" s="4">
        <v>43434</v>
      </c>
      <c r="B1523" t="s">
        <v>538</v>
      </c>
      <c r="C1523">
        <v>4</v>
      </c>
      <c r="D1523">
        <v>6</v>
      </c>
      <c r="E1523">
        <v>10</v>
      </c>
      <c r="F1523" t="s">
        <v>544</v>
      </c>
      <c r="G1523" t="s">
        <v>857</v>
      </c>
      <c r="H1523" s="9" t="s">
        <v>1071</v>
      </c>
      <c r="I1523">
        <f t="shared" si="91"/>
        <v>240</v>
      </c>
      <c r="J1523">
        <f t="shared" si="92"/>
        <v>108.86216880000001</v>
      </c>
      <c r="K1523">
        <v>0.47</v>
      </c>
      <c r="L1523">
        <f t="shared" si="93"/>
        <v>51.165219336</v>
      </c>
    </row>
    <row r="1524" spans="1:12" x14ac:dyDescent="0.2">
      <c r="A1524" s="4">
        <v>43434</v>
      </c>
      <c r="B1524" t="s">
        <v>538</v>
      </c>
      <c r="C1524">
        <v>4</v>
      </c>
      <c r="D1524">
        <v>6</v>
      </c>
      <c r="E1524">
        <v>10</v>
      </c>
      <c r="F1524" t="s">
        <v>432</v>
      </c>
      <c r="G1524" t="s">
        <v>857</v>
      </c>
      <c r="H1524" s="9" t="s">
        <v>1071</v>
      </c>
      <c r="I1524">
        <f t="shared" si="91"/>
        <v>240</v>
      </c>
      <c r="J1524">
        <f t="shared" si="92"/>
        <v>108.86216880000001</v>
      </c>
      <c r="K1524">
        <v>0.47</v>
      </c>
      <c r="L1524">
        <f t="shared" si="93"/>
        <v>51.165219336</v>
      </c>
    </row>
    <row r="1525" spans="1:12" x14ac:dyDescent="0.2">
      <c r="A1525" s="4">
        <v>43434</v>
      </c>
      <c r="B1525" t="s">
        <v>538</v>
      </c>
      <c r="C1525">
        <v>8</v>
      </c>
      <c r="D1525">
        <v>6</v>
      </c>
      <c r="E1525">
        <v>10</v>
      </c>
      <c r="F1525" t="s">
        <v>546</v>
      </c>
      <c r="G1525" t="s">
        <v>857</v>
      </c>
      <c r="H1525" s="9" t="s">
        <v>1071</v>
      </c>
      <c r="I1525">
        <f t="shared" si="91"/>
        <v>480</v>
      </c>
      <c r="J1525">
        <f t="shared" si="92"/>
        <v>217.72433760000001</v>
      </c>
      <c r="K1525">
        <v>0.47</v>
      </c>
      <c r="L1525">
        <f t="shared" si="93"/>
        <v>102.330438672</v>
      </c>
    </row>
    <row r="1526" spans="1:12" x14ac:dyDescent="0.2">
      <c r="A1526" s="4">
        <v>43437</v>
      </c>
      <c r="B1526" t="s">
        <v>538</v>
      </c>
      <c r="C1526">
        <v>2</v>
      </c>
      <c r="D1526">
        <v>6</v>
      </c>
      <c r="E1526">
        <v>10</v>
      </c>
      <c r="F1526" t="s">
        <v>432</v>
      </c>
      <c r="G1526" t="s">
        <v>857</v>
      </c>
      <c r="H1526" s="9" t="s">
        <v>1071</v>
      </c>
      <c r="I1526">
        <f t="shared" ref="I1526:I1589" si="94">C1526*D1526*E1526</f>
        <v>120</v>
      </c>
      <c r="J1526">
        <f t="shared" si="92"/>
        <v>54.431084400000003</v>
      </c>
      <c r="K1526">
        <v>0.47</v>
      </c>
      <c r="L1526">
        <f t="shared" si="93"/>
        <v>25.582609668</v>
      </c>
    </row>
    <row r="1527" spans="1:12" x14ac:dyDescent="0.2">
      <c r="A1527" s="4">
        <v>43439</v>
      </c>
      <c r="B1527" t="s">
        <v>538</v>
      </c>
      <c r="C1527">
        <v>6</v>
      </c>
      <c r="D1527">
        <v>6</v>
      </c>
      <c r="E1527">
        <v>10</v>
      </c>
      <c r="F1527" t="s">
        <v>432</v>
      </c>
      <c r="G1527" t="s">
        <v>857</v>
      </c>
      <c r="H1527" s="9" t="s">
        <v>1071</v>
      </c>
      <c r="I1527">
        <f t="shared" si="94"/>
        <v>360</v>
      </c>
      <c r="J1527">
        <f t="shared" si="92"/>
        <v>163.29325320000001</v>
      </c>
      <c r="K1527">
        <v>0.47</v>
      </c>
      <c r="L1527">
        <f t="shared" si="93"/>
        <v>76.747829003999996</v>
      </c>
    </row>
    <row r="1528" spans="1:12" x14ac:dyDescent="0.2">
      <c r="A1528" s="4">
        <v>43439</v>
      </c>
      <c r="B1528" t="s">
        <v>538</v>
      </c>
      <c r="C1528">
        <v>1</v>
      </c>
      <c r="D1528">
        <v>6</v>
      </c>
      <c r="E1528">
        <v>10</v>
      </c>
      <c r="F1528" t="s">
        <v>546</v>
      </c>
      <c r="G1528" t="s">
        <v>857</v>
      </c>
      <c r="H1528" s="9" t="s">
        <v>1071</v>
      </c>
      <c r="I1528">
        <f t="shared" si="94"/>
        <v>60</v>
      </c>
      <c r="J1528">
        <f t="shared" si="92"/>
        <v>27.215542200000002</v>
      </c>
      <c r="K1528">
        <v>0.47</v>
      </c>
      <c r="L1528">
        <f t="shared" si="93"/>
        <v>12.791304834</v>
      </c>
    </row>
    <row r="1529" spans="1:12" x14ac:dyDescent="0.2">
      <c r="A1529" s="4">
        <v>43437</v>
      </c>
      <c r="B1529" t="s">
        <v>538</v>
      </c>
      <c r="C1529">
        <v>1</v>
      </c>
      <c r="D1529">
        <v>6</v>
      </c>
      <c r="E1529">
        <v>10</v>
      </c>
      <c r="F1529" t="s">
        <v>574</v>
      </c>
      <c r="G1529" s="6" t="s">
        <v>917</v>
      </c>
      <c r="H1529" s="9" t="s">
        <v>1071</v>
      </c>
      <c r="I1529">
        <f t="shared" si="94"/>
        <v>60</v>
      </c>
      <c r="J1529">
        <f t="shared" si="92"/>
        <v>27.215542200000002</v>
      </c>
      <c r="K1529">
        <v>0.11799999999999999</v>
      </c>
      <c r="L1529">
        <f t="shared" si="93"/>
        <v>3.2114339796000002</v>
      </c>
    </row>
    <row r="1530" spans="1:12" x14ac:dyDescent="0.2">
      <c r="A1530" s="4">
        <v>43434</v>
      </c>
      <c r="B1530" t="s">
        <v>531</v>
      </c>
      <c r="C1530">
        <v>2</v>
      </c>
      <c r="D1530">
        <v>12</v>
      </c>
      <c r="E1530">
        <f>60*0.0661387</f>
        <v>3.9683219999999997</v>
      </c>
      <c r="F1530" t="s">
        <v>534</v>
      </c>
      <c r="G1530" s="6" t="s">
        <v>892</v>
      </c>
      <c r="H1530" s="9" t="s">
        <v>1071</v>
      </c>
      <c r="I1530">
        <f t="shared" si="94"/>
        <v>95.239727999999985</v>
      </c>
      <c r="J1530">
        <f t="shared" si="92"/>
        <v>43.200013941675351</v>
      </c>
      <c r="K1530">
        <v>1.28</v>
      </c>
      <c r="L1530">
        <f t="shared" si="93"/>
        <v>55.296017845344451</v>
      </c>
    </row>
    <row r="1531" spans="1:12" x14ac:dyDescent="0.2">
      <c r="A1531" s="4">
        <v>43434</v>
      </c>
      <c r="B1531" t="s">
        <v>531</v>
      </c>
      <c r="C1531">
        <v>2</v>
      </c>
      <c r="D1531">
        <v>6</v>
      </c>
      <c r="E1531">
        <f>12*0.0661387</f>
        <v>0.79366439999999994</v>
      </c>
      <c r="F1531" t="s">
        <v>414</v>
      </c>
      <c r="G1531" s="6" t="s">
        <v>894</v>
      </c>
      <c r="H1531" s="9" t="s">
        <v>1071</v>
      </c>
      <c r="I1531">
        <f t="shared" si="94"/>
        <v>9.5239727999999992</v>
      </c>
      <c r="J1531">
        <f t="shared" si="92"/>
        <v>4.3200013941675364</v>
      </c>
      <c r="K1531">
        <v>1.28</v>
      </c>
      <c r="L1531">
        <f t="shared" si="93"/>
        <v>5.5296017845344467</v>
      </c>
    </row>
    <row r="1532" spans="1:12" x14ac:dyDescent="0.2">
      <c r="A1532" s="4">
        <v>43434</v>
      </c>
      <c r="B1532" t="s">
        <v>531</v>
      </c>
      <c r="C1532">
        <v>2</v>
      </c>
      <c r="D1532">
        <v>6</v>
      </c>
      <c r="E1532">
        <f>12*0.0661387</f>
        <v>0.79366439999999994</v>
      </c>
      <c r="F1532" t="s">
        <v>415</v>
      </c>
      <c r="G1532" s="6" t="s">
        <v>894</v>
      </c>
      <c r="H1532" s="9" t="s">
        <v>1071</v>
      </c>
      <c r="I1532">
        <f t="shared" si="94"/>
        <v>9.5239727999999992</v>
      </c>
      <c r="J1532">
        <f t="shared" si="92"/>
        <v>4.3200013941675364</v>
      </c>
      <c r="K1532">
        <v>1.28</v>
      </c>
      <c r="L1532">
        <f t="shared" si="93"/>
        <v>5.5296017845344467</v>
      </c>
    </row>
    <row r="1533" spans="1:12" x14ac:dyDescent="0.2">
      <c r="A1533" s="4">
        <v>43437</v>
      </c>
      <c r="B1533" t="s">
        <v>531</v>
      </c>
      <c r="C1533">
        <v>1</v>
      </c>
      <c r="D1533">
        <v>24</v>
      </c>
      <c r="E1533">
        <f>12*0.0661387</f>
        <v>0.79366439999999994</v>
      </c>
      <c r="F1533" t="s">
        <v>408</v>
      </c>
      <c r="G1533" s="6" t="s">
        <v>913</v>
      </c>
      <c r="H1533" s="9" t="s">
        <v>1071</v>
      </c>
      <c r="I1533">
        <f t="shared" si="94"/>
        <v>19.047945599999998</v>
      </c>
      <c r="J1533">
        <f t="shared" si="92"/>
        <v>8.6400027883350727</v>
      </c>
      <c r="K1533">
        <v>1.28</v>
      </c>
      <c r="L1533">
        <f t="shared" si="93"/>
        <v>11.059203569068893</v>
      </c>
    </row>
    <row r="1534" spans="1:12" x14ac:dyDescent="0.2">
      <c r="A1534" s="4">
        <v>43437</v>
      </c>
      <c r="B1534" t="s">
        <v>531</v>
      </c>
      <c r="C1534">
        <v>1</v>
      </c>
      <c r="D1534">
        <v>6</v>
      </c>
      <c r="E1534">
        <f>12*0.0661387</f>
        <v>0.79366439999999994</v>
      </c>
      <c r="F1534" t="s">
        <v>415</v>
      </c>
      <c r="G1534" s="6" t="s">
        <v>913</v>
      </c>
      <c r="H1534" s="9" t="s">
        <v>1071</v>
      </c>
      <c r="I1534">
        <f t="shared" si="94"/>
        <v>4.7619863999999996</v>
      </c>
      <c r="J1534">
        <f t="shared" si="92"/>
        <v>2.1600006970837682</v>
      </c>
      <c r="K1534">
        <v>1.28</v>
      </c>
      <c r="L1534">
        <f t="shared" si="93"/>
        <v>2.7648008922672234</v>
      </c>
    </row>
    <row r="1535" spans="1:12" x14ac:dyDescent="0.2">
      <c r="A1535" s="4">
        <v>43434</v>
      </c>
      <c r="B1535" t="s">
        <v>538</v>
      </c>
      <c r="C1535">
        <v>1</v>
      </c>
      <c r="D1535">
        <v>6</v>
      </c>
      <c r="E1535">
        <f>66.5/16</f>
        <v>4.15625</v>
      </c>
      <c r="F1535" t="s">
        <v>427</v>
      </c>
      <c r="G1535" t="s">
        <v>862</v>
      </c>
      <c r="H1535" s="9" t="s">
        <v>1072</v>
      </c>
      <c r="I1535">
        <f t="shared" si="94"/>
        <v>24.9375</v>
      </c>
      <c r="J1535">
        <f t="shared" si="92"/>
        <v>11.311459726875</v>
      </c>
      <c r="K1535">
        <v>2.1480000000000001</v>
      </c>
      <c r="L1535">
        <f t="shared" si="93"/>
        <v>24.297015493327503</v>
      </c>
    </row>
    <row r="1536" spans="1:12" x14ac:dyDescent="0.2">
      <c r="A1536" s="4">
        <v>43437</v>
      </c>
      <c r="B1536" t="s">
        <v>538</v>
      </c>
      <c r="C1536">
        <v>1</v>
      </c>
      <c r="D1536">
        <v>6</v>
      </c>
      <c r="E1536">
        <f>66.5/16</f>
        <v>4.15625</v>
      </c>
      <c r="F1536" t="s">
        <v>427</v>
      </c>
      <c r="G1536" t="s">
        <v>862</v>
      </c>
      <c r="H1536" s="9" t="s">
        <v>1072</v>
      </c>
      <c r="I1536">
        <f t="shared" si="94"/>
        <v>24.9375</v>
      </c>
      <c r="J1536">
        <f t="shared" si="92"/>
        <v>11.311459726875</v>
      </c>
      <c r="K1536">
        <v>2.1480000000000001</v>
      </c>
      <c r="L1536">
        <f t="shared" si="93"/>
        <v>24.297015493327503</v>
      </c>
    </row>
    <row r="1537" spans="1:12" x14ac:dyDescent="0.2">
      <c r="A1537" s="4">
        <v>43434</v>
      </c>
      <c r="B1537" t="s">
        <v>530</v>
      </c>
      <c r="C1537">
        <v>1</v>
      </c>
      <c r="D1537">
        <v>1</v>
      </c>
      <c r="E1537">
        <v>72.5</v>
      </c>
      <c r="F1537" t="s">
        <v>400</v>
      </c>
      <c r="G1537" t="s">
        <v>852</v>
      </c>
      <c r="H1537" s="9" t="s">
        <v>1072</v>
      </c>
      <c r="I1537">
        <f t="shared" si="94"/>
        <v>72.5</v>
      </c>
      <c r="J1537">
        <f t="shared" si="92"/>
        <v>32.885446825000002</v>
      </c>
      <c r="K1537">
        <v>2.5710000000000002</v>
      </c>
      <c r="L1537">
        <f t="shared" si="93"/>
        <v>84.548483787075014</v>
      </c>
    </row>
    <row r="1538" spans="1:12" x14ac:dyDescent="0.2">
      <c r="A1538" s="4">
        <v>43437</v>
      </c>
      <c r="B1538" t="s">
        <v>530</v>
      </c>
      <c r="C1538">
        <v>1</v>
      </c>
      <c r="D1538">
        <v>1</v>
      </c>
      <c r="E1538">
        <v>124.53</v>
      </c>
      <c r="F1538" t="s">
        <v>568</v>
      </c>
      <c r="G1538" t="s">
        <v>852</v>
      </c>
      <c r="H1538" s="9" t="s">
        <v>1072</v>
      </c>
      <c r="I1538">
        <f t="shared" si="94"/>
        <v>124.53</v>
      </c>
      <c r="J1538">
        <f t="shared" si="92"/>
        <v>56.485857836100003</v>
      </c>
      <c r="K1538">
        <v>2.5710000000000002</v>
      </c>
      <c r="L1538">
        <f t="shared" si="93"/>
        <v>145.22514049661311</v>
      </c>
    </row>
    <row r="1539" spans="1:12" x14ac:dyDescent="0.2">
      <c r="A1539" s="4">
        <v>43437</v>
      </c>
      <c r="B1539" t="s">
        <v>530</v>
      </c>
      <c r="C1539">
        <v>4</v>
      </c>
      <c r="D1539">
        <v>160</v>
      </c>
      <c r="E1539">
        <f>1/16</f>
        <v>6.25E-2</v>
      </c>
      <c r="F1539" t="s">
        <v>569</v>
      </c>
      <c r="G1539" t="s">
        <v>852</v>
      </c>
      <c r="H1539" s="9" t="s">
        <v>1072</v>
      </c>
      <c r="I1539">
        <f t="shared" si="94"/>
        <v>40</v>
      </c>
      <c r="J1539">
        <f t="shared" ref="J1539:J1602" si="95">CONVERT(I1539,"lbm","kg")</f>
        <v>18.143694800000002</v>
      </c>
      <c r="K1539">
        <v>2.5710000000000002</v>
      </c>
      <c r="L1539">
        <f t="shared" ref="L1539:L1602" si="96">J1539*K1539</f>
        <v>46.647439330800012</v>
      </c>
    </row>
    <row r="1540" spans="1:12" x14ac:dyDescent="0.2">
      <c r="A1540" s="4">
        <v>43437</v>
      </c>
      <c r="B1540" t="s">
        <v>530</v>
      </c>
      <c r="C1540">
        <v>4</v>
      </c>
      <c r="D1540">
        <v>2</v>
      </c>
      <c r="E1540">
        <v>6</v>
      </c>
      <c r="F1540" t="s">
        <v>402</v>
      </c>
      <c r="G1540" t="s">
        <v>912</v>
      </c>
      <c r="H1540" s="9" t="s">
        <v>1072</v>
      </c>
      <c r="I1540">
        <f t="shared" si="94"/>
        <v>48</v>
      </c>
      <c r="J1540">
        <f t="shared" si="95"/>
        <v>21.772433760000002</v>
      </c>
      <c r="K1540">
        <v>2.5710000000000002</v>
      </c>
      <c r="L1540">
        <f t="shared" si="96"/>
        <v>55.976927196960006</v>
      </c>
    </row>
    <row r="1541" spans="1:12" x14ac:dyDescent="0.2">
      <c r="A1541" s="4">
        <v>43439</v>
      </c>
      <c r="B1541" t="s">
        <v>530</v>
      </c>
      <c r="C1541">
        <v>3</v>
      </c>
      <c r="D1541">
        <v>160</v>
      </c>
      <c r="E1541">
        <f>1/16</f>
        <v>6.25E-2</v>
      </c>
      <c r="F1541" t="s">
        <v>569</v>
      </c>
      <c r="G1541" t="s">
        <v>852</v>
      </c>
      <c r="H1541" s="9" t="s">
        <v>1072</v>
      </c>
      <c r="I1541">
        <f t="shared" si="94"/>
        <v>30</v>
      </c>
      <c r="J1541">
        <f t="shared" si="95"/>
        <v>13.607771100000001</v>
      </c>
      <c r="K1541">
        <v>2.5710000000000002</v>
      </c>
      <c r="L1541">
        <f t="shared" si="96"/>
        <v>34.985579498100002</v>
      </c>
    </row>
    <row r="1542" spans="1:12" x14ac:dyDescent="0.2">
      <c r="A1542" s="4">
        <v>43434</v>
      </c>
      <c r="B1542" t="s">
        <v>538</v>
      </c>
      <c r="C1542">
        <v>1</v>
      </c>
      <c r="D1542">
        <v>4</v>
      </c>
      <c r="E1542">
        <v>8.41</v>
      </c>
      <c r="F1542" t="s">
        <v>558</v>
      </c>
      <c r="G1542" t="s">
        <v>872</v>
      </c>
      <c r="H1542" s="9" t="s">
        <v>1071</v>
      </c>
      <c r="I1542">
        <f t="shared" si="94"/>
        <v>33.64</v>
      </c>
      <c r="J1542">
        <f t="shared" si="95"/>
        <v>15.258847326800002</v>
      </c>
      <c r="K1542">
        <v>0.34</v>
      </c>
      <c r="L1542">
        <f t="shared" si="96"/>
        <v>5.1880080911120006</v>
      </c>
    </row>
    <row r="1543" spans="1:12" x14ac:dyDescent="0.2">
      <c r="A1543" s="4">
        <v>43437</v>
      </c>
      <c r="B1543" t="s">
        <v>538</v>
      </c>
      <c r="C1543">
        <v>1</v>
      </c>
      <c r="D1543">
        <v>2</v>
      </c>
      <c r="E1543" s="6">
        <f>5*2.39</f>
        <v>11.950000000000001</v>
      </c>
      <c r="F1543" t="s">
        <v>450</v>
      </c>
      <c r="G1543" t="s">
        <v>872</v>
      </c>
      <c r="H1543" s="9" t="s">
        <v>1071</v>
      </c>
      <c r="I1543">
        <f t="shared" si="94"/>
        <v>23.900000000000002</v>
      </c>
      <c r="J1543">
        <f t="shared" si="95"/>
        <v>10.840857643000001</v>
      </c>
      <c r="K1543">
        <v>0.34</v>
      </c>
      <c r="L1543">
        <f t="shared" si="96"/>
        <v>3.6858915986200009</v>
      </c>
    </row>
    <row r="1544" spans="1:12" x14ac:dyDescent="0.2">
      <c r="A1544" s="4">
        <v>43439</v>
      </c>
      <c r="B1544" t="s">
        <v>538</v>
      </c>
      <c r="C1544">
        <v>1</v>
      </c>
      <c r="D1544">
        <v>4</v>
      </c>
      <c r="E1544">
        <v>8.41</v>
      </c>
      <c r="F1544" t="s">
        <v>596</v>
      </c>
      <c r="G1544" t="s">
        <v>872</v>
      </c>
      <c r="H1544" s="9" t="s">
        <v>1071</v>
      </c>
      <c r="I1544">
        <f t="shared" si="94"/>
        <v>33.64</v>
      </c>
      <c r="J1544">
        <f t="shared" si="95"/>
        <v>15.258847326800002</v>
      </c>
      <c r="K1544">
        <v>0.34</v>
      </c>
      <c r="L1544">
        <f t="shared" si="96"/>
        <v>5.1880080911120006</v>
      </c>
    </row>
    <row r="1545" spans="1:12" x14ac:dyDescent="0.2">
      <c r="A1545" s="4">
        <v>43437</v>
      </c>
      <c r="B1545" t="s">
        <v>538</v>
      </c>
      <c r="C1545">
        <v>1</v>
      </c>
      <c r="D1545">
        <v>6</v>
      </c>
      <c r="E1545">
        <v>2</v>
      </c>
      <c r="F1545" t="s">
        <v>570</v>
      </c>
      <c r="G1545" s="6" t="s">
        <v>985</v>
      </c>
      <c r="H1545" s="9" t="s">
        <v>1071</v>
      </c>
      <c r="I1545">
        <f t="shared" si="94"/>
        <v>12</v>
      </c>
      <c r="J1545">
        <f t="shared" si="95"/>
        <v>5.4431084400000005</v>
      </c>
      <c r="K1545">
        <v>0.34699999999999998</v>
      </c>
      <c r="L1545">
        <f t="shared" si="96"/>
        <v>1.88875862868</v>
      </c>
    </row>
    <row r="1546" spans="1:12" x14ac:dyDescent="0.2">
      <c r="A1546" s="4">
        <v>43437</v>
      </c>
      <c r="B1546" t="s">
        <v>538</v>
      </c>
      <c r="C1546">
        <v>1</v>
      </c>
      <c r="D1546">
        <v>4</v>
      </c>
      <c r="E1546">
        <v>8.41</v>
      </c>
      <c r="F1546" t="s">
        <v>576</v>
      </c>
      <c r="G1546" t="s">
        <v>873</v>
      </c>
      <c r="H1546" s="9" t="s">
        <v>1071</v>
      </c>
      <c r="I1546">
        <f t="shared" si="94"/>
        <v>33.64</v>
      </c>
      <c r="J1546">
        <f t="shared" si="95"/>
        <v>15.258847326800002</v>
      </c>
      <c r="K1546">
        <v>0.78</v>
      </c>
      <c r="L1546">
        <f t="shared" si="96"/>
        <v>11.901900914904001</v>
      </c>
    </row>
    <row r="1547" spans="1:12" x14ac:dyDescent="0.2">
      <c r="A1547" s="4">
        <v>43437</v>
      </c>
      <c r="B1547" t="s">
        <v>538</v>
      </c>
      <c r="C1547">
        <v>1</v>
      </c>
      <c r="D1547">
        <v>4</v>
      </c>
      <c r="E1547">
        <v>8.41</v>
      </c>
      <c r="F1547" t="s">
        <v>578</v>
      </c>
      <c r="G1547" t="s">
        <v>873</v>
      </c>
      <c r="H1547" s="9" t="s">
        <v>1071</v>
      </c>
      <c r="I1547">
        <f t="shared" si="94"/>
        <v>33.64</v>
      </c>
      <c r="J1547">
        <f t="shared" si="95"/>
        <v>15.258847326800002</v>
      </c>
      <c r="K1547">
        <v>0.78</v>
      </c>
      <c r="L1547">
        <f t="shared" si="96"/>
        <v>11.901900914904001</v>
      </c>
    </row>
    <row r="1548" spans="1:12" x14ac:dyDescent="0.2">
      <c r="A1548" s="4">
        <v>43439</v>
      </c>
      <c r="B1548" t="s">
        <v>538</v>
      </c>
      <c r="C1548">
        <v>1</v>
      </c>
      <c r="D1548">
        <v>8</v>
      </c>
      <c r="E1548">
        <f>12*0.0661387</f>
        <v>0.79366439999999994</v>
      </c>
      <c r="F1548" t="s">
        <v>599</v>
      </c>
      <c r="G1548" s="6" t="s">
        <v>856</v>
      </c>
      <c r="H1548" s="9" t="s">
        <v>1071</v>
      </c>
      <c r="I1548">
        <f t="shared" si="94"/>
        <v>6.3493151999999995</v>
      </c>
      <c r="J1548">
        <f t="shared" si="95"/>
        <v>2.8800009294450239</v>
      </c>
      <c r="K1548">
        <v>1.28</v>
      </c>
      <c r="L1548">
        <f t="shared" si="96"/>
        <v>3.6864011896896307</v>
      </c>
    </row>
    <row r="1549" spans="1:12" x14ac:dyDescent="0.2">
      <c r="A1549" s="4">
        <v>43439</v>
      </c>
      <c r="B1549" t="s">
        <v>531</v>
      </c>
      <c r="C1549">
        <v>1</v>
      </c>
      <c r="D1549">
        <v>6</v>
      </c>
      <c r="E1549">
        <f>12*0.0661387</f>
        <v>0.79366439999999994</v>
      </c>
      <c r="F1549" t="s">
        <v>415</v>
      </c>
      <c r="G1549" s="6" t="s">
        <v>856</v>
      </c>
      <c r="H1549" s="9" t="s">
        <v>1071</v>
      </c>
      <c r="I1549">
        <f t="shared" si="94"/>
        <v>4.7619863999999996</v>
      </c>
      <c r="J1549">
        <f t="shared" si="95"/>
        <v>2.1600006970837682</v>
      </c>
      <c r="K1549">
        <v>1.28</v>
      </c>
      <c r="L1549">
        <f t="shared" si="96"/>
        <v>2.7648008922672234</v>
      </c>
    </row>
    <row r="1550" spans="1:12" x14ac:dyDescent="0.2">
      <c r="A1550" s="4">
        <v>43434</v>
      </c>
      <c r="B1550" t="s">
        <v>538</v>
      </c>
      <c r="C1550">
        <v>2</v>
      </c>
      <c r="D1550">
        <v>12</v>
      </c>
      <c r="E1550">
        <v>2</v>
      </c>
      <c r="F1550" t="s">
        <v>557</v>
      </c>
      <c r="G1550" s="14" t="s">
        <v>871</v>
      </c>
      <c r="H1550" s="9" t="s">
        <v>1071</v>
      </c>
      <c r="I1550">
        <f t="shared" si="94"/>
        <v>48</v>
      </c>
      <c r="J1550">
        <f t="shared" si="95"/>
        <v>21.772433760000002</v>
      </c>
      <c r="L1550">
        <f t="shared" si="96"/>
        <v>0</v>
      </c>
    </row>
    <row r="1551" spans="1:12" x14ac:dyDescent="0.2">
      <c r="A1551" s="4">
        <v>43434</v>
      </c>
      <c r="B1551" t="s">
        <v>517</v>
      </c>
      <c r="C1551">
        <v>10</v>
      </c>
      <c r="D1551">
        <v>2</v>
      </c>
      <c r="E1551">
        <v>6</v>
      </c>
      <c r="F1551" t="s">
        <v>383</v>
      </c>
      <c r="G1551" t="s">
        <v>846</v>
      </c>
      <c r="H1551" s="9" t="s">
        <v>1073</v>
      </c>
      <c r="I1551">
        <f t="shared" si="94"/>
        <v>120</v>
      </c>
      <c r="J1551">
        <f t="shared" si="95"/>
        <v>54.431084400000003</v>
      </c>
      <c r="K1551">
        <v>1.33</v>
      </c>
      <c r="L1551">
        <f t="shared" si="96"/>
        <v>72.393342252000011</v>
      </c>
    </row>
    <row r="1552" spans="1:12" x14ac:dyDescent="0.2">
      <c r="A1552" s="4">
        <v>43434</v>
      </c>
      <c r="B1552" t="s">
        <v>517</v>
      </c>
      <c r="C1552">
        <v>10</v>
      </c>
      <c r="D1552">
        <v>2</v>
      </c>
      <c r="E1552">
        <v>6</v>
      </c>
      <c r="F1552" t="s">
        <v>384</v>
      </c>
      <c r="G1552" t="s">
        <v>846</v>
      </c>
      <c r="H1552" s="9" t="s">
        <v>1073</v>
      </c>
      <c r="I1552">
        <f t="shared" si="94"/>
        <v>120</v>
      </c>
      <c r="J1552">
        <f t="shared" si="95"/>
        <v>54.431084400000003</v>
      </c>
      <c r="K1552">
        <v>1.33</v>
      </c>
      <c r="L1552">
        <f t="shared" si="96"/>
        <v>72.393342252000011</v>
      </c>
    </row>
    <row r="1553" spans="1:12" x14ac:dyDescent="0.2">
      <c r="A1553" s="4">
        <v>43439</v>
      </c>
      <c r="B1553" t="s">
        <v>517</v>
      </c>
      <c r="C1553">
        <v>2</v>
      </c>
      <c r="D1553">
        <v>2</v>
      </c>
      <c r="E1553">
        <v>6</v>
      </c>
      <c r="F1553" t="s">
        <v>384</v>
      </c>
      <c r="G1553" t="s">
        <v>846</v>
      </c>
      <c r="H1553" s="9" t="s">
        <v>1073</v>
      </c>
      <c r="I1553">
        <f t="shared" si="94"/>
        <v>24</v>
      </c>
      <c r="J1553">
        <f t="shared" si="95"/>
        <v>10.886216880000001</v>
      </c>
      <c r="K1553">
        <v>1.33</v>
      </c>
      <c r="L1553">
        <f t="shared" si="96"/>
        <v>14.478668450400002</v>
      </c>
    </row>
    <row r="1554" spans="1:12" x14ac:dyDescent="0.2">
      <c r="A1554" s="4">
        <v>43403</v>
      </c>
      <c r="B1554" t="s">
        <v>48</v>
      </c>
      <c r="C1554" s="28">
        <v>3</v>
      </c>
      <c r="D1554">
        <v>1</v>
      </c>
      <c r="E1554">
        <v>12</v>
      </c>
      <c r="F1554" s="6" t="s">
        <v>1015</v>
      </c>
      <c r="G1554" t="s">
        <v>807</v>
      </c>
      <c r="H1554" t="s">
        <v>1073</v>
      </c>
      <c r="I1554">
        <f t="shared" si="94"/>
        <v>36</v>
      </c>
      <c r="J1554">
        <f t="shared" si="95"/>
        <v>16.329325319999999</v>
      </c>
      <c r="K1554">
        <v>1.33</v>
      </c>
      <c r="L1554">
        <f t="shared" si="96"/>
        <v>21.718002675600001</v>
      </c>
    </row>
    <row r="1555" spans="1:12" x14ac:dyDescent="0.2">
      <c r="A1555" s="4">
        <v>43399</v>
      </c>
      <c r="B1555" t="s">
        <v>48</v>
      </c>
      <c r="C1555" s="28">
        <v>2</v>
      </c>
      <c r="D1555">
        <v>1</v>
      </c>
      <c r="E1555">
        <v>12</v>
      </c>
      <c r="F1555" s="6" t="s">
        <v>1015</v>
      </c>
      <c r="G1555" t="s">
        <v>807</v>
      </c>
      <c r="H1555" t="s">
        <v>1073</v>
      </c>
      <c r="I1555">
        <f t="shared" si="94"/>
        <v>24</v>
      </c>
      <c r="J1555">
        <f t="shared" si="95"/>
        <v>10.886216880000001</v>
      </c>
      <c r="K1555">
        <v>1.33</v>
      </c>
      <c r="L1555">
        <f t="shared" si="96"/>
        <v>14.478668450400002</v>
      </c>
    </row>
    <row r="1556" spans="1:12" ht="17" thickBot="1" x14ac:dyDescent="0.25">
      <c r="A1556" s="26">
        <v>43399</v>
      </c>
      <c r="B1556" s="12" t="s">
        <v>48</v>
      </c>
      <c r="C1556" s="29">
        <v>2</v>
      </c>
      <c r="D1556" s="12">
        <v>1</v>
      </c>
      <c r="E1556" s="12">
        <v>12</v>
      </c>
      <c r="F1556" s="63" t="s">
        <v>1016</v>
      </c>
      <c r="G1556" s="12" t="s">
        <v>807</v>
      </c>
      <c r="H1556" s="12" t="s">
        <v>1073</v>
      </c>
      <c r="I1556" s="12">
        <f t="shared" si="94"/>
        <v>24</v>
      </c>
      <c r="J1556" s="12">
        <f t="shared" si="95"/>
        <v>10.886216880000001</v>
      </c>
      <c r="K1556" s="12">
        <v>1.33</v>
      </c>
      <c r="L1556" s="12">
        <f t="shared" si="96"/>
        <v>14.478668450400002</v>
      </c>
    </row>
    <row r="1557" spans="1:12" x14ac:dyDescent="0.2">
      <c r="A1557" s="10">
        <v>43434</v>
      </c>
      <c r="B1557" s="8" t="s">
        <v>525</v>
      </c>
      <c r="C1557" s="8">
        <v>2</v>
      </c>
      <c r="D1557" s="8">
        <v>2</v>
      </c>
      <c r="E1557">
        <v>5</v>
      </c>
      <c r="F1557" t="s">
        <v>398</v>
      </c>
      <c r="G1557" s="6" t="s">
        <v>890</v>
      </c>
      <c r="H1557" s="6" t="s">
        <v>1072</v>
      </c>
      <c r="I1557">
        <f t="shared" si="94"/>
        <v>20</v>
      </c>
      <c r="J1557">
        <f t="shared" si="95"/>
        <v>9.0718474000000011</v>
      </c>
      <c r="K1557">
        <f>(0.5*32.846)+(0.5*5.56)</f>
        <v>19.202999999999999</v>
      </c>
      <c r="L1557">
        <f t="shared" si="96"/>
        <v>174.20668562220001</v>
      </c>
    </row>
    <row r="1558" spans="1:12" x14ac:dyDescent="0.2">
      <c r="A1558" s="4">
        <v>43439</v>
      </c>
      <c r="B1558" t="s">
        <v>525</v>
      </c>
      <c r="C1558">
        <v>1</v>
      </c>
      <c r="D1558">
        <v>2</v>
      </c>
      <c r="E1558">
        <v>5</v>
      </c>
      <c r="F1558" t="s">
        <v>398</v>
      </c>
      <c r="G1558" t="s">
        <v>890</v>
      </c>
      <c r="H1558" t="s">
        <v>1072</v>
      </c>
      <c r="I1558">
        <f t="shared" si="94"/>
        <v>10</v>
      </c>
      <c r="J1558">
        <f t="shared" si="95"/>
        <v>4.5359237000000006</v>
      </c>
      <c r="K1558">
        <f>(0.5*32.846)+(0.5*5.56)</f>
        <v>19.202999999999999</v>
      </c>
      <c r="L1558">
        <f t="shared" si="96"/>
        <v>87.103342811100006</v>
      </c>
    </row>
    <row r="1559" spans="1:12" x14ac:dyDescent="0.2">
      <c r="A1559" s="4">
        <v>43399</v>
      </c>
      <c r="B1559" t="s">
        <v>22</v>
      </c>
      <c r="C1559" s="37">
        <v>1</v>
      </c>
      <c r="D1559" s="37">
        <v>1</v>
      </c>
      <c r="E1559">
        <v>100</v>
      </c>
      <c r="F1559" t="s">
        <v>26</v>
      </c>
      <c r="G1559" t="s">
        <v>767</v>
      </c>
      <c r="H1559" s="9" t="s">
        <v>1071</v>
      </c>
      <c r="I1559">
        <f t="shared" si="94"/>
        <v>100</v>
      </c>
      <c r="J1559">
        <f t="shared" si="95"/>
        <v>45.359237</v>
      </c>
      <c r="K1559">
        <v>0.22800000000000001</v>
      </c>
      <c r="L1559">
        <f t="shared" si="96"/>
        <v>10.341906036000001</v>
      </c>
    </row>
    <row r="1560" spans="1:12" x14ac:dyDescent="0.2">
      <c r="A1560" s="4">
        <v>43399</v>
      </c>
      <c r="B1560" t="s">
        <v>22</v>
      </c>
      <c r="C1560" s="37">
        <v>1</v>
      </c>
      <c r="D1560" s="37">
        <v>1</v>
      </c>
      <c r="E1560">
        <v>159.6</v>
      </c>
      <c r="F1560" t="s">
        <v>284</v>
      </c>
      <c r="G1560" t="s">
        <v>767</v>
      </c>
      <c r="H1560" s="9" t="s">
        <v>1071</v>
      </c>
      <c r="I1560">
        <f t="shared" si="94"/>
        <v>159.6</v>
      </c>
      <c r="J1560">
        <f t="shared" si="95"/>
        <v>72.393342252000011</v>
      </c>
      <c r="K1560">
        <v>0.22800000000000001</v>
      </c>
      <c r="L1560">
        <f t="shared" si="96"/>
        <v>16.505682033456004</v>
      </c>
    </row>
    <row r="1561" spans="1:12" x14ac:dyDescent="0.2">
      <c r="A1561" s="4">
        <v>43403</v>
      </c>
      <c r="B1561" t="s">
        <v>22</v>
      </c>
      <c r="C1561" s="37">
        <v>1</v>
      </c>
      <c r="D1561" s="37">
        <v>1</v>
      </c>
      <c r="E1561">
        <v>158.4</v>
      </c>
      <c r="F1561" t="s">
        <v>289</v>
      </c>
      <c r="G1561" t="s">
        <v>767</v>
      </c>
      <c r="H1561" s="9" t="s">
        <v>1071</v>
      </c>
      <c r="I1561">
        <f t="shared" si="94"/>
        <v>158.4</v>
      </c>
      <c r="J1561">
        <f t="shared" si="95"/>
        <v>71.849031408000016</v>
      </c>
      <c r="K1561">
        <v>0.22800000000000001</v>
      </c>
      <c r="L1561">
        <f t="shared" si="96"/>
        <v>16.381579161024003</v>
      </c>
    </row>
    <row r="1562" spans="1:12" x14ac:dyDescent="0.2">
      <c r="A1562" s="4">
        <v>43403</v>
      </c>
      <c r="B1562" t="s">
        <v>22</v>
      </c>
      <c r="C1562" s="37">
        <v>1</v>
      </c>
      <c r="D1562" s="37">
        <v>1</v>
      </c>
      <c r="E1562">
        <v>159.6</v>
      </c>
      <c r="F1562" t="s">
        <v>290</v>
      </c>
      <c r="G1562" t="s">
        <v>767</v>
      </c>
      <c r="H1562" s="9" t="s">
        <v>1071</v>
      </c>
      <c r="I1562">
        <f t="shared" si="94"/>
        <v>159.6</v>
      </c>
      <c r="J1562">
        <f t="shared" si="95"/>
        <v>72.393342252000011</v>
      </c>
      <c r="K1562">
        <v>0.22800000000000001</v>
      </c>
      <c r="L1562">
        <f t="shared" si="96"/>
        <v>16.505682033456004</v>
      </c>
    </row>
    <row r="1563" spans="1:12" x14ac:dyDescent="0.2">
      <c r="A1563" s="4">
        <v>43434</v>
      </c>
      <c r="B1563" t="s">
        <v>48</v>
      </c>
      <c r="C1563" s="28">
        <v>3</v>
      </c>
      <c r="D1563" s="28">
        <v>1</v>
      </c>
      <c r="E1563">
        <f>125*1/3</f>
        <v>41.666666666666664</v>
      </c>
      <c r="F1563" t="s">
        <v>476</v>
      </c>
      <c r="G1563" t="s">
        <v>835</v>
      </c>
      <c r="H1563" t="s">
        <v>1071</v>
      </c>
      <c r="I1563">
        <f t="shared" si="94"/>
        <v>125</v>
      </c>
      <c r="J1563">
        <f t="shared" si="95"/>
        <v>56.699046250000002</v>
      </c>
      <c r="K1563">
        <v>0.22800000000000001</v>
      </c>
      <c r="L1563">
        <f t="shared" si="96"/>
        <v>12.927382545</v>
      </c>
    </row>
    <row r="1564" spans="1:12" x14ac:dyDescent="0.2">
      <c r="A1564" s="4">
        <v>43434</v>
      </c>
      <c r="B1564" t="s">
        <v>48</v>
      </c>
      <c r="C1564" s="28">
        <v>3</v>
      </c>
      <c r="D1564" s="28">
        <v>1</v>
      </c>
      <c r="E1564">
        <f>125*1/3</f>
        <v>41.666666666666664</v>
      </c>
      <c r="F1564" t="s">
        <v>477</v>
      </c>
      <c r="G1564" t="s">
        <v>835</v>
      </c>
      <c r="H1564" t="s">
        <v>1071</v>
      </c>
      <c r="I1564">
        <f t="shared" si="94"/>
        <v>125</v>
      </c>
      <c r="J1564">
        <f t="shared" si="95"/>
        <v>56.699046250000002</v>
      </c>
      <c r="K1564">
        <v>0.22800000000000001</v>
      </c>
      <c r="L1564">
        <f t="shared" si="96"/>
        <v>12.927382545</v>
      </c>
    </row>
    <row r="1565" spans="1:12" x14ac:dyDescent="0.2">
      <c r="A1565" s="4">
        <v>43437</v>
      </c>
      <c r="B1565" t="s">
        <v>48</v>
      </c>
      <c r="C1565" s="28">
        <v>2</v>
      </c>
      <c r="D1565" s="28">
        <v>1</v>
      </c>
      <c r="E1565">
        <f>125*1/3</f>
        <v>41.666666666666664</v>
      </c>
      <c r="F1565" t="s">
        <v>477</v>
      </c>
      <c r="G1565" t="s">
        <v>835</v>
      </c>
      <c r="H1565" t="s">
        <v>1071</v>
      </c>
      <c r="I1565">
        <f t="shared" si="94"/>
        <v>83.333333333333329</v>
      </c>
      <c r="J1565">
        <f t="shared" si="95"/>
        <v>37.79936416666667</v>
      </c>
      <c r="K1565">
        <v>0.22800000000000001</v>
      </c>
      <c r="L1565">
        <f t="shared" si="96"/>
        <v>8.618255030000002</v>
      </c>
    </row>
    <row r="1566" spans="1:12" x14ac:dyDescent="0.2">
      <c r="A1566" s="4">
        <v>43437</v>
      </c>
      <c r="B1566" t="s">
        <v>538</v>
      </c>
      <c r="C1566">
        <v>1</v>
      </c>
      <c r="D1566">
        <v>6</v>
      </c>
      <c r="E1566">
        <v>10</v>
      </c>
      <c r="F1566" t="s">
        <v>577</v>
      </c>
      <c r="G1566" s="6" t="s">
        <v>918</v>
      </c>
      <c r="H1566" t="s">
        <v>1071</v>
      </c>
      <c r="I1566">
        <f t="shared" si="94"/>
        <v>60</v>
      </c>
      <c r="J1566">
        <f t="shared" si="95"/>
        <v>27.215542200000002</v>
      </c>
      <c r="K1566">
        <v>3.25</v>
      </c>
      <c r="L1566">
        <f t="shared" si="96"/>
        <v>88.450512150000009</v>
      </c>
    </row>
    <row r="1567" spans="1:12" x14ac:dyDescent="0.2">
      <c r="A1567" s="4">
        <v>43434</v>
      </c>
      <c r="B1567" t="s">
        <v>538</v>
      </c>
      <c r="C1567">
        <v>2</v>
      </c>
      <c r="D1567">
        <v>6</v>
      </c>
      <c r="E1567">
        <v>6.6138700000000004</v>
      </c>
      <c r="F1567" t="s">
        <v>447</v>
      </c>
      <c r="G1567" t="s">
        <v>870</v>
      </c>
      <c r="H1567" t="s">
        <v>1071</v>
      </c>
      <c r="I1567">
        <f t="shared" si="94"/>
        <v>79.366440000000011</v>
      </c>
      <c r="J1567">
        <f t="shared" si="95"/>
        <v>36.000011618062807</v>
      </c>
      <c r="K1567">
        <v>0.84599999999999997</v>
      </c>
      <c r="L1567">
        <f t="shared" si="96"/>
        <v>30.456009828881133</v>
      </c>
    </row>
    <row r="1568" spans="1:12" x14ac:dyDescent="0.2">
      <c r="A1568" s="4">
        <v>43438</v>
      </c>
      <c r="B1568" t="s">
        <v>48</v>
      </c>
      <c r="C1568" s="28">
        <v>6</v>
      </c>
      <c r="D1568" s="28">
        <v>1</v>
      </c>
      <c r="E1568">
        <v>11</v>
      </c>
      <c r="F1568" t="s">
        <v>337</v>
      </c>
      <c r="G1568" t="s">
        <v>816</v>
      </c>
      <c r="H1568" t="s">
        <v>1071</v>
      </c>
      <c r="I1568">
        <f t="shared" si="94"/>
        <v>66</v>
      </c>
      <c r="J1568">
        <f t="shared" si="95"/>
        <v>29.937096420000003</v>
      </c>
      <c r="K1568">
        <v>2.1709999999999998</v>
      </c>
      <c r="L1568">
        <f t="shared" si="96"/>
        <v>64.993436327820007</v>
      </c>
    </row>
    <row r="1569" spans="1:12" x14ac:dyDescent="0.2">
      <c r="A1569" s="4">
        <v>43439</v>
      </c>
      <c r="B1569" t="s">
        <v>48</v>
      </c>
      <c r="C1569" s="28">
        <v>1</v>
      </c>
      <c r="D1569" s="28">
        <v>1</v>
      </c>
      <c r="E1569">
        <v>48</v>
      </c>
      <c r="F1569" t="s">
        <v>202</v>
      </c>
      <c r="G1569" t="s">
        <v>202</v>
      </c>
      <c r="H1569" t="s">
        <v>1071</v>
      </c>
      <c r="I1569">
        <f t="shared" si="94"/>
        <v>48</v>
      </c>
      <c r="J1569">
        <f t="shared" si="95"/>
        <v>21.772433760000002</v>
      </c>
      <c r="K1569">
        <v>0.54700000000000004</v>
      </c>
      <c r="L1569">
        <f t="shared" si="96"/>
        <v>11.909521266720002</v>
      </c>
    </row>
    <row r="1570" spans="1:12" x14ac:dyDescent="0.2">
      <c r="A1570" s="4">
        <v>43434</v>
      </c>
      <c r="B1570" t="s">
        <v>531</v>
      </c>
      <c r="C1570">
        <v>4</v>
      </c>
      <c r="D1570">
        <v>4</v>
      </c>
      <c r="E1570">
        <v>6</v>
      </c>
      <c r="F1570" t="s">
        <v>537</v>
      </c>
      <c r="G1570" t="s">
        <v>858</v>
      </c>
      <c r="H1570" t="s">
        <v>1071</v>
      </c>
      <c r="I1570">
        <f t="shared" si="94"/>
        <v>96</v>
      </c>
      <c r="J1570">
        <f t="shared" si="95"/>
        <v>43.544867520000004</v>
      </c>
      <c r="K1570">
        <v>0.374</v>
      </c>
      <c r="L1570">
        <f t="shared" si="96"/>
        <v>16.285780452480001</v>
      </c>
    </row>
    <row r="1571" spans="1:12" x14ac:dyDescent="0.2">
      <c r="A1571" s="4">
        <v>43437</v>
      </c>
      <c r="B1571" t="s">
        <v>531</v>
      </c>
      <c r="C1571">
        <v>5</v>
      </c>
      <c r="D1571">
        <v>4</v>
      </c>
      <c r="E1571">
        <v>6</v>
      </c>
      <c r="F1571" t="s">
        <v>413</v>
      </c>
      <c r="G1571" t="s">
        <v>858</v>
      </c>
      <c r="H1571" t="s">
        <v>1071</v>
      </c>
      <c r="I1571">
        <f t="shared" si="94"/>
        <v>120</v>
      </c>
      <c r="J1571">
        <f t="shared" si="95"/>
        <v>54.431084400000003</v>
      </c>
      <c r="K1571">
        <v>0.374</v>
      </c>
      <c r="L1571">
        <f t="shared" si="96"/>
        <v>20.3572255656</v>
      </c>
    </row>
    <row r="1572" spans="1:12" x14ac:dyDescent="0.2">
      <c r="A1572" s="4">
        <v>43434</v>
      </c>
      <c r="B1572" t="s">
        <v>48</v>
      </c>
      <c r="C1572" s="28">
        <v>8</v>
      </c>
      <c r="D1572" s="28">
        <v>1</v>
      </c>
      <c r="E1572">
        <v>40</v>
      </c>
      <c r="F1572" t="s">
        <v>249</v>
      </c>
      <c r="G1572" t="s">
        <v>783</v>
      </c>
      <c r="H1572" t="s">
        <v>1071</v>
      </c>
      <c r="I1572">
        <f t="shared" si="94"/>
        <v>320</v>
      </c>
      <c r="J1572">
        <f t="shared" si="95"/>
        <v>145.14955840000002</v>
      </c>
      <c r="K1572">
        <v>0.374</v>
      </c>
      <c r="L1572">
        <f t="shared" si="96"/>
        <v>54.285934841600003</v>
      </c>
    </row>
    <row r="1573" spans="1:12" x14ac:dyDescent="0.2">
      <c r="A1573" s="4">
        <v>43435</v>
      </c>
      <c r="B1573" t="s">
        <v>48</v>
      </c>
      <c r="C1573" s="28">
        <v>8</v>
      </c>
      <c r="D1573" s="28">
        <v>1</v>
      </c>
      <c r="E1573">
        <v>40</v>
      </c>
      <c r="F1573" t="s">
        <v>249</v>
      </c>
      <c r="G1573" t="s">
        <v>783</v>
      </c>
      <c r="H1573" t="s">
        <v>1071</v>
      </c>
      <c r="I1573">
        <f t="shared" si="94"/>
        <v>320</v>
      </c>
      <c r="J1573">
        <f t="shared" si="95"/>
        <v>145.14955840000002</v>
      </c>
      <c r="K1573">
        <v>0.374</v>
      </c>
      <c r="L1573">
        <f t="shared" si="96"/>
        <v>54.285934841600003</v>
      </c>
    </row>
    <row r="1574" spans="1:12" x14ac:dyDescent="0.2">
      <c r="A1574" s="4">
        <v>43437</v>
      </c>
      <c r="B1574" t="s">
        <v>48</v>
      </c>
      <c r="C1574" s="28">
        <v>8</v>
      </c>
      <c r="D1574" s="28">
        <v>1</v>
      </c>
      <c r="E1574">
        <v>40</v>
      </c>
      <c r="F1574" t="s">
        <v>249</v>
      </c>
      <c r="G1574" t="s">
        <v>783</v>
      </c>
      <c r="H1574" t="s">
        <v>1071</v>
      </c>
      <c r="I1574">
        <f t="shared" si="94"/>
        <v>320</v>
      </c>
      <c r="J1574">
        <f t="shared" si="95"/>
        <v>145.14955840000002</v>
      </c>
      <c r="K1574">
        <v>0.374</v>
      </c>
      <c r="L1574">
        <f t="shared" si="96"/>
        <v>54.285934841600003</v>
      </c>
    </row>
    <row r="1575" spans="1:12" x14ac:dyDescent="0.2">
      <c r="A1575" s="4">
        <v>43438</v>
      </c>
      <c r="B1575" t="s">
        <v>48</v>
      </c>
      <c r="C1575" s="28">
        <v>7</v>
      </c>
      <c r="D1575" s="28">
        <v>1</v>
      </c>
      <c r="E1575">
        <v>40</v>
      </c>
      <c r="F1575" t="s">
        <v>249</v>
      </c>
      <c r="G1575" t="s">
        <v>783</v>
      </c>
      <c r="H1575" t="s">
        <v>1071</v>
      </c>
      <c r="I1575">
        <f t="shared" si="94"/>
        <v>280</v>
      </c>
      <c r="J1575">
        <f t="shared" si="95"/>
        <v>127.00586360000001</v>
      </c>
      <c r="K1575">
        <v>0.374</v>
      </c>
      <c r="L1575">
        <f t="shared" si="96"/>
        <v>47.500192986400002</v>
      </c>
    </row>
    <row r="1576" spans="1:12" x14ac:dyDescent="0.2">
      <c r="A1576" s="4">
        <v>43439</v>
      </c>
      <c r="B1576" t="s">
        <v>48</v>
      </c>
      <c r="C1576" s="28">
        <v>8</v>
      </c>
      <c r="D1576" s="28">
        <v>1</v>
      </c>
      <c r="E1576">
        <v>40</v>
      </c>
      <c r="F1576" t="s">
        <v>249</v>
      </c>
      <c r="G1576" t="s">
        <v>783</v>
      </c>
      <c r="H1576" t="s">
        <v>1071</v>
      </c>
      <c r="I1576">
        <f t="shared" si="94"/>
        <v>320</v>
      </c>
      <c r="J1576">
        <f t="shared" si="95"/>
        <v>145.14955840000002</v>
      </c>
      <c r="K1576">
        <v>0.374</v>
      </c>
      <c r="L1576">
        <f t="shared" si="96"/>
        <v>54.285934841600003</v>
      </c>
    </row>
    <row r="1577" spans="1:12" x14ac:dyDescent="0.2">
      <c r="A1577" s="4">
        <v>43440</v>
      </c>
      <c r="B1577" t="s">
        <v>48</v>
      </c>
      <c r="C1577" s="28">
        <v>8</v>
      </c>
      <c r="D1577" s="28">
        <v>1</v>
      </c>
      <c r="E1577">
        <v>40</v>
      </c>
      <c r="F1577" t="s">
        <v>505</v>
      </c>
      <c r="G1577" t="s">
        <v>81</v>
      </c>
      <c r="H1577" t="s">
        <v>1071</v>
      </c>
      <c r="I1577">
        <f t="shared" si="94"/>
        <v>320</v>
      </c>
      <c r="J1577">
        <f t="shared" si="95"/>
        <v>145.14955840000002</v>
      </c>
      <c r="K1577">
        <v>0.374</v>
      </c>
      <c r="L1577">
        <f t="shared" si="96"/>
        <v>54.285934841600003</v>
      </c>
    </row>
    <row r="1578" spans="1:12" x14ac:dyDescent="0.2">
      <c r="A1578" s="4">
        <v>43434</v>
      </c>
      <c r="B1578" t="s">
        <v>48</v>
      </c>
      <c r="C1578" s="28">
        <v>2</v>
      </c>
      <c r="D1578" s="28">
        <v>1</v>
      </c>
      <c r="E1578">
        <v>1</v>
      </c>
      <c r="F1578" t="s">
        <v>305</v>
      </c>
      <c r="G1578" t="s">
        <v>184</v>
      </c>
      <c r="H1578" t="s">
        <v>1071</v>
      </c>
      <c r="I1578">
        <f t="shared" si="94"/>
        <v>2</v>
      </c>
      <c r="J1578">
        <f t="shared" si="95"/>
        <v>0.90718474000000004</v>
      </c>
      <c r="K1578">
        <v>0.221</v>
      </c>
      <c r="L1578">
        <f t="shared" si="96"/>
        <v>0.20048782754000002</v>
      </c>
    </row>
    <row r="1579" spans="1:12" x14ac:dyDescent="0.2">
      <c r="A1579" s="4">
        <v>43435</v>
      </c>
      <c r="B1579" t="s">
        <v>48</v>
      </c>
      <c r="C1579" s="28">
        <v>3</v>
      </c>
      <c r="D1579" s="28">
        <v>1</v>
      </c>
      <c r="E1579">
        <v>1</v>
      </c>
      <c r="F1579" t="s">
        <v>305</v>
      </c>
      <c r="G1579" t="s">
        <v>184</v>
      </c>
      <c r="H1579" t="s">
        <v>1071</v>
      </c>
      <c r="I1579">
        <f t="shared" si="94"/>
        <v>3</v>
      </c>
      <c r="J1579">
        <f t="shared" si="95"/>
        <v>1.3607771100000001</v>
      </c>
      <c r="K1579">
        <v>0.221</v>
      </c>
      <c r="L1579">
        <f t="shared" si="96"/>
        <v>0.30073174131000002</v>
      </c>
    </row>
    <row r="1580" spans="1:12" x14ac:dyDescent="0.2">
      <c r="A1580" s="4">
        <v>43438</v>
      </c>
      <c r="B1580" t="s">
        <v>48</v>
      </c>
      <c r="C1580" s="28">
        <v>3</v>
      </c>
      <c r="D1580" s="28">
        <v>1</v>
      </c>
      <c r="E1580">
        <v>1</v>
      </c>
      <c r="F1580" t="s">
        <v>305</v>
      </c>
      <c r="G1580" t="s">
        <v>813</v>
      </c>
      <c r="H1580" t="s">
        <v>1071</v>
      </c>
      <c r="I1580">
        <f t="shared" si="94"/>
        <v>3</v>
      </c>
      <c r="J1580">
        <f t="shared" si="95"/>
        <v>1.3607771100000001</v>
      </c>
      <c r="K1580">
        <v>0.221</v>
      </c>
      <c r="L1580">
        <f t="shared" si="96"/>
        <v>0.30073174131000002</v>
      </c>
    </row>
    <row r="1581" spans="1:12" x14ac:dyDescent="0.2">
      <c r="A1581" s="4">
        <v>43434</v>
      </c>
      <c r="B1581" t="s">
        <v>538</v>
      </c>
      <c r="C1581">
        <v>3</v>
      </c>
      <c r="D1581">
        <v>6</v>
      </c>
      <c r="E1581">
        <v>10</v>
      </c>
      <c r="F1581" t="s">
        <v>420</v>
      </c>
      <c r="G1581" t="s">
        <v>898</v>
      </c>
      <c r="H1581" t="s">
        <v>1071</v>
      </c>
      <c r="I1581">
        <f t="shared" si="94"/>
        <v>180</v>
      </c>
      <c r="J1581">
        <f t="shared" si="95"/>
        <v>81.646626600000005</v>
      </c>
      <c r="K1581">
        <v>0.308</v>
      </c>
      <c r="L1581">
        <f t="shared" si="96"/>
        <v>25.1471609928</v>
      </c>
    </row>
    <row r="1582" spans="1:12" x14ac:dyDescent="0.2">
      <c r="A1582" s="4">
        <v>43439</v>
      </c>
      <c r="B1582" t="s">
        <v>538</v>
      </c>
      <c r="C1582">
        <v>1</v>
      </c>
      <c r="D1582">
        <v>6</v>
      </c>
      <c r="E1582">
        <v>10</v>
      </c>
      <c r="F1582" t="s">
        <v>420</v>
      </c>
      <c r="G1582" t="s">
        <v>898</v>
      </c>
      <c r="H1582" t="s">
        <v>1071</v>
      </c>
      <c r="I1582">
        <f t="shared" si="94"/>
        <v>60</v>
      </c>
      <c r="J1582">
        <f t="shared" si="95"/>
        <v>27.215542200000002</v>
      </c>
      <c r="K1582">
        <v>0.308</v>
      </c>
      <c r="L1582">
        <f t="shared" si="96"/>
        <v>8.3823869976000012</v>
      </c>
    </row>
    <row r="1583" spans="1:12" x14ac:dyDescent="0.2">
      <c r="A1583" s="4">
        <v>43434</v>
      </c>
      <c r="B1583" t="s">
        <v>538</v>
      </c>
      <c r="C1583">
        <v>2</v>
      </c>
      <c r="D1583">
        <v>6</v>
      </c>
      <c r="E1583">
        <v>10</v>
      </c>
      <c r="F1583" t="s">
        <v>565</v>
      </c>
      <c r="G1583" t="s">
        <v>935</v>
      </c>
      <c r="H1583" t="s">
        <v>1071</v>
      </c>
      <c r="I1583">
        <f t="shared" si="94"/>
        <v>120</v>
      </c>
      <c r="J1583">
        <f t="shared" si="95"/>
        <v>54.431084400000003</v>
      </c>
      <c r="K1583">
        <v>0.308</v>
      </c>
      <c r="L1583">
        <f t="shared" si="96"/>
        <v>16.764773995200002</v>
      </c>
    </row>
    <row r="1584" spans="1:12" x14ac:dyDescent="0.2">
      <c r="A1584" s="4">
        <v>43434</v>
      </c>
      <c r="B1584" t="s">
        <v>538</v>
      </c>
      <c r="C1584">
        <v>3</v>
      </c>
      <c r="D1584">
        <v>6</v>
      </c>
      <c r="E1584">
        <v>10</v>
      </c>
      <c r="F1584" t="s">
        <v>540</v>
      </c>
      <c r="G1584" t="s">
        <v>897</v>
      </c>
      <c r="H1584" t="s">
        <v>1071</v>
      </c>
      <c r="I1584">
        <f t="shared" si="94"/>
        <v>180</v>
      </c>
      <c r="J1584">
        <f t="shared" si="95"/>
        <v>81.646626600000005</v>
      </c>
      <c r="K1584">
        <v>0.308</v>
      </c>
      <c r="L1584">
        <f t="shared" si="96"/>
        <v>25.1471609928</v>
      </c>
    </row>
    <row r="1585" spans="1:12" x14ac:dyDescent="0.2">
      <c r="A1585" s="4">
        <v>43439</v>
      </c>
      <c r="B1585" t="s">
        <v>538</v>
      </c>
      <c r="C1585">
        <v>1</v>
      </c>
      <c r="D1585">
        <v>6</v>
      </c>
      <c r="E1585">
        <v>10</v>
      </c>
      <c r="F1585" t="s">
        <v>440</v>
      </c>
      <c r="G1585" t="s">
        <v>922</v>
      </c>
      <c r="H1585" t="s">
        <v>1071</v>
      </c>
      <c r="I1585">
        <f t="shared" si="94"/>
        <v>60</v>
      </c>
      <c r="J1585">
        <f t="shared" si="95"/>
        <v>27.215542200000002</v>
      </c>
      <c r="K1585">
        <v>0.308</v>
      </c>
      <c r="L1585">
        <f t="shared" si="96"/>
        <v>8.3823869976000012</v>
      </c>
    </row>
    <row r="1586" spans="1:12" x14ac:dyDescent="0.2">
      <c r="A1586" s="4">
        <v>43439</v>
      </c>
      <c r="B1586" t="s">
        <v>538</v>
      </c>
      <c r="C1586">
        <v>1</v>
      </c>
      <c r="D1586">
        <v>1</v>
      </c>
      <c r="E1586">
        <v>20</v>
      </c>
      <c r="F1586" t="s">
        <v>591</v>
      </c>
      <c r="G1586" t="s">
        <v>920</v>
      </c>
      <c r="H1586" t="s">
        <v>1071</v>
      </c>
      <c r="I1586">
        <f t="shared" si="94"/>
        <v>20</v>
      </c>
      <c r="J1586">
        <f t="shared" si="95"/>
        <v>9.0718474000000011</v>
      </c>
      <c r="K1586">
        <v>0.308</v>
      </c>
      <c r="L1586">
        <f t="shared" si="96"/>
        <v>2.7941289992000002</v>
      </c>
    </row>
    <row r="1587" spans="1:12" x14ac:dyDescent="0.2">
      <c r="A1587" s="4">
        <v>43434</v>
      </c>
      <c r="B1587" t="s">
        <v>48</v>
      </c>
      <c r="C1587" s="28">
        <v>2</v>
      </c>
      <c r="D1587" s="28">
        <v>1</v>
      </c>
      <c r="E1587">
        <v>10</v>
      </c>
      <c r="F1587" t="s">
        <v>487</v>
      </c>
      <c r="G1587" t="s">
        <v>833</v>
      </c>
      <c r="H1587" t="s">
        <v>1071</v>
      </c>
      <c r="I1587">
        <f t="shared" si="94"/>
        <v>20</v>
      </c>
      <c r="J1587">
        <f t="shared" si="95"/>
        <v>9.0718474000000011</v>
      </c>
      <c r="K1587">
        <v>0.754</v>
      </c>
      <c r="L1587">
        <f t="shared" si="96"/>
        <v>6.8401729396000013</v>
      </c>
    </row>
    <row r="1588" spans="1:12" x14ac:dyDescent="0.2">
      <c r="A1588" s="4">
        <v>43439</v>
      </c>
      <c r="B1588" t="s">
        <v>48</v>
      </c>
      <c r="C1588" s="28">
        <v>3</v>
      </c>
      <c r="D1588" s="28">
        <v>1</v>
      </c>
      <c r="E1588">
        <v>10</v>
      </c>
      <c r="F1588" t="s">
        <v>358</v>
      </c>
      <c r="G1588" t="s">
        <v>833</v>
      </c>
      <c r="H1588" t="s">
        <v>1071</v>
      </c>
      <c r="I1588">
        <f t="shared" si="94"/>
        <v>30</v>
      </c>
      <c r="J1588">
        <f t="shared" si="95"/>
        <v>13.607771100000001</v>
      </c>
      <c r="K1588">
        <v>0.754</v>
      </c>
      <c r="L1588">
        <f t="shared" si="96"/>
        <v>10.260259409400001</v>
      </c>
    </row>
    <row r="1589" spans="1:12" x14ac:dyDescent="0.2">
      <c r="A1589" s="4">
        <v>43434</v>
      </c>
      <c r="B1589" t="s">
        <v>48</v>
      </c>
      <c r="C1589" s="28">
        <v>10</v>
      </c>
      <c r="D1589" s="28">
        <v>1</v>
      </c>
      <c r="E1589">
        <v>10</v>
      </c>
      <c r="F1589" t="s">
        <v>347</v>
      </c>
      <c r="G1589" t="s">
        <v>936</v>
      </c>
      <c r="H1589" t="s">
        <v>1071</v>
      </c>
      <c r="I1589">
        <f t="shared" si="94"/>
        <v>100</v>
      </c>
      <c r="J1589">
        <f t="shared" si="95"/>
        <v>45.359237</v>
      </c>
      <c r="K1589">
        <v>0.66200000000000003</v>
      </c>
      <c r="L1589">
        <f t="shared" si="96"/>
        <v>30.027814894000002</v>
      </c>
    </row>
    <row r="1590" spans="1:12" x14ac:dyDescent="0.2">
      <c r="A1590" s="4">
        <v>43437</v>
      </c>
      <c r="B1590" t="s">
        <v>48</v>
      </c>
      <c r="C1590" s="28">
        <v>10</v>
      </c>
      <c r="D1590" s="28">
        <v>1</v>
      </c>
      <c r="E1590">
        <v>10</v>
      </c>
      <c r="F1590" t="s">
        <v>347</v>
      </c>
      <c r="G1590" t="s">
        <v>936</v>
      </c>
      <c r="H1590" t="s">
        <v>1071</v>
      </c>
      <c r="I1590">
        <f t="shared" ref="I1590:I1604" si="97">C1590*D1590*E1590</f>
        <v>100</v>
      </c>
      <c r="J1590">
        <f t="shared" si="95"/>
        <v>45.359237</v>
      </c>
      <c r="K1590">
        <v>0.66200000000000003</v>
      </c>
      <c r="L1590">
        <f t="shared" si="96"/>
        <v>30.027814894000002</v>
      </c>
    </row>
    <row r="1591" spans="1:12" x14ac:dyDescent="0.2">
      <c r="A1591" s="4">
        <v>43440</v>
      </c>
      <c r="B1591" t="s">
        <v>48</v>
      </c>
      <c r="C1591" s="28">
        <v>10</v>
      </c>
      <c r="D1591" s="28">
        <v>1</v>
      </c>
      <c r="E1591">
        <v>10</v>
      </c>
      <c r="F1591" t="s">
        <v>506</v>
      </c>
      <c r="G1591" t="s">
        <v>936</v>
      </c>
      <c r="H1591" t="s">
        <v>1071</v>
      </c>
      <c r="I1591">
        <f t="shared" si="97"/>
        <v>100</v>
      </c>
      <c r="J1591">
        <f t="shared" si="95"/>
        <v>45.359237</v>
      </c>
      <c r="K1591">
        <v>0.66200000000000003</v>
      </c>
      <c r="L1591">
        <f t="shared" si="96"/>
        <v>30.027814894000002</v>
      </c>
    </row>
    <row r="1592" spans="1:12" x14ac:dyDescent="0.2">
      <c r="A1592" s="4">
        <v>43439</v>
      </c>
      <c r="B1592" t="s">
        <v>48</v>
      </c>
      <c r="C1592" s="28">
        <v>2</v>
      </c>
      <c r="D1592" s="28">
        <v>1</v>
      </c>
      <c r="E1592">
        <v>20</v>
      </c>
      <c r="F1592" t="s">
        <v>250</v>
      </c>
      <c r="G1592" t="s">
        <v>830</v>
      </c>
      <c r="H1592" t="s">
        <v>1071</v>
      </c>
      <c r="I1592">
        <f t="shared" si="97"/>
        <v>40</v>
      </c>
      <c r="J1592">
        <f t="shared" si="95"/>
        <v>18.143694800000002</v>
      </c>
      <c r="K1592">
        <v>1.1539999999999999</v>
      </c>
      <c r="L1592">
        <f t="shared" si="96"/>
        <v>20.9378237992</v>
      </c>
    </row>
    <row r="1593" spans="1:12" x14ac:dyDescent="0.2">
      <c r="A1593" s="4">
        <v>43434</v>
      </c>
      <c r="B1593" t="s">
        <v>48</v>
      </c>
      <c r="C1593" s="28">
        <v>2</v>
      </c>
      <c r="D1593" s="28">
        <v>1</v>
      </c>
      <c r="E1593">
        <v>20</v>
      </c>
      <c r="F1593" t="s">
        <v>478</v>
      </c>
      <c r="G1593" t="s">
        <v>830</v>
      </c>
      <c r="H1593" t="s">
        <v>1071</v>
      </c>
      <c r="I1593">
        <f t="shared" si="97"/>
        <v>40</v>
      </c>
      <c r="J1593">
        <f t="shared" si="95"/>
        <v>18.143694800000002</v>
      </c>
      <c r="K1593">
        <v>1.1539999999999999</v>
      </c>
      <c r="L1593">
        <f t="shared" si="96"/>
        <v>20.9378237992</v>
      </c>
    </row>
    <row r="1594" spans="1:12" x14ac:dyDescent="0.2">
      <c r="A1594" s="4">
        <v>43399</v>
      </c>
      <c r="B1594" t="s">
        <v>175</v>
      </c>
      <c r="C1594" s="37">
        <v>1</v>
      </c>
      <c r="D1594" s="37">
        <v>1</v>
      </c>
      <c r="E1594">
        <v>81.040000000000006</v>
      </c>
      <c r="F1594" t="s">
        <v>177</v>
      </c>
      <c r="G1594" t="s">
        <v>10</v>
      </c>
      <c r="H1594" s="9" t="s">
        <v>1072</v>
      </c>
      <c r="I1594">
        <f t="shared" si="97"/>
        <v>81.040000000000006</v>
      </c>
      <c r="J1594">
        <f t="shared" si="95"/>
        <v>36.759125664800003</v>
      </c>
      <c r="K1594">
        <v>32.845999999999997</v>
      </c>
      <c r="L1594">
        <f t="shared" si="96"/>
        <v>1207.3902415860207</v>
      </c>
    </row>
    <row r="1595" spans="1:12" x14ac:dyDescent="0.2">
      <c r="A1595" s="4">
        <v>43399</v>
      </c>
      <c r="B1595" t="s">
        <v>283</v>
      </c>
      <c r="C1595" s="37">
        <v>1</v>
      </c>
      <c r="D1595" s="37">
        <v>1</v>
      </c>
      <c r="E1595">
        <v>120</v>
      </c>
      <c r="F1595" t="s">
        <v>12</v>
      </c>
      <c r="G1595" t="s">
        <v>10</v>
      </c>
      <c r="H1595" s="9" t="s">
        <v>1072</v>
      </c>
      <c r="I1595">
        <f t="shared" si="97"/>
        <v>120</v>
      </c>
      <c r="J1595">
        <f t="shared" si="95"/>
        <v>54.431084400000003</v>
      </c>
      <c r="K1595">
        <v>32.845999999999997</v>
      </c>
      <c r="L1595">
        <f t="shared" si="96"/>
        <v>1787.8433982023998</v>
      </c>
    </row>
    <row r="1596" spans="1:12" x14ac:dyDescent="0.2">
      <c r="A1596" s="4">
        <v>43399</v>
      </c>
      <c r="B1596" t="s">
        <v>283</v>
      </c>
      <c r="C1596" s="37">
        <v>1</v>
      </c>
      <c r="D1596" s="37">
        <v>1</v>
      </c>
      <c r="E1596">
        <v>40</v>
      </c>
      <c r="F1596" t="s">
        <v>11</v>
      </c>
      <c r="G1596" t="s">
        <v>10</v>
      </c>
      <c r="H1596" s="9" t="s">
        <v>1072</v>
      </c>
      <c r="I1596">
        <f t="shared" si="97"/>
        <v>40</v>
      </c>
      <c r="J1596">
        <f t="shared" si="95"/>
        <v>18.143694800000002</v>
      </c>
      <c r="K1596">
        <v>32.845999999999997</v>
      </c>
      <c r="L1596">
        <f t="shared" si="96"/>
        <v>595.94779940080002</v>
      </c>
    </row>
    <row r="1597" spans="1:12" x14ac:dyDescent="0.2">
      <c r="A1597" s="4">
        <v>43399</v>
      </c>
      <c r="B1597" t="s">
        <v>283</v>
      </c>
      <c r="C1597" s="37">
        <v>1</v>
      </c>
      <c r="D1597" s="37">
        <v>1</v>
      </c>
      <c r="E1597">
        <v>100</v>
      </c>
      <c r="F1597" t="s">
        <v>11</v>
      </c>
      <c r="G1597" t="s">
        <v>10</v>
      </c>
      <c r="H1597" s="9" t="s">
        <v>1072</v>
      </c>
      <c r="I1597">
        <f t="shared" si="97"/>
        <v>100</v>
      </c>
      <c r="J1597">
        <f t="shared" si="95"/>
        <v>45.359237</v>
      </c>
      <c r="K1597">
        <v>32.845999999999997</v>
      </c>
      <c r="L1597">
        <f t="shared" si="96"/>
        <v>1489.8694985019999</v>
      </c>
    </row>
    <row r="1598" spans="1:12" x14ac:dyDescent="0.2">
      <c r="A1598" s="4">
        <v>43399</v>
      </c>
      <c r="B1598" t="s">
        <v>283</v>
      </c>
      <c r="C1598" s="37">
        <v>1</v>
      </c>
      <c r="D1598" s="37">
        <v>1</v>
      </c>
      <c r="E1598">
        <v>240</v>
      </c>
      <c r="F1598" t="s">
        <v>12</v>
      </c>
      <c r="G1598" t="s">
        <v>10</v>
      </c>
      <c r="H1598" s="9" t="s">
        <v>1072</v>
      </c>
      <c r="I1598">
        <f t="shared" si="97"/>
        <v>240</v>
      </c>
      <c r="J1598">
        <f t="shared" si="95"/>
        <v>108.86216880000001</v>
      </c>
      <c r="K1598">
        <v>32.845999999999997</v>
      </c>
      <c r="L1598">
        <f t="shared" si="96"/>
        <v>3575.6867964047997</v>
      </c>
    </row>
    <row r="1599" spans="1:12" x14ac:dyDescent="0.2">
      <c r="A1599" s="4">
        <v>43434</v>
      </c>
      <c r="B1599" t="s">
        <v>525</v>
      </c>
      <c r="C1599">
        <v>1</v>
      </c>
      <c r="D1599">
        <v>1</v>
      </c>
      <c r="E1599">
        <v>220.62</v>
      </c>
      <c r="F1599" t="s">
        <v>397</v>
      </c>
      <c r="G1599" t="s">
        <v>850</v>
      </c>
      <c r="H1599" t="s">
        <v>1072</v>
      </c>
      <c r="I1599">
        <f t="shared" si="97"/>
        <v>220.62</v>
      </c>
      <c r="J1599">
        <f t="shared" si="95"/>
        <v>100.0715486694</v>
      </c>
      <c r="K1599">
        <v>32.845999999999997</v>
      </c>
      <c r="L1599">
        <f t="shared" si="96"/>
        <v>3286.9500875951121</v>
      </c>
    </row>
    <row r="1600" spans="1:12" x14ac:dyDescent="0.2">
      <c r="A1600" s="4">
        <v>43439</v>
      </c>
      <c r="B1600" t="s">
        <v>525</v>
      </c>
      <c r="C1600">
        <v>4</v>
      </c>
      <c r="D1600">
        <v>1</v>
      </c>
      <c r="E1600">
        <v>10</v>
      </c>
      <c r="F1600" t="s">
        <v>588</v>
      </c>
      <c r="G1600" t="s">
        <v>10</v>
      </c>
      <c r="H1600" t="s">
        <v>1072</v>
      </c>
      <c r="I1600">
        <f t="shared" si="97"/>
        <v>40</v>
      </c>
      <c r="J1600">
        <f t="shared" si="95"/>
        <v>18.143694800000002</v>
      </c>
      <c r="K1600">
        <v>32.845999999999997</v>
      </c>
      <c r="L1600">
        <f t="shared" si="96"/>
        <v>595.94779940080002</v>
      </c>
    </row>
    <row r="1601" spans="1:12" x14ac:dyDescent="0.2">
      <c r="A1601" s="4">
        <v>43439</v>
      </c>
      <c r="B1601" t="s">
        <v>525</v>
      </c>
      <c r="C1601">
        <v>1</v>
      </c>
      <c r="D1601">
        <v>1</v>
      </c>
      <c r="E1601">
        <v>143.28</v>
      </c>
      <c r="F1601" t="s">
        <v>397</v>
      </c>
      <c r="G1601" t="s">
        <v>850</v>
      </c>
      <c r="H1601" t="s">
        <v>1072</v>
      </c>
      <c r="I1601">
        <f t="shared" si="97"/>
        <v>143.28</v>
      </c>
      <c r="J1601">
        <f t="shared" si="95"/>
        <v>64.990714773600004</v>
      </c>
      <c r="K1601">
        <v>32.845999999999997</v>
      </c>
      <c r="L1601">
        <f t="shared" si="96"/>
        <v>2134.6850174536653</v>
      </c>
    </row>
    <row r="1602" spans="1:12" x14ac:dyDescent="0.2">
      <c r="A1602" s="4">
        <v>43438</v>
      </c>
      <c r="B1602" t="s">
        <v>48</v>
      </c>
      <c r="C1602" s="28">
        <v>1</v>
      </c>
      <c r="D1602" s="28">
        <v>1</v>
      </c>
      <c r="E1602">
        <v>25</v>
      </c>
      <c r="F1602" t="s">
        <v>361</v>
      </c>
      <c r="G1602" t="s">
        <v>820</v>
      </c>
      <c r="H1602" t="s">
        <v>1071</v>
      </c>
      <c r="I1602">
        <f t="shared" si="97"/>
        <v>25</v>
      </c>
      <c r="J1602">
        <f t="shared" si="95"/>
        <v>11.33980925</v>
      </c>
      <c r="K1602">
        <v>0.19400000000000001</v>
      </c>
      <c r="L1602">
        <f t="shared" si="96"/>
        <v>2.1999229945000001</v>
      </c>
    </row>
    <row r="1603" spans="1:12" x14ac:dyDescent="0.2">
      <c r="A1603" s="4">
        <v>43434</v>
      </c>
      <c r="B1603" t="s">
        <v>531</v>
      </c>
      <c r="C1603">
        <v>4</v>
      </c>
      <c r="D1603">
        <v>40</v>
      </c>
      <c r="E1603">
        <f>4/16</f>
        <v>0.25</v>
      </c>
      <c r="F1603" t="s">
        <v>536</v>
      </c>
      <c r="G1603" s="6" t="s">
        <v>893</v>
      </c>
      <c r="H1603" t="s">
        <v>1071</v>
      </c>
      <c r="I1603">
        <f t="shared" si="97"/>
        <v>40</v>
      </c>
      <c r="J1603">
        <f t="shared" ref="J1603:J1666" si="98">CONVERT(I1603,"lbm","kg")</f>
        <v>18.143694800000002</v>
      </c>
      <c r="K1603">
        <v>3.5270000000000001</v>
      </c>
      <c r="L1603">
        <f t="shared" ref="L1603:L1666" si="99">J1603*K1603</f>
        <v>63.992811559600007</v>
      </c>
    </row>
    <row r="1604" spans="1:12" x14ac:dyDescent="0.2">
      <c r="A1604" s="4">
        <v>43434</v>
      </c>
      <c r="B1604" t="s">
        <v>531</v>
      </c>
      <c r="C1604">
        <v>2</v>
      </c>
      <c r="D1604">
        <v>2</v>
      </c>
      <c r="E1604">
        <v>5</v>
      </c>
      <c r="F1604" t="s">
        <v>535</v>
      </c>
      <c r="G1604" s="14" t="s">
        <v>1087</v>
      </c>
      <c r="H1604" s="6" t="s">
        <v>1071</v>
      </c>
      <c r="I1604">
        <f t="shared" si="97"/>
        <v>20</v>
      </c>
      <c r="J1604">
        <f t="shared" si="98"/>
        <v>9.0718474000000011</v>
      </c>
      <c r="K1604">
        <v>0</v>
      </c>
      <c r="L1604">
        <f t="shared" si="99"/>
        <v>0</v>
      </c>
    </row>
    <row r="1605" spans="1:12" x14ac:dyDescent="0.2">
      <c r="A1605" s="4">
        <v>43434</v>
      </c>
      <c r="B1605" t="s">
        <v>531</v>
      </c>
      <c r="C1605">
        <v>2</v>
      </c>
      <c r="D1605">
        <v>210</v>
      </c>
      <c r="E1605" t="s">
        <v>1017</v>
      </c>
      <c r="F1605" t="s">
        <v>409</v>
      </c>
      <c r="G1605" s="14" t="s">
        <v>1086</v>
      </c>
      <c r="H1605" s="9" t="s">
        <v>1071</v>
      </c>
      <c r="I1605">
        <v>0</v>
      </c>
      <c r="J1605">
        <f t="shared" si="98"/>
        <v>0</v>
      </c>
      <c r="K1605">
        <v>2.2999999999999998</v>
      </c>
      <c r="L1605">
        <f t="shared" si="99"/>
        <v>0</v>
      </c>
    </row>
    <row r="1606" spans="1:12" x14ac:dyDescent="0.2">
      <c r="A1606" s="4">
        <v>43434</v>
      </c>
      <c r="B1606" t="s">
        <v>531</v>
      </c>
      <c r="C1606">
        <v>4</v>
      </c>
      <c r="D1606">
        <v>48</v>
      </c>
      <c r="E1606">
        <v>0.18124999999999999</v>
      </c>
      <c r="F1606" t="s">
        <v>417</v>
      </c>
      <c r="G1606" s="6" t="s">
        <v>895</v>
      </c>
      <c r="H1606" t="s">
        <v>1071</v>
      </c>
      <c r="I1606">
        <f t="shared" ref="I1606:I1637" si="100">C1606*D1606*E1606</f>
        <v>34.799999999999997</v>
      </c>
      <c r="J1606">
        <f t="shared" si="98"/>
        <v>15.785014475999999</v>
      </c>
      <c r="K1606">
        <v>6.87</v>
      </c>
      <c r="L1606">
        <f t="shared" si="99"/>
        <v>108.44304945012</v>
      </c>
    </row>
    <row r="1607" spans="1:12" x14ac:dyDescent="0.2">
      <c r="A1607" s="4">
        <v>43435</v>
      </c>
      <c r="B1607" t="s">
        <v>48</v>
      </c>
      <c r="C1607" s="28">
        <v>5</v>
      </c>
      <c r="D1607" s="28">
        <v>1</v>
      </c>
      <c r="E1607">
        <v>6</v>
      </c>
      <c r="F1607" t="s">
        <v>252</v>
      </c>
      <c r="G1607" t="s">
        <v>252</v>
      </c>
      <c r="H1607" t="s">
        <v>1071</v>
      </c>
      <c r="I1607">
        <f t="shared" si="100"/>
        <v>30</v>
      </c>
      <c r="J1607">
        <f t="shared" si="98"/>
        <v>13.607771100000001</v>
      </c>
      <c r="K1607">
        <v>0.59899999999999998</v>
      </c>
      <c r="L1607">
        <f t="shared" si="99"/>
        <v>8.151054888900001</v>
      </c>
    </row>
    <row r="1608" spans="1:12" x14ac:dyDescent="0.2">
      <c r="A1608" s="4">
        <v>43437</v>
      </c>
      <c r="B1608" t="s">
        <v>48</v>
      </c>
      <c r="C1608" s="28">
        <v>5</v>
      </c>
      <c r="D1608" s="28">
        <v>1</v>
      </c>
      <c r="E1608">
        <v>6</v>
      </c>
      <c r="F1608" t="s">
        <v>252</v>
      </c>
      <c r="G1608" t="s">
        <v>252</v>
      </c>
      <c r="H1608" t="s">
        <v>1071</v>
      </c>
      <c r="I1608">
        <f t="shared" si="100"/>
        <v>30</v>
      </c>
      <c r="J1608">
        <f t="shared" si="98"/>
        <v>13.607771100000001</v>
      </c>
      <c r="K1608">
        <v>0.59899999999999998</v>
      </c>
      <c r="L1608">
        <f t="shared" si="99"/>
        <v>8.151054888900001</v>
      </c>
    </row>
    <row r="1609" spans="1:12" x14ac:dyDescent="0.2">
      <c r="A1609" s="4">
        <v>43439</v>
      </c>
      <c r="B1609" t="s">
        <v>48</v>
      </c>
      <c r="C1609" s="28">
        <v>5</v>
      </c>
      <c r="D1609" s="28">
        <v>1</v>
      </c>
      <c r="E1609">
        <v>6</v>
      </c>
      <c r="F1609" t="s">
        <v>503</v>
      </c>
      <c r="G1609" t="s">
        <v>252</v>
      </c>
      <c r="H1609" t="s">
        <v>1071</v>
      </c>
      <c r="I1609">
        <f t="shared" si="100"/>
        <v>30</v>
      </c>
      <c r="J1609">
        <f t="shared" si="98"/>
        <v>13.607771100000001</v>
      </c>
      <c r="K1609">
        <v>0.59899999999999998</v>
      </c>
      <c r="L1609">
        <f t="shared" si="99"/>
        <v>8.151054888900001</v>
      </c>
    </row>
    <row r="1610" spans="1:12" x14ac:dyDescent="0.2">
      <c r="A1610" s="4">
        <v>43440</v>
      </c>
      <c r="B1610" t="s">
        <v>48</v>
      </c>
      <c r="C1610" s="28">
        <v>5</v>
      </c>
      <c r="D1610" s="28">
        <v>1</v>
      </c>
      <c r="E1610">
        <v>6</v>
      </c>
      <c r="F1610" t="s">
        <v>252</v>
      </c>
      <c r="G1610" t="s">
        <v>252</v>
      </c>
      <c r="H1610" t="s">
        <v>1071</v>
      </c>
      <c r="I1610">
        <f t="shared" si="100"/>
        <v>30</v>
      </c>
      <c r="J1610">
        <f t="shared" si="98"/>
        <v>13.607771100000001</v>
      </c>
      <c r="K1610">
        <v>0.59899999999999998</v>
      </c>
      <c r="L1610">
        <f t="shared" si="99"/>
        <v>8.151054888900001</v>
      </c>
    </row>
    <row r="1611" spans="1:12" x14ac:dyDescent="0.2">
      <c r="A1611" s="4">
        <v>43438</v>
      </c>
      <c r="B1611" t="s">
        <v>48</v>
      </c>
      <c r="C1611" s="28">
        <v>2</v>
      </c>
      <c r="D1611" s="28">
        <v>1</v>
      </c>
      <c r="E1611">
        <v>30</v>
      </c>
      <c r="F1611" t="s">
        <v>495</v>
      </c>
      <c r="G1611" t="s">
        <v>886</v>
      </c>
      <c r="H1611" t="s">
        <v>1071</v>
      </c>
      <c r="I1611">
        <f t="shared" si="100"/>
        <v>60</v>
      </c>
      <c r="J1611">
        <f t="shared" si="98"/>
        <v>27.215542200000002</v>
      </c>
      <c r="K1611">
        <v>0.13400000000000001</v>
      </c>
      <c r="L1611">
        <f t="shared" si="99"/>
        <v>3.6468826548000006</v>
      </c>
    </row>
    <row r="1612" spans="1:12" x14ac:dyDescent="0.2">
      <c r="A1612" s="4">
        <v>43434</v>
      </c>
      <c r="B1612" t="s">
        <v>538</v>
      </c>
      <c r="C1612">
        <v>1</v>
      </c>
      <c r="D1612">
        <v>1</v>
      </c>
      <c r="E1612">
        <v>25</v>
      </c>
      <c r="F1612" t="s">
        <v>551</v>
      </c>
      <c r="G1612" s="6" t="s">
        <v>868</v>
      </c>
      <c r="H1612" t="s">
        <v>1071</v>
      </c>
      <c r="I1612">
        <f t="shared" si="100"/>
        <v>25</v>
      </c>
      <c r="J1612">
        <f t="shared" si="98"/>
        <v>11.33980925</v>
      </c>
      <c r="K1612">
        <v>1.28</v>
      </c>
      <c r="L1612">
        <f t="shared" si="99"/>
        <v>14.514955840000001</v>
      </c>
    </row>
    <row r="1613" spans="1:12" x14ac:dyDescent="0.2">
      <c r="A1613" s="4">
        <v>43439</v>
      </c>
      <c r="B1613" t="s">
        <v>531</v>
      </c>
      <c r="C1613">
        <v>1</v>
      </c>
      <c r="D1613">
        <v>10</v>
      </c>
      <c r="E1613">
        <v>1</v>
      </c>
      <c r="F1613" t="s">
        <v>410</v>
      </c>
      <c r="G1613" s="6" t="s">
        <v>868</v>
      </c>
      <c r="H1613" t="s">
        <v>1071</v>
      </c>
      <c r="I1613">
        <f t="shared" si="100"/>
        <v>10</v>
      </c>
      <c r="J1613">
        <f t="shared" si="98"/>
        <v>4.5359237000000006</v>
      </c>
      <c r="K1613">
        <v>1.28</v>
      </c>
      <c r="L1613">
        <f t="shared" si="99"/>
        <v>5.8059823360000005</v>
      </c>
    </row>
    <row r="1614" spans="1:12" x14ac:dyDescent="0.2">
      <c r="A1614" s="4">
        <v>43435</v>
      </c>
      <c r="B1614" t="s">
        <v>48</v>
      </c>
      <c r="C1614" s="28">
        <v>12</v>
      </c>
      <c r="D1614" s="28">
        <v>1</v>
      </c>
      <c r="E1614">
        <v>12</v>
      </c>
      <c r="F1614" t="s">
        <v>298</v>
      </c>
      <c r="G1614" t="s">
        <v>784</v>
      </c>
      <c r="H1614" t="s">
        <v>1071</v>
      </c>
      <c r="I1614">
        <f t="shared" si="100"/>
        <v>144</v>
      </c>
      <c r="J1614">
        <f t="shared" si="98"/>
        <v>65.317301279999995</v>
      </c>
      <c r="K1614">
        <v>0.79700000000000004</v>
      </c>
      <c r="L1614">
        <f t="shared" si="99"/>
        <v>52.057889120159999</v>
      </c>
    </row>
    <row r="1615" spans="1:12" x14ac:dyDescent="0.2">
      <c r="A1615" s="4">
        <v>43437</v>
      </c>
      <c r="B1615" t="s">
        <v>48</v>
      </c>
      <c r="C1615" s="28">
        <v>10</v>
      </c>
      <c r="D1615" s="28">
        <v>1</v>
      </c>
      <c r="E1615">
        <v>12</v>
      </c>
      <c r="F1615" t="s">
        <v>298</v>
      </c>
      <c r="G1615" t="s">
        <v>784</v>
      </c>
      <c r="H1615" t="s">
        <v>1071</v>
      </c>
      <c r="I1615">
        <f t="shared" si="100"/>
        <v>120</v>
      </c>
      <c r="J1615">
        <f t="shared" si="98"/>
        <v>54.431084400000003</v>
      </c>
      <c r="K1615">
        <v>0.79700000000000004</v>
      </c>
      <c r="L1615">
        <f t="shared" si="99"/>
        <v>43.381574266800001</v>
      </c>
    </row>
    <row r="1616" spans="1:12" x14ac:dyDescent="0.2">
      <c r="A1616" s="4">
        <v>43438</v>
      </c>
      <c r="B1616" t="s">
        <v>48</v>
      </c>
      <c r="C1616" s="28">
        <v>11</v>
      </c>
      <c r="D1616" s="28">
        <v>1</v>
      </c>
      <c r="E1616">
        <v>12</v>
      </c>
      <c r="F1616" t="s">
        <v>298</v>
      </c>
      <c r="G1616" t="s">
        <v>784</v>
      </c>
      <c r="H1616" t="s">
        <v>1071</v>
      </c>
      <c r="I1616">
        <f t="shared" si="100"/>
        <v>132</v>
      </c>
      <c r="J1616">
        <f t="shared" si="98"/>
        <v>59.874192840000006</v>
      </c>
      <c r="K1616">
        <v>0.79700000000000004</v>
      </c>
      <c r="L1616">
        <f t="shared" si="99"/>
        <v>47.719731693480007</v>
      </c>
    </row>
    <row r="1617" spans="1:12" x14ac:dyDescent="0.2">
      <c r="A1617" s="4">
        <v>43439</v>
      </c>
      <c r="B1617" t="s">
        <v>48</v>
      </c>
      <c r="C1617" s="28">
        <v>8</v>
      </c>
      <c r="D1617" s="28">
        <v>1</v>
      </c>
      <c r="E1617">
        <v>12</v>
      </c>
      <c r="F1617" t="s">
        <v>298</v>
      </c>
      <c r="G1617" t="s">
        <v>784</v>
      </c>
      <c r="H1617" t="s">
        <v>1071</v>
      </c>
      <c r="I1617">
        <f t="shared" si="100"/>
        <v>96</v>
      </c>
      <c r="J1617">
        <f t="shared" si="98"/>
        <v>43.544867520000004</v>
      </c>
      <c r="K1617">
        <v>0.79700000000000004</v>
      </c>
      <c r="L1617">
        <f t="shared" si="99"/>
        <v>34.705259413440004</v>
      </c>
    </row>
    <row r="1618" spans="1:12" x14ac:dyDescent="0.2">
      <c r="A1618" s="4">
        <v>43440</v>
      </c>
      <c r="B1618" t="s">
        <v>48</v>
      </c>
      <c r="C1618" s="28">
        <v>10</v>
      </c>
      <c r="D1618" s="28">
        <v>1</v>
      </c>
      <c r="E1618">
        <v>12</v>
      </c>
      <c r="F1618" t="s">
        <v>359</v>
      </c>
      <c r="G1618" t="s">
        <v>204</v>
      </c>
      <c r="H1618" t="s">
        <v>1071</v>
      </c>
      <c r="I1618">
        <f t="shared" si="100"/>
        <v>120</v>
      </c>
      <c r="J1618">
        <f t="shared" si="98"/>
        <v>54.431084400000003</v>
      </c>
      <c r="K1618">
        <v>0.79700000000000004</v>
      </c>
      <c r="L1618">
        <f t="shared" si="99"/>
        <v>43.381574266800001</v>
      </c>
    </row>
    <row r="1619" spans="1:12" x14ac:dyDescent="0.2">
      <c r="A1619" s="4">
        <v>43437</v>
      </c>
      <c r="B1619" t="s">
        <v>48</v>
      </c>
      <c r="C1619" s="28">
        <v>2</v>
      </c>
      <c r="D1619" s="28">
        <v>1</v>
      </c>
      <c r="E1619">
        <v>20</v>
      </c>
      <c r="F1619" t="s">
        <v>355</v>
      </c>
      <c r="G1619" t="s">
        <v>818</v>
      </c>
      <c r="H1619" t="s">
        <v>1071</v>
      </c>
      <c r="I1619">
        <f t="shared" si="100"/>
        <v>40</v>
      </c>
      <c r="J1619">
        <f t="shared" si="98"/>
        <v>18.143694800000002</v>
      </c>
      <c r="K1619">
        <v>0.49</v>
      </c>
      <c r="L1619">
        <f t="shared" si="99"/>
        <v>8.8904104520000011</v>
      </c>
    </row>
    <row r="1620" spans="1:12" x14ac:dyDescent="0.2">
      <c r="A1620" s="4">
        <v>43440</v>
      </c>
      <c r="B1620" t="s">
        <v>48</v>
      </c>
      <c r="C1620" s="28">
        <v>2</v>
      </c>
      <c r="D1620" s="28">
        <v>1</v>
      </c>
      <c r="E1620">
        <v>20</v>
      </c>
      <c r="F1620" t="s">
        <v>513</v>
      </c>
      <c r="G1620" t="s">
        <v>772</v>
      </c>
      <c r="H1620" t="s">
        <v>1071</v>
      </c>
      <c r="I1620">
        <f t="shared" si="100"/>
        <v>40</v>
      </c>
      <c r="J1620">
        <f t="shared" si="98"/>
        <v>18.143694800000002</v>
      </c>
      <c r="K1620">
        <v>0.49</v>
      </c>
      <c r="L1620">
        <f t="shared" si="99"/>
        <v>8.8904104520000011</v>
      </c>
    </row>
    <row r="1621" spans="1:12" x14ac:dyDescent="0.2">
      <c r="A1621" s="4">
        <v>43434</v>
      </c>
      <c r="B1621" t="s">
        <v>48</v>
      </c>
      <c r="C1621" s="28">
        <v>10</v>
      </c>
      <c r="D1621" s="28">
        <v>1</v>
      </c>
      <c r="E1621">
        <v>25</v>
      </c>
      <c r="F1621" t="s">
        <v>479</v>
      </c>
      <c r="G1621" t="s">
        <v>832</v>
      </c>
      <c r="H1621" t="s">
        <v>1071</v>
      </c>
      <c r="I1621">
        <f t="shared" si="100"/>
        <v>250</v>
      </c>
      <c r="J1621">
        <f t="shared" si="98"/>
        <v>113.3980925</v>
      </c>
      <c r="K1621">
        <v>0.49</v>
      </c>
      <c r="L1621">
        <f t="shared" si="99"/>
        <v>55.565065324999999</v>
      </c>
    </row>
    <row r="1622" spans="1:12" x14ac:dyDescent="0.2">
      <c r="A1622" s="4">
        <v>43434</v>
      </c>
      <c r="B1622" t="s">
        <v>48</v>
      </c>
      <c r="C1622" s="28">
        <v>2</v>
      </c>
      <c r="D1622" s="28">
        <v>1</v>
      </c>
      <c r="E1622">
        <v>20</v>
      </c>
      <c r="F1622" t="s">
        <v>355</v>
      </c>
      <c r="G1622" t="s">
        <v>832</v>
      </c>
      <c r="H1622" t="s">
        <v>1071</v>
      </c>
      <c r="I1622">
        <f t="shared" si="100"/>
        <v>40</v>
      </c>
      <c r="J1622">
        <f t="shared" si="98"/>
        <v>18.143694800000002</v>
      </c>
      <c r="K1622">
        <v>0.49</v>
      </c>
      <c r="L1622">
        <f t="shared" si="99"/>
        <v>8.8904104520000011</v>
      </c>
    </row>
    <row r="1623" spans="1:12" x14ac:dyDescent="0.2">
      <c r="A1623" s="4">
        <v>43439</v>
      </c>
      <c r="B1623" t="s">
        <v>531</v>
      </c>
      <c r="C1623">
        <v>2</v>
      </c>
      <c r="D1623">
        <v>12</v>
      </c>
      <c r="E1623">
        <f>6*(3.5/16)</f>
        <v>1.3125</v>
      </c>
      <c r="F1623" t="s">
        <v>589</v>
      </c>
      <c r="G1623" s="6" t="s">
        <v>880</v>
      </c>
      <c r="H1623" t="s">
        <v>1071</v>
      </c>
      <c r="I1623">
        <f t="shared" si="100"/>
        <v>31.5</v>
      </c>
      <c r="J1623">
        <f t="shared" si="98"/>
        <v>14.288159655000001</v>
      </c>
      <c r="K1623">
        <v>1.28</v>
      </c>
      <c r="L1623">
        <f t="shared" si="99"/>
        <v>18.288844358400002</v>
      </c>
    </row>
    <row r="1624" spans="1:12" x14ac:dyDescent="0.2">
      <c r="A1624" s="4">
        <v>43434</v>
      </c>
      <c r="B1624" t="s">
        <v>517</v>
      </c>
      <c r="C1624">
        <v>2</v>
      </c>
      <c r="D1624">
        <v>36</v>
      </c>
      <c r="E1624">
        <v>1</v>
      </c>
      <c r="F1624" t="s">
        <v>382</v>
      </c>
      <c r="G1624" t="s">
        <v>845</v>
      </c>
      <c r="H1624" t="s">
        <v>1073</v>
      </c>
      <c r="I1624">
        <f t="shared" si="100"/>
        <v>72</v>
      </c>
      <c r="J1624">
        <f t="shared" si="98"/>
        <v>32.658650639999998</v>
      </c>
      <c r="K1624">
        <v>11.52</v>
      </c>
      <c r="L1624">
        <f t="shared" si="99"/>
        <v>376.22765537279997</v>
      </c>
    </row>
    <row r="1625" spans="1:12" x14ac:dyDescent="0.2">
      <c r="A1625" s="4">
        <v>43434</v>
      </c>
      <c r="B1625" t="s">
        <v>48</v>
      </c>
      <c r="C1625" s="28">
        <v>1</v>
      </c>
      <c r="D1625" s="28">
        <v>1</v>
      </c>
      <c r="E1625">
        <v>45</v>
      </c>
      <c r="F1625" t="s">
        <v>338</v>
      </c>
      <c r="G1625" t="s">
        <v>817</v>
      </c>
      <c r="H1625" t="s">
        <v>1071</v>
      </c>
      <c r="I1625">
        <f t="shared" si="100"/>
        <v>45</v>
      </c>
      <c r="J1625">
        <f t="shared" si="98"/>
        <v>20.411656650000001</v>
      </c>
      <c r="K1625">
        <v>0.219</v>
      </c>
      <c r="L1625">
        <f t="shared" si="99"/>
        <v>4.4701528063500007</v>
      </c>
    </row>
    <row r="1626" spans="1:12" x14ac:dyDescent="0.2">
      <c r="A1626" s="4">
        <v>43435</v>
      </c>
      <c r="B1626" t="s">
        <v>48</v>
      </c>
      <c r="C1626" s="28">
        <v>1</v>
      </c>
      <c r="D1626" s="28">
        <v>1</v>
      </c>
      <c r="E1626">
        <v>45</v>
      </c>
      <c r="F1626" t="s">
        <v>338</v>
      </c>
      <c r="G1626" t="s">
        <v>817</v>
      </c>
      <c r="H1626" t="s">
        <v>1071</v>
      </c>
      <c r="I1626">
        <f t="shared" si="100"/>
        <v>45</v>
      </c>
      <c r="J1626">
        <f t="shared" si="98"/>
        <v>20.411656650000001</v>
      </c>
      <c r="K1626">
        <v>0.219</v>
      </c>
      <c r="L1626">
        <f t="shared" si="99"/>
        <v>4.4701528063500007</v>
      </c>
    </row>
    <row r="1627" spans="1:12" x14ac:dyDescent="0.2">
      <c r="A1627" s="4">
        <v>43438</v>
      </c>
      <c r="B1627" t="s">
        <v>48</v>
      </c>
      <c r="C1627" s="28">
        <v>2</v>
      </c>
      <c r="D1627" s="28">
        <v>1</v>
      </c>
      <c r="E1627">
        <v>45</v>
      </c>
      <c r="F1627" t="s">
        <v>338</v>
      </c>
      <c r="G1627" t="s">
        <v>817</v>
      </c>
      <c r="H1627" t="s">
        <v>1071</v>
      </c>
      <c r="I1627">
        <f t="shared" si="100"/>
        <v>90</v>
      </c>
      <c r="J1627">
        <f t="shared" si="98"/>
        <v>40.823313300000002</v>
      </c>
      <c r="K1627">
        <v>0.219</v>
      </c>
      <c r="L1627">
        <f t="shared" si="99"/>
        <v>8.9403056127000013</v>
      </c>
    </row>
    <row r="1628" spans="1:12" x14ac:dyDescent="0.2">
      <c r="A1628" s="4">
        <v>43434</v>
      </c>
      <c r="B1628" t="s">
        <v>538</v>
      </c>
      <c r="C1628">
        <v>4</v>
      </c>
      <c r="D1628">
        <v>1</v>
      </c>
      <c r="E1628">
        <v>35</v>
      </c>
      <c r="F1628" t="s">
        <v>441</v>
      </c>
      <c r="G1628" t="s">
        <v>905</v>
      </c>
      <c r="H1628" t="s">
        <v>1071</v>
      </c>
      <c r="I1628">
        <f t="shared" si="100"/>
        <v>140</v>
      </c>
      <c r="J1628">
        <f t="shared" si="98"/>
        <v>63.502931800000006</v>
      </c>
      <c r="K1628">
        <v>2.6459999999999999</v>
      </c>
      <c r="L1628">
        <f t="shared" si="99"/>
        <v>168.02875754280001</v>
      </c>
    </row>
    <row r="1629" spans="1:12" x14ac:dyDescent="0.2">
      <c r="A1629" s="4">
        <v>43434</v>
      </c>
      <c r="B1629" t="s">
        <v>48</v>
      </c>
      <c r="C1629" s="28">
        <v>6</v>
      </c>
      <c r="D1629" s="28">
        <v>1</v>
      </c>
      <c r="E1629">
        <f>9*3</f>
        <v>27</v>
      </c>
      <c r="F1629" t="s">
        <v>311</v>
      </c>
      <c r="G1629" t="s">
        <v>788</v>
      </c>
      <c r="H1629" t="s">
        <v>1071</v>
      </c>
      <c r="I1629">
        <f t="shared" si="100"/>
        <v>162</v>
      </c>
      <c r="J1629">
        <f t="shared" si="98"/>
        <v>73.48196394</v>
      </c>
      <c r="K1629">
        <v>0.49</v>
      </c>
      <c r="L1629">
        <f t="shared" si="99"/>
        <v>36.006162330599999</v>
      </c>
    </row>
    <row r="1630" spans="1:12" x14ac:dyDescent="0.2">
      <c r="A1630" s="4">
        <v>43435</v>
      </c>
      <c r="B1630" t="s">
        <v>48</v>
      </c>
      <c r="C1630" s="28">
        <v>6</v>
      </c>
      <c r="D1630" s="28">
        <v>1</v>
      </c>
      <c r="E1630">
        <f>9*3</f>
        <v>27</v>
      </c>
      <c r="F1630" t="s">
        <v>311</v>
      </c>
      <c r="G1630" t="s">
        <v>788</v>
      </c>
      <c r="H1630" t="s">
        <v>1071</v>
      </c>
      <c r="I1630">
        <f t="shared" si="100"/>
        <v>162</v>
      </c>
      <c r="J1630">
        <f t="shared" si="98"/>
        <v>73.48196394</v>
      </c>
      <c r="K1630">
        <v>0.49</v>
      </c>
      <c r="L1630">
        <f t="shared" si="99"/>
        <v>36.006162330599999</v>
      </c>
    </row>
    <row r="1631" spans="1:12" x14ac:dyDescent="0.2">
      <c r="A1631" s="4">
        <v>43437</v>
      </c>
      <c r="B1631" t="s">
        <v>48</v>
      </c>
      <c r="C1631" s="28">
        <v>5</v>
      </c>
      <c r="D1631" s="28">
        <v>1</v>
      </c>
      <c r="E1631">
        <f>9*3</f>
        <v>27</v>
      </c>
      <c r="F1631" t="s">
        <v>311</v>
      </c>
      <c r="G1631" t="s">
        <v>788</v>
      </c>
      <c r="H1631" t="s">
        <v>1071</v>
      </c>
      <c r="I1631">
        <f t="shared" si="100"/>
        <v>135</v>
      </c>
      <c r="J1631">
        <f t="shared" si="98"/>
        <v>61.23496995</v>
      </c>
      <c r="K1631">
        <v>0.49</v>
      </c>
      <c r="L1631">
        <f t="shared" si="99"/>
        <v>30.005135275499999</v>
      </c>
    </row>
    <row r="1632" spans="1:12" x14ac:dyDescent="0.2">
      <c r="A1632" s="4">
        <v>43438</v>
      </c>
      <c r="B1632" t="s">
        <v>48</v>
      </c>
      <c r="C1632" s="28">
        <v>5</v>
      </c>
      <c r="D1632" s="28">
        <v>1</v>
      </c>
      <c r="E1632">
        <f>9*3</f>
        <v>27</v>
      </c>
      <c r="F1632" t="s">
        <v>311</v>
      </c>
      <c r="G1632" t="s">
        <v>788</v>
      </c>
      <c r="H1632" t="s">
        <v>1071</v>
      </c>
      <c r="I1632">
        <f t="shared" si="100"/>
        <v>135</v>
      </c>
      <c r="J1632">
        <f t="shared" si="98"/>
        <v>61.23496995</v>
      </c>
      <c r="K1632">
        <v>0.49</v>
      </c>
      <c r="L1632">
        <f t="shared" si="99"/>
        <v>30.005135275499999</v>
      </c>
    </row>
    <row r="1633" spans="1:12" x14ac:dyDescent="0.2">
      <c r="A1633" s="4">
        <v>43440</v>
      </c>
      <c r="B1633" t="s">
        <v>48</v>
      </c>
      <c r="C1633" s="28">
        <v>8</v>
      </c>
      <c r="D1633" s="28">
        <v>1</v>
      </c>
      <c r="E1633">
        <f>9*3</f>
        <v>27</v>
      </c>
      <c r="F1633" t="s">
        <v>311</v>
      </c>
      <c r="G1633" t="s">
        <v>788</v>
      </c>
      <c r="H1633" t="s">
        <v>1071</v>
      </c>
      <c r="I1633">
        <f t="shared" si="100"/>
        <v>216</v>
      </c>
      <c r="J1633">
        <f t="shared" si="98"/>
        <v>97.975951920000014</v>
      </c>
      <c r="K1633">
        <v>0.49</v>
      </c>
      <c r="L1633">
        <f t="shared" si="99"/>
        <v>48.008216440800005</v>
      </c>
    </row>
    <row r="1634" spans="1:12" x14ac:dyDescent="0.2">
      <c r="A1634" s="4">
        <v>43434</v>
      </c>
      <c r="B1634" t="s">
        <v>48</v>
      </c>
      <c r="C1634" s="28">
        <v>2</v>
      </c>
      <c r="D1634" s="28">
        <v>1</v>
      </c>
      <c r="E1634">
        <v>20</v>
      </c>
      <c r="F1634" t="s">
        <v>269</v>
      </c>
      <c r="G1634" t="s">
        <v>299</v>
      </c>
      <c r="H1634" t="s">
        <v>1071</v>
      </c>
      <c r="I1634">
        <f t="shared" si="100"/>
        <v>40</v>
      </c>
      <c r="J1634">
        <f t="shared" si="98"/>
        <v>18.143694800000002</v>
      </c>
      <c r="K1634">
        <v>9.1999999999999998E-2</v>
      </c>
      <c r="L1634">
        <f t="shared" si="99"/>
        <v>1.6692199216000001</v>
      </c>
    </row>
    <row r="1635" spans="1:12" x14ac:dyDescent="0.2">
      <c r="A1635" s="4">
        <v>43435</v>
      </c>
      <c r="B1635" t="s">
        <v>48</v>
      </c>
      <c r="C1635" s="28">
        <v>2</v>
      </c>
      <c r="D1635" s="28">
        <v>1</v>
      </c>
      <c r="E1635">
        <v>50</v>
      </c>
      <c r="F1635" t="s">
        <v>299</v>
      </c>
      <c r="G1635" t="s">
        <v>299</v>
      </c>
      <c r="H1635" t="s">
        <v>1071</v>
      </c>
      <c r="I1635">
        <f t="shared" si="100"/>
        <v>100</v>
      </c>
      <c r="J1635">
        <f t="shared" si="98"/>
        <v>45.359237</v>
      </c>
      <c r="K1635">
        <v>9.1999999999999998E-2</v>
      </c>
      <c r="L1635">
        <f t="shared" si="99"/>
        <v>4.1730498039999997</v>
      </c>
    </row>
    <row r="1636" spans="1:12" x14ac:dyDescent="0.2">
      <c r="A1636" s="4">
        <v>43435</v>
      </c>
      <c r="B1636" t="s">
        <v>48</v>
      </c>
      <c r="C1636" s="28">
        <v>2</v>
      </c>
      <c r="D1636" s="28">
        <v>1</v>
      </c>
      <c r="E1636">
        <v>20</v>
      </c>
      <c r="F1636" t="s">
        <v>269</v>
      </c>
      <c r="G1636" t="s">
        <v>299</v>
      </c>
      <c r="H1636" t="s">
        <v>1071</v>
      </c>
      <c r="I1636">
        <f t="shared" si="100"/>
        <v>40</v>
      </c>
      <c r="J1636">
        <f t="shared" si="98"/>
        <v>18.143694800000002</v>
      </c>
      <c r="K1636">
        <v>9.1999999999999998E-2</v>
      </c>
      <c r="L1636">
        <f t="shared" si="99"/>
        <v>1.6692199216000001</v>
      </c>
    </row>
    <row r="1637" spans="1:12" x14ac:dyDescent="0.2">
      <c r="A1637" s="4">
        <v>43437</v>
      </c>
      <c r="B1637" t="s">
        <v>48</v>
      </c>
      <c r="C1637" s="28">
        <v>2</v>
      </c>
      <c r="D1637" s="28">
        <v>1</v>
      </c>
      <c r="E1637">
        <v>20</v>
      </c>
      <c r="F1637" t="s">
        <v>269</v>
      </c>
      <c r="G1637" t="s">
        <v>299</v>
      </c>
      <c r="H1637" t="s">
        <v>1071</v>
      </c>
      <c r="I1637">
        <f t="shared" si="100"/>
        <v>40</v>
      </c>
      <c r="J1637">
        <f t="shared" si="98"/>
        <v>18.143694800000002</v>
      </c>
      <c r="K1637">
        <v>9.1999999999999998E-2</v>
      </c>
      <c r="L1637">
        <f t="shared" si="99"/>
        <v>1.6692199216000001</v>
      </c>
    </row>
    <row r="1638" spans="1:12" x14ac:dyDescent="0.2">
      <c r="A1638" s="4">
        <v>43438</v>
      </c>
      <c r="B1638" t="s">
        <v>48</v>
      </c>
      <c r="C1638" s="28">
        <v>1</v>
      </c>
      <c r="D1638" s="28">
        <v>1</v>
      </c>
      <c r="E1638">
        <v>50</v>
      </c>
      <c r="F1638" t="s">
        <v>299</v>
      </c>
      <c r="G1638" t="s">
        <v>299</v>
      </c>
      <c r="H1638" t="s">
        <v>1071</v>
      </c>
      <c r="I1638">
        <f t="shared" ref="I1638:I1669" si="101">C1638*D1638*E1638</f>
        <v>50</v>
      </c>
      <c r="J1638">
        <f t="shared" si="98"/>
        <v>22.6796185</v>
      </c>
      <c r="K1638">
        <v>9.1999999999999998E-2</v>
      </c>
      <c r="L1638">
        <f t="shared" si="99"/>
        <v>2.0865249019999998</v>
      </c>
    </row>
    <row r="1639" spans="1:12" x14ac:dyDescent="0.2">
      <c r="A1639" s="4">
        <v>43438</v>
      </c>
      <c r="B1639" t="s">
        <v>48</v>
      </c>
      <c r="C1639" s="28">
        <v>2</v>
      </c>
      <c r="D1639" s="28">
        <v>1</v>
      </c>
      <c r="E1639">
        <v>20</v>
      </c>
      <c r="F1639" t="s">
        <v>269</v>
      </c>
      <c r="G1639" t="s">
        <v>299</v>
      </c>
      <c r="H1639" t="s">
        <v>1071</v>
      </c>
      <c r="I1639">
        <f t="shared" si="101"/>
        <v>40</v>
      </c>
      <c r="J1639">
        <f t="shared" si="98"/>
        <v>18.143694800000002</v>
      </c>
      <c r="K1639">
        <v>9.1999999999999998E-2</v>
      </c>
      <c r="L1639">
        <f t="shared" si="99"/>
        <v>1.6692199216000001</v>
      </c>
    </row>
    <row r="1640" spans="1:12" x14ac:dyDescent="0.2">
      <c r="A1640" s="4">
        <v>43439</v>
      </c>
      <c r="B1640" t="s">
        <v>48</v>
      </c>
      <c r="C1640" s="28">
        <v>1</v>
      </c>
      <c r="D1640" s="28">
        <v>1</v>
      </c>
      <c r="E1640">
        <v>20</v>
      </c>
      <c r="F1640" t="s">
        <v>269</v>
      </c>
      <c r="G1640" t="s">
        <v>299</v>
      </c>
      <c r="H1640" t="s">
        <v>1071</v>
      </c>
      <c r="I1640">
        <f t="shared" si="101"/>
        <v>20</v>
      </c>
      <c r="J1640">
        <f t="shared" si="98"/>
        <v>9.0718474000000011</v>
      </c>
      <c r="K1640">
        <v>9.1999999999999998E-2</v>
      </c>
      <c r="L1640">
        <f t="shared" si="99"/>
        <v>0.83460996080000005</v>
      </c>
    </row>
    <row r="1641" spans="1:12" x14ac:dyDescent="0.2">
      <c r="A1641" s="4">
        <v>43440</v>
      </c>
      <c r="B1641" t="s">
        <v>48</v>
      </c>
      <c r="C1641" s="28">
        <v>2</v>
      </c>
      <c r="D1641" s="28">
        <v>1</v>
      </c>
      <c r="E1641">
        <v>20</v>
      </c>
      <c r="F1641" t="s">
        <v>246</v>
      </c>
      <c r="G1641" t="s">
        <v>87</v>
      </c>
      <c r="H1641" t="s">
        <v>1071</v>
      </c>
      <c r="I1641">
        <f t="shared" si="101"/>
        <v>40</v>
      </c>
      <c r="J1641">
        <f t="shared" si="98"/>
        <v>18.143694800000002</v>
      </c>
      <c r="K1641">
        <v>9.1999999999999998E-2</v>
      </c>
      <c r="L1641">
        <f t="shared" si="99"/>
        <v>1.6692199216000001</v>
      </c>
    </row>
    <row r="1642" spans="1:12" x14ac:dyDescent="0.2">
      <c r="A1642" s="4">
        <v>43434</v>
      </c>
      <c r="B1642" t="s">
        <v>48</v>
      </c>
      <c r="C1642" s="28">
        <v>10</v>
      </c>
      <c r="D1642" s="28">
        <v>1</v>
      </c>
      <c r="E1642">
        <v>12</v>
      </c>
      <c r="F1642" t="s">
        <v>323</v>
      </c>
      <c r="G1642" t="s">
        <v>619</v>
      </c>
      <c r="H1642" t="s">
        <v>1071</v>
      </c>
      <c r="I1642">
        <f t="shared" si="101"/>
        <v>120</v>
      </c>
      <c r="J1642">
        <f t="shared" si="98"/>
        <v>54.431084400000003</v>
      </c>
      <c r="K1642">
        <v>0.93400000000000005</v>
      </c>
      <c r="L1642">
        <f t="shared" si="99"/>
        <v>50.838632829600009</v>
      </c>
    </row>
    <row r="1643" spans="1:12" x14ac:dyDescent="0.2">
      <c r="A1643" s="4">
        <v>43435</v>
      </c>
      <c r="B1643" t="s">
        <v>48</v>
      </c>
      <c r="C1643" s="28">
        <v>4</v>
      </c>
      <c r="D1643" s="28">
        <v>1</v>
      </c>
      <c r="E1643">
        <v>12</v>
      </c>
      <c r="F1643" t="s">
        <v>323</v>
      </c>
      <c r="G1643" t="s">
        <v>619</v>
      </c>
      <c r="H1643" t="s">
        <v>1071</v>
      </c>
      <c r="I1643">
        <f t="shared" si="101"/>
        <v>48</v>
      </c>
      <c r="J1643">
        <f t="shared" si="98"/>
        <v>21.772433760000002</v>
      </c>
      <c r="K1643">
        <v>0.93400000000000005</v>
      </c>
      <c r="L1643">
        <f t="shared" si="99"/>
        <v>20.335453131840001</v>
      </c>
    </row>
    <row r="1644" spans="1:12" x14ac:dyDescent="0.2">
      <c r="A1644" s="4">
        <v>43437</v>
      </c>
      <c r="B1644" t="s">
        <v>48</v>
      </c>
      <c r="C1644" s="28">
        <v>6</v>
      </c>
      <c r="D1644" s="28">
        <v>1</v>
      </c>
      <c r="E1644">
        <v>12</v>
      </c>
      <c r="F1644" t="s">
        <v>323</v>
      </c>
      <c r="G1644" t="s">
        <v>619</v>
      </c>
      <c r="H1644" t="s">
        <v>1071</v>
      </c>
      <c r="I1644">
        <f t="shared" si="101"/>
        <v>72</v>
      </c>
      <c r="J1644">
        <f t="shared" si="98"/>
        <v>32.658650639999998</v>
      </c>
      <c r="K1644">
        <v>0.93400000000000005</v>
      </c>
      <c r="L1644">
        <f t="shared" si="99"/>
        <v>30.50317969776</v>
      </c>
    </row>
    <row r="1645" spans="1:12" x14ac:dyDescent="0.2">
      <c r="A1645" s="4">
        <v>43438</v>
      </c>
      <c r="B1645" t="s">
        <v>48</v>
      </c>
      <c r="C1645" s="28">
        <v>2</v>
      </c>
      <c r="D1645" s="28">
        <v>1</v>
      </c>
      <c r="E1645">
        <v>12</v>
      </c>
      <c r="F1645" t="s">
        <v>323</v>
      </c>
      <c r="G1645" t="s">
        <v>619</v>
      </c>
      <c r="H1645" t="s">
        <v>1071</v>
      </c>
      <c r="I1645">
        <f t="shared" si="101"/>
        <v>24</v>
      </c>
      <c r="J1645">
        <f t="shared" si="98"/>
        <v>10.886216880000001</v>
      </c>
      <c r="K1645">
        <v>0.93400000000000005</v>
      </c>
      <c r="L1645">
        <f t="shared" si="99"/>
        <v>10.167726565920001</v>
      </c>
    </row>
    <row r="1646" spans="1:12" x14ac:dyDescent="0.2">
      <c r="A1646" s="4">
        <v>43439</v>
      </c>
      <c r="B1646" t="s">
        <v>48</v>
      </c>
      <c r="C1646" s="28">
        <v>4</v>
      </c>
      <c r="D1646" s="28">
        <v>1</v>
      </c>
      <c r="E1646">
        <v>12</v>
      </c>
      <c r="F1646" t="s">
        <v>323</v>
      </c>
      <c r="G1646" t="s">
        <v>619</v>
      </c>
      <c r="H1646" t="s">
        <v>1071</v>
      </c>
      <c r="I1646">
        <f t="shared" si="101"/>
        <v>48</v>
      </c>
      <c r="J1646">
        <f t="shared" si="98"/>
        <v>21.772433760000002</v>
      </c>
      <c r="K1646">
        <v>0.93400000000000005</v>
      </c>
      <c r="L1646">
        <f t="shared" si="99"/>
        <v>20.335453131840001</v>
      </c>
    </row>
    <row r="1647" spans="1:12" x14ac:dyDescent="0.2">
      <c r="A1647" s="4">
        <v>43440</v>
      </c>
      <c r="B1647" t="s">
        <v>48</v>
      </c>
      <c r="C1647" s="28">
        <v>8</v>
      </c>
      <c r="D1647" s="28">
        <v>1</v>
      </c>
      <c r="E1647">
        <v>12</v>
      </c>
      <c r="F1647" t="s">
        <v>220</v>
      </c>
      <c r="G1647" t="s">
        <v>220</v>
      </c>
      <c r="H1647" t="s">
        <v>1071</v>
      </c>
      <c r="I1647">
        <f t="shared" si="101"/>
        <v>96</v>
      </c>
      <c r="J1647">
        <f t="shared" si="98"/>
        <v>43.544867520000004</v>
      </c>
      <c r="K1647">
        <v>0.93400000000000005</v>
      </c>
      <c r="L1647">
        <f t="shared" si="99"/>
        <v>40.670906263680003</v>
      </c>
    </row>
    <row r="1648" spans="1:12" x14ac:dyDescent="0.2">
      <c r="A1648" s="4">
        <v>43434</v>
      </c>
      <c r="B1648" t="s">
        <v>48</v>
      </c>
      <c r="C1648" s="28">
        <v>1</v>
      </c>
      <c r="D1648" s="28">
        <v>1</v>
      </c>
      <c r="E1648">
        <v>36</v>
      </c>
      <c r="F1648" t="s">
        <v>352</v>
      </c>
      <c r="G1648" t="s">
        <v>352</v>
      </c>
      <c r="H1648" t="s">
        <v>1071</v>
      </c>
      <c r="I1648">
        <f t="shared" si="101"/>
        <v>36</v>
      </c>
      <c r="J1648">
        <f t="shared" si="98"/>
        <v>16.329325319999999</v>
      </c>
      <c r="K1648">
        <v>0.33100000000000002</v>
      </c>
      <c r="L1648">
        <f t="shared" si="99"/>
        <v>5.4050066809199997</v>
      </c>
    </row>
    <row r="1649" spans="1:12" x14ac:dyDescent="0.2">
      <c r="A1649" s="4">
        <v>43437</v>
      </c>
      <c r="B1649" t="s">
        <v>48</v>
      </c>
      <c r="C1649" s="28">
        <v>1</v>
      </c>
      <c r="D1649" s="28">
        <v>1</v>
      </c>
      <c r="E1649">
        <v>36</v>
      </c>
      <c r="F1649" t="s">
        <v>352</v>
      </c>
      <c r="G1649" t="s">
        <v>352</v>
      </c>
      <c r="H1649" t="s">
        <v>1071</v>
      </c>
      <c r="I1649">
        <f t="shared" si="101"/>
        <v>36</v>
      </c>
      <c r="J1649">
        <f t="shared" si="98"/>
        <v>16.329325319999999</v>
      </c>
      <c r="K1649">
        <v>0.33100000000000002</v>
      </c>
      <c r="L1649">
        <f t="shared" si="99"/>
        <v>5.4050066809199997</v>
      </c>
    </row>
    <row r="1650" spans="1:12" x14ac:dyDescent="0.2">
      <c r="A1650" s="4">
        <v>43438</v>
      </c>
      <c r="B1650" t="s">
        <v>48</v>
      </c>
      <c r="C1650" s="28">
        <v>1</v>
      </c>
      <c r="D1650" s="28">
        <v>1</v>
      </c>
      <c r="E1650">
        <v>36</v>
      </c>
      <c r="F1650" t="s">
        <v>352</v>
      </c>
      <c r="G1650" t="s">
        <v>352</v>
      </c>
      <c r="H1650" t="s">
        <v>1071</v>
      </c>
      <c r="I1650">
        <f t="shared" si="101"/>
        <v>36</v>
      </c>
      <c r="J1650">
        <f t="shared" si="98"/>
        <v>16.329325319999999</v>
      </c>
      <c r="K1650">
        <v>0.33100000000000002</v>
      </c>
      <c r="L1650">
        <f t="shared" si="99"/>
        <v>5.4050066809199997</v>
      </c>
    </row>
    <row r="1651" spans="1:12" x14ac:dyDescent="0.2">
      <c r="A1651" s="4">
        <v>43434</v>
      </c>
      <c r="B1651" t="s">
        <v>538</v>
      </c>
      <c r="C1651">
        <v>2</v>
      </c>
      <c r="D1651">
        <v>4</v>
      </c>
      <c r="E1651">
        <v>30.3125</v>
      </c>
      <c r="F1651" t="s">
        <v>470</v>
      </c>
      <c r="G1651" s="6" t="s">
        <v>861</v>
      </c>
      <c r="H1651" t="s">
        <v>1071</v>
      </c>
      <c r="I1651">
        <f t="shared" si="101"/>
        <v>242.5</v>
      </c>
      <c r="J1651">
        <f t="shared" si="98"/>
        <v>109.99614972500001</v>
      </c>
      <c r="K1651">
        <v>1.61</v>
      </c>
      <c r="L1651">
        <f t="shared" si="99"/>
        <v>177.09380105725003</v>
      </c>
    </row>
    <row r="1652" spans="1:12" x14ac:dyDescent="0.2">
      <c r="A1652" s="4">
        <v>43434</v>
      </c>
      <c r="B1652" t="s">
        <v>538</v>
      </c>
      <c r="C1652">
        <v>2</v>
      </c>
      <c r="D1652">
        <v>4</v>
      </c>
      <c r="E1652">
        <v>40.3125</v>
      </c>
      <c r="F1652" t="s">
        <v>548</v>
      </c>
      <c r="G1652" s="6" t="s">
        <v>861</v>
      </c>
      <c r="H1652" t="s">
        <v>1071</v>
      </c>
      <c r="I1652">
        <f t="shared" si="101"/>
        <v>322.5</v>
      </c>
      <c r="J1652">
        <f t="shared" si="98"/>
        <v>146.28353932500002</v>
      </c>
      <c r="K1652">
        <v>1.61</v>
      </c>
      <c r="L1652">
        <f t="shared" si="99"/>
        <v>235.51649831325005</v>
      </c>
    </row>
    <row r="1653" spans="1:12" x14ac:dyDescent="0.2">
      <c r="A1653" s="4">
        <v>43437</v>
      </c>
      <c r="B1653" t="s">
        <v>538</v>
      </c>
      <c r="C1653">
        <v>1</v>
      </c>
      <c r="D1653">
        <v>4</v>
      </c>
      <c r="E1653">
        <v>1.8125</v>
      </c>
      <c r="F1653" t="s">
        <v>575</v>
      </c>
      <c r="G1653" s="6" t="s">
        <v>861</v>
      </c>
      <c r="H1653" t="s">
        <v>1071</v>
      </c>
      <c r="I1653">
        <f t="shared" si="101"/>
        <v>7.25</v>
      </c>
      <c r="J1653">
        <f t="shared" si="98"/>
        <v>3.2885446825</v>
      </c>
      <c r="K1653">
        <v>1.61</v>
      </c>
      <c r="L1653">
        <f t="shared" si="99"/>
        <v>5.294556938825</v>
      </c>
    </row>
    <row r="1654" spans="1:12" x14ac:dyDescent="0.2">
      <c r="A1654" s="4">
        <v>43437</v>
      </c>
      <c r="B1654" t="s">
        <v>538</v>
      </c>
      <c r="C1654">
        <v>1</v>
      </c>
      <c r="D1654">
        <v>4</v>
      </c>
      <c r="E1654">
        <v>2.5</v>
      </c>
      <c r="F1654" t="s">
        <v>436</v>
      </c>
      <c r="G1654" s="6" t="s">
        <v>861</v>
      </c>
      <c r="H1654" t="s">
        <v>1071</v>
      </c>
      <c r="I1654">
        <f t="shared" si="101"/>
        <v>10</v>
      </c>
      <c r="J1654">
        <f t="shared" si="98"/>
        <v>4.5359237000000006</v>
      </c>
      <c r="K1654">
        <v>1.61</v>
      </c>
      <c r="L1654">
        <f t="shared" si="99"/>
        <v>7.3028371570000017</v>
      </c>
    </row>
    <row r="1655" spans="1:12" x14ac:dyDescent="0.2">
      <c r="A1655" s="4">
        <v>43437</v>
      </c>
      <c r="B1655" t="s">
        <v>538</v>
      </c>
      <c r="C1655">
        <v>2</v>
      </c>
      <c r="D1655">
        <v>4</v>
      </c>
      <c r="E1655">
        <v>30.3125</v>
      </c>
      <c r="F1655" t="s">
        <v>470</v>
      </c>
      <c r="G1655" s="6" t="s">
        <v>861</v>
      </c>
      <c r="H1655" t="s">
        <v>1071</v>
      </c>
      <c r="I1655">
        <f t="shared" si="101"/>
        <v>242.5</v>
      </c>
      <c r="J1655">
        <f t="shared" si="98"/>
        <v>109.99614972500001</v>
      </c>
      <c r="K1655">
        <v>1.61</v>
      </c>
      <c r="L1655">
        <f t="shared" si="99"/>
        <v>177.09380105725003</v>
      </c>
    </row>
    <row r="1656" spans="1:12" x14ac:dyDescent="0.2">
      <c r="A1656" s="4">
        <v>43437</v>
      </c>
      <c r="B1656" t="s">
        <v>538</v>
      </c>
      <c r="C1656">
        <v>2</v>
      </c>
      <c r="D1656">
        <v>4</v>
      </c>
      <c r="E1656">
        <v>30.3125</v>
      </c>
      <c r="F1656" t="s">
        <v>580</v>
      </c>
      <c r="G1656" s="6" t="s">
        <v>861</v>
      </c>
      <c r="H1656" t="s">
        <v>1071</v>
      </c>
      <c r="I1656">
        <f t="shared" si="101"/>
        <v>242.5</v>
      </c>
      <c r="J1656">
        <f t="shared" si="98"/>
        <v>109.99614972500001</v>
      </c>
      <c r="K1656">
        <v>1.61</v>
      </c>
      <c r="L1656">
        <f t="shared" si="99"/>
        <v>177.09380105725003</v>
      </c>
    </row>
    <row r="1657" spans="1:12" x14ac:dyDescent="0.2">
      <c r="A1657" s="4">
        <v>43437</v>
      </c>
      <c r="B1657" t="s">
        <v>538</v>
      </c>
      <c r="C1657">
        <v>1</v>
      </c>
      <c r="D1657">
        <v>4</v>
      </c>
      <c r="E1657">
        <v>3.125</v>
      </c>
      <c r="F1657" t="s">
        <v>453</v>
      </c>
      <c r="G1657" s="6" t="s">
        <v>861</v>
      </c>
      <c r="H1657" t="s">
        <v>1071</v>
      </c>
      <c r="I1657">
        <f t="shared" si="101"/>
        <v>12.5</v>
      </c>
      <c r="J1657">
        <f t="shared" si="98"/>
        <v>5.669904625</v>
      </c>
      <c r="K1657">
        <v>1.61</v>
      </c>
      <c r="L1657">
        <f t="shared" si="99"/>
        <v>9.1285464462500006</v>
      </c>
    </row>
    <row r="1658" spans="1:12" x14ac:dyDescent="0.2">
      <c r="A1658" s="4">
        <v>43439</v>
      </c>
      <c r="B1658" t="s">
        <v>538</v>
      </c>
      <c r="C1658">
        <v>1</v>
      </c>
      <c r="D1658">
        <v>4</v>
      </c>
      <c r="E1658">
        <v>1.8125</v>
      </c>
      <c r="F1658" t="s">
        <v>575</v>
      </c>
      <c r="G1658" s="6" t="s">
        <v>861</v>
      </c>
      <c r="H1658" t="s">
        <v>1071</v>
      </c>
      <c r="I1658">
        <f t="shared" si="101"/>
        <v>7.25</v>
      </c>
      <c r="J1658">
        <f t="shared" si="98"/>
        <v>3.2885446825</v>
      </c>
      <c r="K1658">
        <v>1.61</v>
      </c>
      <c r="L1658">
        <f t="shared" si="99"/>
        <v>5.294556938825</v>
      </c>
    </row>
    <row r="1659" spans="1:12" x14ac:dyDescent="0.2">
      <c r="A1659" s="4">
        <v>43439</v>
      </c>
      <c r="B1659" t="s">
        <v>538</v>
      </c>
      <c r="C1659">
        <v>3</v>
      </c>
      <c r="D1659">
        <v>4</v>
      </c>
      <c r="E1659">
        <v>2.5</v>
      </c>
      <c r="F1659" t="s">
        <v>436</v>
      </c>
      <c r="G1659" s="6" t="s">
        <v>861</v>
      </c>
      <c r="H1659" t="s">
        <v>1071</v>
      </c>
      <c r="I1659">
        <f t="shared" si="101"/>
        <v>30</v>
      </c>
      <c r="J1659">
        <f t="shared" si="98"/>
        <v>13.607771100000001</v>
      </c>
      <c r="K1659">
        <v>1.61</v>
      </c>
      <c r="L1659">
        <f t="shared" si="99"/>
        <v>21.908511471000004</v>
      </c>
    </row>
    <row r="1660" spans="1:12" x14ac:dyDescent="0.2">
      <c r="A1660" s="4">
        <v>43439</v>
      </c>
      <c r="B1660" t="s">
        <v>538</v>
      </c>
      <c r="C1660">
        <v>3</v>
      </c>
      <c r="D1660">
        <v>4</v>
      </c>
      <c r="E1660">
        <v>30.3125</v>
      </c>
      <c r="F1660" t="s">
        <v>470</v>
      </c>
      <c r="G1660" s="6" t="s">
        <v>861</v>
      </c>
      <c r="H1660" t="s">
        <v>1071</v>
      </c>
      <c r="I1660">
        <f t="shared" si="101"/>
        <v>363.75</v>
      </c>
      <c r="J1660">
        <f t="shared" si="98"/>
        <v>164.99422458750001</v>
      </c>
      <c r="K1660">
        <v>1.61</v>
      </c>
      <c r="L1660">
        <f t="shared" si="99"/>
        <v>265.64070158587504</v>
      </c>
    </row>
    <row r="1661" spans="1:12" x14ac:dyDescent="0.2">
      <c r="A1661" s="4">
        <v>43439</v>
      </c>
      <c r="B1661" t="s">
        <v>538</v>
      </c>
      <c r="C1661">
        <v>1</v>
      </c>
      <c r="D1661">
        <v>4</v>
      </c>
      <c r="E1661">
        <v>30.3125</v>
      </c>
      <c r="F1661" t="s">
        <v>580</v>
      </c>
      <c r="G1661" s="6" t="s">
        <v>861</v>
      </c>
      <c r="H1661" t="s">
        <v>1071</v>
      </c>
      <c r="I1661">
        <f t="shared" si="101"/>
        <v>121.25</v>
      </c>
      <c r="J1661">
        <f t="shared" si="98"/>
        <v>54.998074862500005</v>
      </c>
      <c r="K1661">
        <v>1.61</v>
      </c>
      <c r="L1661">
        <f t="shared" si="99"/>
        <v>88.546900528625017</v>
      </c>
    </row>
    <row r="1662" spans="1:12" x14ac:dyDescent="0.2">
      <c r="A1662" s="4">
        <v>43439</v>
      </c>
      <c r="B1662" t="s">
        <v>538</v>
      </c>
      <c r="C1662">
        <v>4</v>
      </c>
      <c r="D1662">
        <v>4</v>
      </c>
      <c r="E1662">
        <v>40.3125</v>
      </c>
      <c r="F1662" t="s">
        <v>548</v>
      </c>
      <c r="G1662" s="6" t="s">
        <v>861</v>
      </c>
      <c r="H1662" t="s">
        <v>1071</v>
      </c>
      <c r="I1662">
        <f t="shared" si="101"/>
        <v>645</v>
      </c>
      <c r="J1662">
        <f t="shared" si="98"/>
        <v>292.56707865000004</v>
      </c>
      <c r="K1662">
        <v>1.61</v>
      </c>
      <c r="L1662">
        <f t="shared" si="99"/>
        <v>471.03299662650011</v>
      </c>
    </row>
    <row r="1663" spans="1:12" x14ac:dyDescent="0.2">
      <c r="A1663" s="4">
        <v>43439</v>
      </c>
      <c r="B1663" t="s">
        <v>538</v>
      </c>
      <c r="C1663">
        <v>1</v>
      </c>
      <c r="D1663">
        <v>4</v>
      </c>
      <c r="E1663">
        <v>3.125</v>
      </c>
      <c r="F1663" t="s">
        <v>453</v>
      </c>
      <c r="G1663" s="6" t="s">
        <v>861</v>
      </c>
      <c r="H1663" t="s">
        <v>1071</v>
      </c>
      <c r="I1663">
        <f t="shared" si="101"/>
        <v>12.5</v>
      </c>
      <c r="J1663">
        <f t="shared" si="98"/>
        <v>5.669904625</v>
      </c>
      <c r="K1663">
        <v>1.61</v>
      </c>
      <c r="L1663">
        <f t="shared" si="99"/>
        <v>9.1285464462500006</v>
      </c>
    </row>
    <row r="1664" spans="1:12" x14ac:dyDescent="0.2">
      <c r="A1664" s="4">
        <v>43434</v>
      </c>
      <c r="B1664" t="s">
        <v>538</v>
      </c>
      <c r="C1664">
        <v>2</v>
      </c>
      <c r="D1664">
        <v>4</v>
      </c>
      <c r="E1664">
        <v>30.0625</v>
      </c>
      <c r="F1664" t="s">
        <v>545</v>
      </c>
      <c r="G1664" s="6" t="s">
        <v>901</v>
      </c>
      <c r="H1664" t="s">
        <v>1071</v>
      </c>
      <c r="I1664">
        <f t="shared" si="101"/>
        <v>240.5</v>
      </c>
      <c r="J1664">
        <f t="shared" si="98"/>
        <v>109.088964985</v>
      </c>
      <c r="K1664">
        <v>1.61</v>
      </c>
      <c r="L1664">
        <f t="shared" si="99"/>
        <v>175.63323362585001</v>
      </c>
    </row>
    <row r="1665" spans="1:12" x14ac:dyDescent="0.2">
      <c r="A1665" s="4">
        <v>43434</v>
      </c>
      <c r="B1665" t="s">
        <v>538</v>
      </c>
      <c r="C1665">
        <v>2</v>
      </c>
      <c r="D1665">
        <v>4</v>
      </c>
      <c r="E1665">
        <v>2.5</v>
      </c>
      <c r="F1665" t="s">
        <v>436</v>
      </c>
      <c r="G1665" s="6" t="s">
        <v>903</v>
      </c>
      <c r="H1665" t="s">
        <v>1071</v>
      </c>
      <c r="I1665">
        <f t="shared" si="101"/>
        <v>20</v>
      </c>
      <c r="J1665">
        <f t="shared" si="98"/>
        <v>9.0718474000000011</v>
      </c>
      <c r="K1665">
        <v>1.61</v>
      </c>
      <c r="L1665">
        <f t="shared" si="99"/>
        <v>14.605674314000003</v>
      </c>
    </row>
    <row r="1666" spans="1:12" x14ac:dyDescent="0.2">
      <c r="A1666" s="4">
        <v>43434</v>
      </c>
      <c r="B1666" t="s">
        <v>538</v>
      </c>
      <c r="C1666">
        <v>4</v>
      </c>
      <c r="D1666">
        <v>4</v>
      </c>
      <c r="E1666">
        <v>3.125</v>
      </c>
      <c r="F1666" t="s">
        <v>453</v>
      </c>
      <c r="G1666" s="6" t="s">
        <v>910</v>
      </c>
      <c r="H1666" t="s">
        <v>1071</v>
      </c>
      <c r="I1666">
        <f t="shared" si="101"/>
        <v>50</v>
      </c>
      <c r="J1666">
        <f t="shared" si="98"/>
        <v>22.6796185</v>
      </c>
      <c r="K1666">
        <v>1.61</v>
      </c>
      <c r="L1666">
        <f t="shared" si="99"/>
        <v>36.514185785000002</v>
      </c>
    </row>
    <row r="1667" spans="1:12" x14ac:dyDescent="0.2">
      <c r="A1667" s="4">
        <v>43434</v>
      </c>
      <c r="B1667" t="s">
        <v>517</v>
      </c>
      <c r="C1667">
        <v>2</v>
      </c>
      <c r="D1667">
        <v>6</v>
      </c>
      <c r="E1667">
        <v>1</v>
      </c>
      <c r="F1667" t="s">
        <v>519</v>
      </c>
      <c r="G1667" t="s">
        <v>847</v>
      </c>
      <c r="H1667" t="s">
        <v>1073</v>
      </c>
      <c r="I1667">
        <f t="shared" si="101"/>
        <v>12</v>
      </c>
      <c r="J1667">
        <f t="shared" ref="J1667:J1730" si="102">CONVERT(I1667,"lbm","kg")</f>
        <v>5.4431084400000005</v>
      </c>
      <c r="K1667">
        <v>9.9740000000000002</v>
      </c>
      <c r="L1667">
        <f t="shared" ref="L1667:L1730" si="103">J1667*K1667</f>
        <v>54.289563580560007</v>
      </c>
    </row>
    <row r="1668" spans="1:12" x14ac:dyDescent="0.2">
      <c r="A1668" s="4">
        <v>43434</v>
      </c>
      <c r="B1668" t="s">
        <v>517</v>
      </c>
      <c r="C1668">
        <v>2</v>
      </c>
      <c r="D1668">
        <v>6</v>
      </c>
      <c r="E1668">
        <v>3</v>
      </c>
      <c r="F1668" t="s">
        <v>387</v>
      </c>
      <c r="G1668" t="s">
        <v>847</v>
      </c>
      <c r="H1668" t="s">
        <v>1073</v>
      </c>
      <c r="I1668">
        <f t="shared" si="101"/>
        <v>36</v>
      </c>
      <c r="J1668">
        <f t="shared" si="102"/>
        <v>16.329325319999999</v>
      </c>
      <c r="K1668">
        <v>9.9740000000000002</v>
      </c>
      <c r="L1668">
        <f t="shared" si="103"/>
        <v>162.86869074167998</v>
      </c>
    </row>
    <row r="1669" spans="1:12" x14ac:dyDescent="0.2">
      <c r="A1669" s="4">
        <v>43434</v>
      </c>
      <c r="B1669" t="s">
        <v>517</v>
      </c>
      <c r="C1669">
        <v>2</v>
      </c>
      <c r="D1669">
        <v>4</v>
      </c>
      <c r="E1669">
        <v>5</v>
      </c>
      <c r="F1669" t="s">
        <v>389</v>
      </c>
      <c r="G1669" t="s">
        <v>847</v>
      </c>
      <c r="H1669" t="s">
        <v>1073</v>
      </c>
      <c r="I1669">
        <f t="shared" si="101"/>
        <v>40</v>
      </c>
      <c r="J1669">
        <f t="shared" si="102"/>
        <v>18.143694800000002</v>
      </c>
      <c r="K1669">
        <v>9.9740000000000002</v>
      </c>
      <c r="L1669">
        <f t="shared" si="103"/>
        <v>180.96521193520002</v>
      </c>
    </row>
    <row r="1670" spans="1:12" x14ac:dyDescent="0.2">
      <c r="A1670" s="4">
        <v>43434</v>
      </c>
      <c r="B1670" t="s">
        <v>517</v>
      </c>
      <c r="C1670">
        <v>15</v>
      </c>
      <c r="D1670">
        <v>4</v>
      </c>
      <c r="E1670">
        <v>5</v>
      </c>
      <c r="F1670" t="s">
        <v>521</v>
      </c>
      <c r="G1670" t="s">
        <v>847</v>
      </c>
      <c r="H1670" t="s">
        <v>1073</v>
      </c>
      <c r="I1670">
        <f t="shared" ref="I1670:I1701" si="104">C1670*D1670*E1670</f>
        <v>300</v>
      </c>
      <c r="J1670">
        <f t="shared" si="102"/>
        <v>136.07771100000002</v>
      </c>
      <c r="K1670">
        <v>9.9740000000000002</v>
      </c>
      <c r="L1670">
        <f t="shared" si="103"/>
        <v>1357.2390895140002</v>
      </c>
    </row>
    <row r="1671" spans="1:12" x14ac:dyDescent="0.2">
      <c r="A1671" s="4">
        <v>43434</v>
      </c>
      <c r="B1671" t="s">
        <v>517</v>
      </c>
      <c r="C1671">
        <v>1</v>
      </c>
      <c r="D1671">
        <v>4</v>
      </c>
      <c r="E1671">
        <v>5</v>
      </c>
      <c r="F1671" t="s">
        <v>390</v>
      </c>
      <c r="G1671" t="s">
        <v>847</v>
      </c>
      <c r="H1671" t="s">
        <v>1073</v>
      </c>
      <c r="I1671">
        <f t="shared" si="104"/>
        <v>20</v>
      </c>
      <c r="J1671">
        <f t="shared" si="102"/>
        <v>9.0718474000000011</v>
      </c>
      <c r="K1671">
        <v>9.9740000000000002</v>
      </c>
      <c r="L1671">
        <f t="shared" si="103"/>
        <v>90.482605967600009</v>
      </c>
    </row>
    <row r="1672" spans="1:12" x14ac:dyDescent="0.2">
      <c r="A1672" s="4">
        <v>43434</v>
      </c>
      <c r="B1672" t="s">
        <v>517</v>
      </c>
      <c r="C1672">
        <v>4</v>
      </c>
      <c r="D1672">
        <v>4</v>
      </c>
      <c r="E1672">
        <v>5</v>
      </c>
      <c r="F1672" t="s">
        <v>391</v>
      </c>
      <c r="G1672" t="s">
        <v>847</v>
      </c>
      <c r="H1672" t="s">
        <v>1073</v>
      </c>
      <c r="I1672">
        <f t="shared" si="104"/>
        <v>80</v>
      </c>
      <c r="J1672">
        <f t="shared" si="102"/>
        <v>36.287389600000004</v>
      </c>
      <c r="K1672">
        <v>9.9740000000000002</v>
      </c>
      <c r="L1672">
        <f t="shared" si="103"/>
        <v>361.93042387040003</v>
      </c>
    </row>
    <row r="1673" spans="1:12" x14ac:dyDescent="0.2">
      <c r="A1673" s="4">
        <v>43434</v>
      </c>
      <c r="B1673" t="s">
        <v>517</v>
      </c>
      <c r="C1673">
        <v>3</v>
      </c>
      <c r="D1673">
        <v>4</v>
      </c>
      <c r="E1673">
        <v>5</v>
      </c>
      <c r="F1673" t="s">
        <v>522</v>
      </c>
      <c r="G1673" t="s">
        <v>847</v>
      </c>
      <c r="H1673" t="s">
        <v>1073</v>
      </c>
      <c r="I1673">
        <f t="shared" si="104"/>
        <v>60</v>
      </c>
      <c r="J1673">
        <f t="shared" si="102"/>
        <v>27.215542200000002</v>
      </c>
      <c r="K1673">
        <v>9.9740000000000002</v>
      </c>
      <c r="L1673">
        <f t="shared" si="103"/>
        <v>271.44781790280001</v>
      </c>
    </row>
    <row r="1674" spans="1:12" x14ac:dyDescent="0.2">
      <c r="A1674" s="4">
        <v>43434</v>
      </c>
      <c r="B1674" t="s">
        <v>517</v>
      </c>
      <c r="C1674">
        <v>2</v>
      </c>
      <c r="D1674">
        <v>4</v>
      </c>
      <c r="E1674">
        <v>2.5</v>
      </c>
      <c r="F1674" t="s">
        <v>1008</v>
      </c>
      <c r="G1674" t="s">
        <v>847</v>
      </c>
      <c r="H1674" t="s">
        <v>1073</v>
      </c>
      <c r="I1674">
        <f t="shared" si="104"/>
        <v>20</v>
      </c>
      <c r="J1674">
        <f t="shared" si="102"/>
        <v>9.0718474000000011</v>
      </c>
      <c r="K1674">
        <v>9.9740000000000002</v>
      </c>
      <c r="L1674">
        <f t="shared" si="103"/>
        <v>90.482605967600009</v>
      </c>
    </row>
    <row r="1675" spans="1:12" x14ac:dyDescent="0.2">
      <c r="A1675" s="4">
        <v>43434</v>
      </c>
      <c r="B1675" t="s">
        <v>517</v>
      </c>
      <c r="C1675">
        <v>2</v>
      </c>
      <c r="D1675">
        <v>4</v>
      </c>
      <c r="E1675">
        <v>2.5</v>
      </c>
      <c r="F1675" t="s">
        <v>1009</v>
      </c>
      <c r="G1675" t="s">
        <v>847</v>
      </c>
      <c r="H1675" t="s">
        <v>1073</v>
      </c>
      <c r="I1675">
        <f t="shared" si="104"/>
        <v>20</v>
      </c>
      <c r="J1675">
        <f t="shared" si="102"/>
        <v>9.0718474000000011</v>
      </c>
      <c r="K1675">
        <v>9.9740000000000002</v>
      </c>
      <c r="L1675">
        <f t="shared" si="103"/>
        <v>90.482605967600009</v>
      </c>
    </row>
    <row r="1676" spans="1:12" x14ac:dyDescent="0.2">
      <c r="A1676" s="4">
        <v>43434</v>
      </c>
      <c r="B1676" t="s">
        <v>517</v>
      </c>
      <c r="C1676">
        <v>2</v>
      </c>
      <c r="D1676">
        <v>8</v>
      </c>
      <c r="E1676">
        <v>1.25</v>
      </c>
      <c r="F1676" t="s">
        <v>1010</v>
      </c>
      <c r="G1676" t="s">
        <v>847</v>
      </c>
      <c r="H1676" t="s">
        <v>1073</v>
      </c>
      <c r="I1676">
        <f t="shared" si="104"/>
        <v>20</v>
      </c>
      <c r="J1676">
        <f t="shared" si="102"/>
        <v>9.0718474000000011</v>
      </c>
      <c r="K1676">
        <v>9.9740000000000002</v>
      </c>
      <c r="L1676">
        <f t="shared" si="103"/>
        <v>90.482605967600009</v>
      </c>
    </row>
    <row r="1677" spans="1:12" x14ac:dyDescent="0.2">
      <c r="A1677" s="4">
        <v>43434</v>
      </c>
      <c r="B1677" t="s">
        <v>517</v>
      </c>
      <c r="C1677">
        <v>2</v>
      </c>
      <c r="D1677">
        <v>4</v>
      </c>
      <c r="E1677">
        <v>2.5</v>
      </c>
      <c r="F1677" t="s">
        <v>1011</v>
      </c>
      <c r="G1677" t="s">
        <v>847</v>
      </c>
      <c r="H1677" t="s">
        <v>1073</v>
      </c>
      <c r="I1677">
        <f t="shared" si="104"/>
        <v>20</v>
      </c>
      <c r="J1677">
        <f t="shared" si="102"/>
        <v>9.0718474000000011</v>
      </c>
      <c r="K1677">
        <v>9.9740000000000002</v>
      </c>
      <c r="L1677">
        <f t="shared" si="103"/>
        <v>90.482605967600009</v>
      </c>
    </row>
    <row r="1678" spans="1:12" x14ac:dyDescent="0.2">
      <c r="A1678" s="4">
        <v>43434</v>
      </c>
      <c r="B1678" t="s">
        <v>517</v>
      </c>
      <c r="C1678">
        <v>1</v>
      </c>
      <c r="D1678">
        <v>2</v>
      </c>
      <c r="E1678">
        <v>5</v>
      </c>
      <c r="F1678" t="s">
        <v>393</v>
      </c>
      <c r="G1678" t="s">
        <v>847</v>
      </c>
      <c r="H1678" t="s">
        <v>1073</v>
      </c>
      <c r="I1678">
        <f t="shared" si="104"/>
        <v>10</v>
      </c>
      <c r="J1678">
        <f t="shared" si="102"/>
        <v>4.5359237000000006</v>
      </c>
      <c r="K1678">
        <v>9.9740000000000002</v>
      </c>
      <c r="L1678">
        <f t="shared" si="103"/>
        <v>45.241302983800004</v>
      </c>
    </row>
    <row r="1679" spans="1:12" x14ac:dyDescent="0.2">
      <c r="A1679" s="4">
        <v>43434</v>
      </c>
      <c r="B1679" t="s">
        <v>517</v>
      </c>
      <c r="C1679">
        <v>1</v>
      </c>
      <c r="D1679">
        <v>6</v>
      </c>
      <c r="E1679">
        <v>2</v>
      </c>
      <c r="F1679" t="s">
        <v>523</v>
      </c>
      <c r="G1679" t="s">
        <v>847</v>
      </c>
      <c r="H1679" t="s">
        <v>1073</v>
      </c>
      <c r="I1679">
        <f t="shared" si="104"/>
        <v>12</v>
      </c>
      <c r="J1679">
        <f t="shared" si="102"/>
        <v>5.4431084400000005</v>
      </c>
      <c r="K1679">
        <v>9.9740000000000002</v>
      </c>
      <c r="L1679">
        <f t="shared" si="103"/>
        <v>54.289563580560007</v>
      </c>
    </row>
    <row r="1680" spans="1:12" x14ac:dyDescent="0.2">
      <c r="A1680" s="4">
        <v>43434</v>
      </c>
      <c r="B1680" t="s">
        <v>517</v>
      </c>
      <c r="C1680">
        <v>1</v>
      </c>
      <c r="D1680">
        <v>6</v>
      </c>
      <c r="E1680">
        <v>3</v>
      </c>
      <c r="F1680" t="s">
        <v>394</v>
      </c>
      <c r="G1680" t="s">
        <v>847</v>
      </c>
      <c r="H1680" t="s">
        <v>1073</v>
      </c>
      <c r="I1680">
        <f t="shared" si="104"/>
        <v>18</v>
      </c>
      <c r="J1680">
        <f t="shared" si="102"/>
        <v>8.1646626599999994</v>
      </c>
      <c r="K1680">
        <v>9.9740000000000002</v>
      </c>
      <c r="L1680">
        <f t="shared" si="103"/>
        <v>81.434345370839992</v>
      </c>
    </row>
    <row r="1681" spans="1:12" x14ac:dyDescent="0.2">
      <c r="A1681" s="4">
        <v>43437</v>
      </c>
      <c r="B1681" t="s">
        <v>517</v>
      </c>
      <c r="C1681">
        <v>4</v>
      </c>
      <c r="D1681">
        <v>4</v>
      </c>
      <c r="E1681">
        <v>5</v>
      </c>
      <c r="F1681" t="s">
        <v>391</v>
      </c>
      <c r="G1681" t="s">
        <v>847</v>
      </c>
      <c r="H1681" t="s">
        <v>1073</v>
      </c>
      <c r="I1681">
        <f t="shared" si="104"/>
        <v>80</v>
      </c>
      <c r="J1681">
        <f t="shared" si="102"/>
        <v>36.287389600000004</v>
      </c>
      <c r="K1681">
        <v>9.9740000000000002</v>
      </c>
      <c r="L1681">
        <f t="shared" si="103"/>
        <v>361.93042387040003</v>
      </c>
    </row>
    <row r="1682" spans="1:12" x14ac:dyDescent="0.2">
      <c r="A1682" s="4">
        <v>43437</v>
      </c>
      <c r="B1682" t="s">
        <v>517</v>
      </c>
      <c r="C1682">
        <v>6</v>
      </c>
      <c r="D1682">
        <v>4</v>
      </c>
      <c r="E1682">
        <v>5</v>
      </c>
      <c r="F1682" t="s">
        <v>392</v>
      </c>
      <c r="G1682" t="s">
        <v>847</v>
      </c>
      <c r="H1682" t="s">
        <v>1073</v>
      </c>
      <c r="I1682">
        <f t="shared" si="104"/>
        <v>120</v>
      </c>
      <c r="J1682">
        <f t="shared" si="102"/>
        <v>54.431084400000003</v>
      </c>
      <c r="K1682">
        <v>9.9740000000000002</v>
      </c>
      <c r="L1682">
        <f t="shared" si="103"/>
        <v>542.89563580560002</v>
      </c>
    </row>
    <row r="1683" spans="1:12" x14ac:dyDescent="0.2">
      <c r="A1683" s="4">
        <v>43437</v>
      </c>
      <c r="B1683" t="s">
        <v>517</v>
      </c>
      <c r="C1683">
        <v>3</v>
      </c>
      <c r="D1683">
        <v>2</v>
      </c>
      <c r="E1683">
        <v>5</v>
      </c>
      <c r="F1683" t="s">
        <v>393</v>
      </c>
      <c r="G1683" t="s">
        <v>847</v>
      </c>
      <c r="H1683" t="s">
        <v>1073</v>
      </c>
      <c r="I1683">
        <f t="shared" si="104"/>
        <v>30</v>
      </c>
      <c r="J1683">
        <f t="shared" si="102"/>
        <v>13.607771100000001</v>
      </c>
      <c r="K1683">
        <v>9.9740000000000002</v>
      </c>
      <c r="L1683">
        <f t="shared" si="103"/>
        <v>135.72390895140001</v>
      </c>
    </row>
    <row r="1684" spans="1:12" x14ac:dyDescent="0.2">
      <c r="A1684" s="4">
        <v>43439</v>
      </c>
      <c r="B1684" t="s">
        <v>517</v>
      </c>
      <c r="C1684">
        <v>1</v>
      </c>
      <c r="D1684">
        <v>10</v>
      </c>
      <c r="E1684">
        <v>3</v>
      </c>
      <c r="F1684" t="s">
        <v>587</v>
      </c>
      <c r="G1684" t="s">
        <v>847</v>
      </c>
      <c r="H1684" t="s">
        <v>1073</v>
      </c>
      <c r="I1684">
        <f t="shared" si="104"/>
        <v>30</v>
      </c>
      <c r="J1684">
        <f t="shared" si="102"/>
        <v>13.607771100000001</v>
      </c>
      <c r="K1684">
        <v>9.9740000000000002</v>
      </c>
      <c r="L1684">
        <f t="shared" si="103"/>
        <v>135.72390895140001</v>
      </c>
    </row>
    <row r="1685" spans="1:12" x14ac:dyDescent="0.2">
      <c r="A1685" s="4">
        <v>43439</v>
      </c>
      <c r="B1685" t="s">
        <v>517</v>
      </c>
      <c r="C1685">
        <v>2</v>
      </c>
      <c r="D1685">
        <v>4</v>
      </c>
      <c r="E1685">
        <v>5</v>
      </c>
      <c r="F1685" t="s">
        <v>390</v>
      </c>
      <c r="G1685" t="s">
        <v>847</v>
      </c>
      <c r="H1685" t="s">
        <v>1073</v>
      </c>
      <c r="I1685">
        <f t="shared" si="104"/>
        <v>40</v>
      </c>
      <c r="J1685">
        <f t="shared" si="102"/>
        <v>18.143694800000002</v>
      </c>
      <c r="K1685">
        <v>9.9740000000000002</v>
      </c>
      <c r="L1685">
        <f t="shared" si="103"/>
        <v>180.96521193520002</v>
      </c>
    </row>
    <row r="1686" spans="1:12" x14ac:dyDescent="0.2">
      <c r="A1686" s="4">
        <v>43439</v>
      </c>
      <c r="B1686" t="s">
        <v>517</v>
      </c>
      <c r="C1686">
        <v>2</v>
      </c>
      <c r="D1686">
        <v>4</v>
      </c>
      <c r="E1686">
        <v>5</v>
      </c>
      <c r="F1686" t="s">
        <v>391</v>
      </c>
      <c r="G1686" t="s">
        <v>847</v>
      </c>
      <c r="H1686" t="s">
        <v>1073</v>
      </c>
      <c r="I1686">
        <f t="shared" si="104"/>
        <v>40</v>
      </c>
      <c r="J1686">
        <f t="shared" si="102"/>
        <v>18.143694800000002</v>
      </c>
      <c r="K1686">
        <v>9.9740000000000002</v>
      </c>
      <c r="L1686">
        <f t="shared" si="103"/>
        <v>180.96521193520002</v>
      </c>
    </row>
    <row r="1687" spans="1:12" x14ac:dyDescent="0.2">
      <c r="A1687" s="4">
        <v>43439</v>
      </c>
      <c r="B1687" t="s">
        <v>517</v>
      </c>
      <c r="C1687">
        <v>5</v>
      </c>
      <c r="D1687">
        <v>4</v>
      </c>
      <c r="E1687">
        <v>5</v>
      </c>
      <c r="F1687" t="s">
        <v>392</v>
      </c>
      <c r="G1687" t="s">
        <v>847</v>
      </c>
      <c r="H1687" t="s">
        <v>1073</v>
      </c>
      <c r="I1687">
        <f t="shared" si="104"/>
        <v>100</v>
      </c>
      <c r="J1687">
        <f t="shared" si="102"/>
        <v>45.359237</v>
      </c>
      <c r="K1687">
        <v>9.9740000000000002</v>
      </c>
      <c r="L1687">
        <f t="shared" si="103"/>
        <v>452.413029838</v>
      </c>
    </row>
    <row r="1688" spans="1:12" x14ac:dyDescent="0.2">
      <c r="A1688" s="4">
        <v>43439</v>
      </c>
      <c r="B1688" t="s">
        <v>517</v>
      </c>
      <c r="C1688">
        <v>1</v>
      </c>
      <c r="D1688">
        <v>4</v>
      </c>
      <c r="E1688">
        <v>2.5</v>
      </c>
      <c r="F1688" t="s">
        <v>1008</v>
      </c>
      <c r="G1688" t="s">
        <v>847</v>
      </c>
      <c r="H1688" t="s">
        <v>1073</v>
      </c>
      <c r="I1688">
        <f t="shared" si="104"/>
        <v>10</v>
      </c>
      <c r="J1688">
        <f t="shared" si="102"/>
        <v>4.5359237000000006</v>
      </c>
      <c r="K1688">
        <v>9.9740000000000002</v>
      </c>
      <c r="L1688">
        <f t="shared" si="103"/>
        <v>45.241302983800004</v>
      </c>
    </row>
    <row r="1689" spans="1:12" x14ac:dyDescent="0.2">
      <c r="A1689" s="4">
        <v>43439</v>
      </c>
      <c r="B1689" t="s">
        <v>517</v>
      </c>
      <c r="C1689">
        <v>1</v>
      </c>
      <c r="D1689">
        <v>8</v>
      </c>
      <c r="E1689">
        <v>1.25</v>
      </c>
      <c r="F1689" t="s">
        <v>1010</v>
      </c>
      <c r="G1689" t="s">
        <v>847</v>
      </c>
      <c r="H1689" t="s">
        <v>1073</v>
      </c>
      <c r="I1689">
        <f t="shared" si="104"/>
        <v>10</v>
      </c>
      <c r="J1689">
        <f t="shared" si="102"/>
        <v>4.5359237000000006</v>
      </c>
      <c r="K1689">
        <v>9.9740000000000002</v>
      </c>
      <c r="L1689">
        <f t="shared" si="103"/>
        <v>45.241302983800004</v>
      </c>
    </row>
    <row r="1690" spans="1:12" x14ac:dyDescent="0.2">
      <c r="A1690" s="4">
        <v>43439</v>
      </c>
      <c r="B1690" t="s">
        <v>517</v>
      </c>
      <c r="C1690">
        <v>2</v>
      </c>
      <c r="D1690">
        <v>4</v>
      </c>
      <c r="E1690">
        <v>2.5</v>
      </c>
      <c r="F1690" t="s">
        <v>1011</v>
      </c>
      <c r="G1690" t="s">
        <v>847</v>
      </c>
      <c r="H1690" t="s">
        <v>1073</v>
      </c>
      <c r="I1690">
        <f t="shared" si="104"/>
        <v>20</v>
      </c>
      <c r="J1690">
        <f t="shared" si="102"/>
        <v>9.0718474000000011</v>
      </c>
      <c r="K1690">
        <v>9.9740000000000002</v>
      </c>
      <c r="L1690">
        <f t="shared" si="103"/>
        <v>90.482605967600009</v>
      </c>
    </row>
    <row r="1691" spans="1:12" x14ac:dyDescent="0.2">
      <c r="A1691" s="4">
        <v>43399</v>
      </c>
      <c r="B1691" t="s">
        <v>175</v>
      </c>
      <c r="C1691" s="37">
        <v>1</v>
      </c>
      <c r="D1691" s="37">
        <v>1</v>
      </c>
      <c r="E1691">
        <v>80</v>
      </c>
      <c r="F1691" t="s">
        <v>31</v>
      </c>
      <c r="G1691" t="s">
        <v>755</v>
      </c>
      <c r="H1691" s="9" t="s">
        <v>1072</v>
      </c>
      <c r="I1691">
        <f t="shared" si="104"/>
        <v>80</v>
      </c>
      <c r="J1691">
        <f t="shared" si="102"/>
        <v>36.287389600000004</v>
      </c>
      <c r="K1691">
        <v>4.1879999999999997</v>
      </c>
      <c r="L1691">
        <f t="shared" si="103"/>
        <v>151.9715876448</v>
      </c>
    </row>
    <row r="1692" spans="1:12" x14ac:dyDescent="0.2">
      <c r="A1692" s="4">
        <v>43403</v>
      </c>
      <c r="B1692" t="s">
        <v>175</v>
      </c>
      <c r="C1692" s="37">
        <v>1</v>
      </c>
      <c r="D1692" s="37">
        <v>1</v>
      </c>
      <c r="E1692">
        <v>280</v>
      </c>
      <c r="F1692" t="s">
        <v>31</v>
      </c>
      <c r="G1692" t="s">
        <v>755</v>
      </c>
      <c r="H1692" s="9" t="s">
        <v>1072</v>
      </c>
      <c r="I1692">
        <f t="shared" si="104"/>
        <v>280</v>
      </c>
      <c r="J1692">
        <f t="shared" si="102"/>
        <v>127.00586360000001</v>
      </c>
      <c r="K1692">
        <v>4.1879999999999997</v>
      </c>
      <c r="L1692">
        <f t="shared" si="103"/>
        <v>531.90055675680003</v>
      </c>
    </row>
    <row r="1693" spans="1:12" x14ac:dyDescent="0.2">
      <c r="A1693" s="4">
        <v>43440</v>
      </c>
      <c r="B1693" t="s">
        <v>201</v>
      </c>
      <c r="C1693">
        <v>15</v>
      </c>
      <c r="D1693" s="28">
        <v>1</v>
      </c>
      <c r="E1693">
        <v>20</v>
      </c>
      <c r="F1693" s="9" t="s">
        <v>51</v>
      </c>
      <c r="G1693" s="9" t="s">
        <v>755</v>
      </c>
      <c r="H1693" s="9" t="s">
        <v>1072</v>
      </c>
      <c r="I1693">
        <f t="shared" si="104"/>
        <v>300</v>
      </c>
      <c r="J1693">
        <f t="shared" si="102"/>
        <v>136.07771100000002</v>
      </c>
      <c r="K1693">
        <v>4.1879999999999997</v>
      </c>
      <c r="L1693">
        <f t="shared" si="103"/>
        <v>569.89345366800001</v>
      </c>
    </row>
    <row r="1694" spans="1:12" x14ac:dyDescent="0.2">
      <c r="A1694" s="4">
        <v>43440</v>
      </c>
      <c r="B1694" t="s">
        <v>201</v>
      </c>
      <c r="C1694">
        <v>15</v>
      </c>
      <c r="D1694" s="28">
        <v>1</v>
      </c>
      <c r="E1694">
        <v>20</v>
      </c>
      <c r="F1694" s="9" t="s">
        <v>473</v>
      </c>
      <c r="G1694" s="9" t="s">
        <v>755</v>
      </c>
      <c r="H1694" s="9" t="s">
        <v>1072</v>
      </c>
      <c r="I1694">
        <f t="shared" si="104"/>
        <v>300</v>
      </c>
      <c r="J1694">
        <f t="shared" si="102"/>
        <v>136.07771100000002</v>
      </c>
      <c r="K1694">
        <v>4.1879999999999997</v>
      </c>
      <c r="L1694">
        <f t="shared" si="103"/>
        <v>569.89345366800001</v>
      </c>
    </row>
    <row r="1695" spans="1:12" x14ac:dyDescent="0.2">
      <c r="A1695" s="4">
        <v>43437</v>
      </c>
      <c r="B1695" t="s">
        <v>201</v>
      </c>
      <c r="C1695">
        <v>15</v>
      </c>
      <c r="D1695" s="28">
        <v>1</v>
      </c>
      <c r="E1695">
        <v>20</v>
      </c>
      <c r="F1695" s="9" t="s">
        <v>51</v>
      </c>
      <c r="G1695" s="9" t="s">
        <v>755</v>
      </c>
      <c r="H1695" s="9" t="s">
        <v>1072</v>
      </c>
      <c r="I1695">
        <f t="shared" si="104"/>
        <v>300</v>
      </c>
      <c r="J1695">
        <f t="shared" si="102"/>
        <v>136.07771100000002</v>
      </c>
      <c r="K1695">
        <v>4.1879999999999997</v>
      </c>
      <c r="L1695">
        <f t="shared" si="103"/>
        <v>569.89345366800001</v>
      </c>
    </row>
    <row r="1696" spans="1:12" x14ac:dyDescent="0.2">
      <c r="A1696" s="4">
        <v>43437</v>
      </c>
      <c r="B1696" t="s">
        <v>201</v>
      </c>
      <c r="C1696">
        <v>15</v>
      </c>
      <c r="D1696" s="28">
        <v>1</v>
      </c>
      <c r="E1696">
        <v>20</v>
      </c>
      <c r="F1696" s="9" t="s">
        <v>473</v>
      </c>
      <c r="G1696" s="9" t="s">
        <v>755</v>
      </c>
      <c r="H1696" s="9" t="s">
        <v>1072</v>
      </c>
      <c r="I1696">
        <f t="shared" si="104"/>
        <v>300</v>
      </c>
      <c r="J1696">
        <f t="shared" si="102"/>
        <v>136.07771100000002</v>
      </c>
      <c r="K1696">
        <v>4.1879999999999997</v>
      </c>
      <c r="L1696">
        <f t="shared" si="103"/>
        <v>569.89345366800001</v>
      </c>
    </row>
    <row r="1697" spans="1:12" x14ac:dyDescent="0.2">
      <c r="A1697" s="4">
        <v>43437</v>
      </c>
      <c r="B1697" t="s">
        <v>201</v>
      </c>
      <c r="C1697">
        <v>16</v>
      </c>
      <c r="D1697" s="28">
        <v>1</v>
      </c>
      <c r="E1697">
        <v>20</v>
      </c>
      <c r="F1697" s="9" t="s">
        <v>474</v>
      </c>
      <c r="G1697" s="9" t="s">
        <v>755</v>
      </c>
      <c r="H1697" s="9" t="s">
        <v>1072</v>
      </c>
      <c r="I1697">
        <f t="shared" si="104"/>
        <v>320</v>
      </c>
      <c r="J1697">
        <f t="shared" si="102"/>
        <v>145.14955840000002</v>
      </c>
      <c r="K1697">
        <v>4.1879999999999997</v>
      </c>
      <c r="L1697">
        <f t="shared" si="103"/>
        <v>607.88635057919998</v>
      </c>
    </row>
    <row r="1698" spans="1:12" x14ac:dyDescent="0.2">
      <c r="A1698" s="4">
        <v>43437</v>
      </c>
      <c r="B1698" t="s">
        <v>201</v>
      </c>
      <c r="C1698">
        <v>4</v>
      </c>
      <c r="D1698" s="28">
        <v>1</v>
      </c>
      <c r="E1698">
        <v>40</v>
      </c>
      <c r="F1698" s="9" t="s">
        <v>52</v>
      </c>
      <c r="G1698" s="9" t="s">
        <v>755</v>
      </c>
      <c r="H1698" s="9" t="s">
        <v>1072</v>
      </c>
      <c r="I1698">
        <f t="shared" si="104"/>
        <v>160</v>
      </c>
      <c r="J1698">
        <f t="shared" si="102"/>
        <v>72.574779200000009</v>
      </c>
      <c r="K1698">
        <v>4.1879999999999997</v>
      </c>
      <c r="L1698">
        <f t="shared" si="103"/>
        <v>303.94317528959999</v>
      </c>
    </row>
    <row r="1699" spans="1:12" x14ac:dyDescent="0.2">
      <c r="A1699" s="4">
        <v>43438</v>
      </c>
      <c r="B1699" t="s">
        <v>201</v>
      </c>
      <c r="C1699">
        <v>15</v>
      </c>
      <c r="D1699" s="28">
        <v>1</v>
      </c>
      <c r="E1699">
        <v>20</v>
      </c>
      <c r="F1699" s="9" t="s">
        <v>51</v>
      </c>
      <c r="G1699" s="9" t="s">
        <v>755</v>
      </c>
      <c r="H1699" s="9" t="s">
        <v>1072</v>
      </c>
      <c r="I1699">
        <f t="shared" si="104"/>
        <v>300</v>
      </c>
      <c r="J1699">
        <f t="shared" si="102"/>
        <v>136.07771100000002</v>
      </c>
      <c r="K1699">
        <v>4.1879999999999997</v>
      </c>
      <c r="L1699">
        <f t="shared" si="103"/>
        <v>569.89345366800001</v>
      </c>
    </row>
    <row r="1700" spans="1:12" x14ac:dyDescent="0.2">
      <c r="A1700" s="4">
        <v>43439</v>
      </c>
      <c r="B1700" t="s">
        <v>201</v>
      </c>
      <c r="C1700">
        <v>15</v>
      </c>
      <c r="D1700" s="28">
        <v>1</v>
      </c>
      <c r="E1700">
        <v>20</v>
      </c>
      <c r="F1700" s="9" t="s">
        <v>51</v>
      </c>
      <c r="G1700" s="9" t="s">
        <v>755</v>
      </c>
      <c r="H1700" s="9" t="s">
        <v>1072</v>
      </c>
      <c r="I1700">
        <f t="shared" si="104"/>
        <v>300</v>
      </c>
      <c r="J1700">
        <f t="shared" si="102"/>
        <v>136.07771100000002</v>
      </c>
      <c r="K1700">
        <v>4.1879999999999997</v>
      </c>
      <c r="L1700">
        <f t="shared" si="103"/>
        <v>569.89345366800001</v>
      </c>
    </row>
    <row r="1701" spans="1:12" x14ac:dyDescent="0.2">
      <c r="A1701" s="4">
        <v>43439</v>
      </c>
      <c r="B1701" t="s">
        <v>201</v>
      </c>
      <c r="C1701">
        <v>15</v>
      </c>
      <c r="D1701" s="28">
        <v>1</v>
      </c>
      <c r="E1701">
        <v>20</v>
      </c>
      <c r="F1701" s="9" t="s">
        <v>474</v>
      </c>
      <c r="G1701" s="9" t="s">
        <v>755</v>
      </c>
      <c r="H1701" s="9" t="s">
        <v>1072</v>
      </c>
      <c r="I1701">
        <f t="shared" si="104"/>
        <v>300</v>
      </c>
      <c r="J1701">
        <f t="shared" si="102"/>
        <v>136.07771100000002</v>
      </c>
      <c r="K1701">
        <v>4.1879999999999997</v>
      </c>
      <c r="L1701">
        <f t="shared" si="103"/>
        <v>569.89345366800001</v>
      </c>
    </row>
    <row r="1702" spans="1:12" x14ac:dyDescent="0.2">
      <c r="A1702" s="4">
        <v>43439</v>
      </c>
      <c r="B1702" t="s">
        <v>201</v>
      </c>
      <c r="C1702">
        <v>1</v>
      </c>
      <c r="D1702" s="28">
        <v>1</v>
      </c>
      <c r="E1702">
        <v>20</v>
      </c>
      <c r="F1702" s="9" t="s">
        <v>475</v>
      </c>
      <c r="G1702" s="9" t="s">
        <v>755</v>
      </c>
      <c r="H1702" s="9" t="s">
        <v>1072</v>
      </c>
      <c r="I1702">
        <f t="shared" ref="I1702:I1709" si="105">C1702*D1702*E1702</f>
        <v>20</v>
      </c>
      <c r="J1702">
        <f t="shared" si="102"/>
        <v>9.0718474000000011</v>
      </c>
      <c r="K1702">
        <v>4.1879999999999997</v>
      </c>
      <c r="L1702">
        <f t="shared" si="103"/>
        <v>37.992896911199999</v>
      </c>
    </row>
    <row r="1703" spans="1:12" x14ac:dyDescent="0.2">
      <c r="A1703" s="4">
        <v>43439</v>
      </c>
      <c r="B1703" t="s">
        <v>201</v>
      </c>
      <c r="C1703">
        <v>1</v>
      </c>
      <c r="D1703" s="28">
        <v>1</v>
      </c>
      <c r="E1703">
        <v>40</v>
      </c>
      <c r="F1703" s="9" t="s">
        <v>52</v>
      </c>
      <c r="G1703" s="9" t="s">
        <v>755</v>
      </c>
      <c r="H1703" s="9" t="s">
        <v>1072</v>
      </c>
      <c r="I1703">
        <f t="shared" si="105"/>
        <v>40</v>
      </c>
      <c r="J1703">
        <f t="shared" si="102"/>
        <v>18.143694800000002</v>
      </c>
      <c r="K1703">
        <v>4.1879999999999997</v>
      </c>
      <c r="L1703">
        <f t="shared" si="103"/>
        <v>75.985793822399998</v>
      </c>
    </row>
    <row r="1704" spans="1:12" x14ac:dyDescent="0.2">
      <c r="A1704" s="4">
        <v>43434</v>
      </c>
      <c r="B1704" t="s">
        <v>538</v>
      </c>
      <c r="C1704">
        <v>8</v>
      </c>
      <c r="D1704">
        <v>6</v>
      </c>
      <c r="E1704">
        <v>10</v>
      </c>
      <c r="F1704" t="s">
        <v>539</v>
      </c>
      <c r="G1704" t="s">
        <v>896</v>
      </c>
      <c r="H1704" s="6" t="s">
        <v>1071</v>
      </c>
      <c r="I1704">
        <f t="shared" si="105"/>
        <v>480</v>
      </c>
      <c r="J1704">
        <f t="shared" si="102"/>
        <v>217.72433760000001</v>
      </c>
      <c r="K1704">
        <v>0.49099999999999999</v>
      </c>
      <c r="L1704">
        <f t="shared" si="103"/>
        <v>106.9026497616</v>
      </c>
    </row>
    <row r="1705" spans="1:12" x14ac:dyDescent="0.2">
      <c r="A1705" s="4">
        <v>43439</v>
      </c>
      <c r="B1705" t="s">
        <v>538</v>
      </c>
      <c r="C1705">
        <v>3</v>
      </c>
      <c r="D1705">
        <v>6</v>
      </c>
      <c r="E1705">
        <v>10</v>
      </c>
      <c r="F1705" t="s">
        <v>539</v>
      </c>
      <c r="G1705" t="s">
        <v>896</v>
      </c>
      <c r="H1705" s="6" t="s">
        <v>1071</v>
      </c>
      <c r="I1705">
        <f t="shared" si="105"/>
        <v>180</v>
      </c>
      <c r="J1705">
        <f t="shared" si="102"/>
        <v>81.646626600000005</v>
      </c>
      <c r="K1705">
        <v>0.49099999999999999</v>
      </c>
      <c r="L1705">
        <f t="shared" si="103"/>
        <v>40.088493660600001</v>
      </c>
    </row>
    <row r="1706" spans="1:12" x14ac:dyDescent="0.2">
      <c r="A1706" s="4">
        <v>43434</v>
      </c>
      <c r="B1706" t="s">
        <v>531</v>
      </c>
      <c r="C1706">
        <v>11</v>
      </c>
      <c r="D1706">
        <v>100</v>
      </c>
      <c r="E1706">
        <f>2.6/16</f>
        <v>0.16250000000000001</v>
      </c>
      <c r="F1706" t="s">
        <v>532</v>
      </c>
      <c r="G1706" s="6" t="s">
        <v>853</v>
      </c>
      <c r="H1706" s="6" t="s">
        <v>1071</v>
      </c>
      <c r="I1706">
        <f t="shared" si="105"/>
        <v>178.75</v>
      </c>
      <c r="J1706">
        <f t="shared" si="102"/>
        <v>81.079636137500003</v>
      </c>
      <c r="K1706">
        <v>1.2</v>
      </c>
      <c r="L1706">
        <f t="shared" si="103"/>
        <v>97.295563365000007</v>
      </c>
    </row>
    <row r="1707" spans="1:12" x14ac:dyDescent="0.2">
      <c r="A1707" s="4">
        <v>43434</v>
      </c>
      <c r="B1707" t="s">
        <v>48</v>
      </c>
      <c r="C1707" s="28">
        <v>1</v>
      </c>
      <c r="D1707" s="28">
        <v>1</v>
      </c>
      <c r="E1707">
        <f>30*(2.8/16)</f>
        <v>5.25</v>
      </c>
      <c r="F1707" t="s">
        <v>300</v>
      </c>
      <c r="G1707" t="s">
        <v>300</v>
      </c>
      <c r="H1707" s="6" t="s">
        <v>1071</v>
      </c>
      <c r="I1707">
        <f t="shared" si="105"/>
        <v>5.25</v>
      </c>
      <c r="J1707">
        <f t="shared" si="102"/>
        <v>2.3813599425</v>
      </c>
      <c r="K1707">
        <v>0.26100000000000001</v>
      </c>
      <c r="L1707">
        <f t="shared" si="103"/>
        <v>0.62153494499250006</v>
      </c>
    </row>
    <row r="1708" spans="1:12" x14ac:dyDescent="0.2">
      <c r="A1708" s="4">
        <v>43437</v>
      </c>
      <c r="B1708" t="s">
        <v>48</v>
      </c>
      <c r="C1708" s="28">
        <v>1</v>
      </c>
      <c r="D1708" s="28">
        <v>1</v>
      </c>
      <c r="E1708">
        <f>30*(2.8/16)</f>
        <v>5.25</v>
      </c>
      <c r="F1708" t="s">
        <v>300</v>
      </c>
      <c r="G1708" t="s">
        <v>300</v>
      </c>
      <c r="H1708" s="6" t="s">
        <v>1071</v>
      </c>
      <c r="I1708">
        <f t="shared" si="105"/>
        <v>5.25</v>
      </c>
      <c r="J1708">
        <f t="shared" si="102"/>
        <v>2.3813599425</v>
      </c>
      <c r="K1708">
        <v>0.26100000000000001</v>
      </c>
      <c r="L1708">
        <f t="shared" si="103"/>
        <v>0.62153494499250006</v>
      </c>
    </row>
    <row r="1709" spans="1:12" x14ac:dyDescent="0.2">
      <c r="A1709" s="4">
        <v>43438</v>
      </c>
      <c r="B1709" t="s">
        <v>48</v>
      </c>
      <c r="C1709" s="28">
        <v>1</v>
      </c>
      <c r="D1709" s="28">
        <v>1</v>
      </c>
      <c r="E1709">
        <f>30*(2.8/16)</f>
        <v>5.25</v>
      </c>
      <c r="F1709" t="s">
        <v>300</v>
      </c>
      <c r="G1709" t="s">
        <v>300</v>
      </c>
      <c r="H1709" s="6" t="s">
        <v>1071</v>
      </c>
      <c r="I1709">
        <f t="shared" si="105"/>
        <v>5.25</v>
      </c>
      <c r="J1709">
        <f t="shared" si="102"/>
        <v>2.3813599425</v>
      </c>
      <c r="K1709">
        <v>0.26100000000000001</v>
      </c>
      <c r="L1709">
        <f t="shared" si="103"/>
        <v>0.62153494499250006</v>
      </c>
    </row>
    <row r="1710" spans="1:12" x14ac:dyDescent="0.2">
      <c r="A1710" s="4">
        <v>43439</v>
      </c>
      <c r="B1710" t="s">
        <v>538</v>
      </c>
      <c r="C1710">
        <v>1</v>
      </c>
      <c r="D1710">
        <v>6</v>
      </c>
      <c r="E1710" t="s">
        <v>422</v>
      </c>
      <c r="F1710" t="s">
        <v>423</v>
      </c>
      <c r="G1710" s="14" t="s">
        <v>919</v>
      </c>
      <c r="H1710" s="6" t="s">
        <v>1071</v>
      </c>
      <c r="I1710">
        <v>0</v>
      </c>
      <c r="J1710">
        <f t="shared" si="102"/>
        <v>0</v>
      </c>
      <c r="K1710">
        <v>33.646999999999998</v>
      </c>
      <c r="L1710">
        <f t="shared" si="103"/>
        <v>0</v>
      </c>
    </row>
    <row r="1711" spans="1:12" x14ac:dyDescent="0.2">
      <c r="A1711" s="4">
        <v>43403</v>
      </c>
      <c r="B1711" t="s">
        <v>291</v>
      </c>
      <c r="C1711" s="37">
        <v>1</v>
      </c>
      <c r="D1711" s="37">
        <v>1</v>
      </c>
      <c r="E1711">
        <v>10</v>
      </c>
      <c r="F1711" t="s">
        <v>292</v>
      </c>
      <c r="G1711" t="s">
        <v>809</v>
      </c>
      <c r="H1711" s="9" t="s">
        <v>1071</v>
      </c>
      <c r="I1711">
        <f t="shared" ref="I1711:I1732" si="106">C1711*D1711*E1711</f>
        <v>10</v>
      </c>
      <c r="J1711">
        <f t="shared" si="102"/>
        <v>4.5359237000000006</v>
      </c>
      <c r="K1711">
        <v>6.2789999999999999</v>
      </c>
      <c r="L1711">
        <f t="shared" si="103"/>
        <v>28.481064912300003</v>
      </c>
    </row>
    <row r="1712" spans="1:12" x14ac:dyDescent="0.2">
      <c r="A1712" s="4">
        <v>43403</v>
      </c>
      <c r="B1712" t="s">
        <v>291</v>
      </c>
      <c r="C1712" s="37">
        <v>1</v>
      </c>
      <c r="D1712" s="37">
        <v>1</v>
      </c>
      <c r="E1712" s="8">
        <v>5</v>
      </c>
      <c r="F1712" s="8" t="s">
        <v>293</v>
      </c>
      <c r="G1712" s="8" t="s">
        <v>809</v>
      </c>
      <c r="H1712" s="9" t="s">
        <v>1071</v>
      </c>
      <c r="I1712">
        <f t="shared" si="106"/>
        <v>5</v>
      </c>
      <c r="J1712">
        <f t="shared" si="102"/>
        <v>2.2679618500000003</v>
      </c>
      <c r="K1712" s="8">
        <v>6.2789999999999999</v>
      </c>
      <c r="L1712">
        <f t="shared" si="103"/>
        <v>14.240532456150001</v>
      </c>
    </row>
    <row r="1713" spans="1:12" x14ac:dyDescent="0.2">
      <c r="A1713" s="4">
        <v>43434</v>
      </c>
      <c r="B1713" t="s">
        <v>48</v>
      </c>
      <c r="C1713" s="28">
        <v>2</v>
      </c>
      <c r="D1713" s="28">
        <v>1</v>
      </c>
      <c r="E1713">
        <v>10</v>
      </c>
      <c r="F1713" t="s">
        <v>344</v>
      </c>
      <c r="G1713" t="s">
        <v>794</v>
      </c>
      <c r="H1713" s="6" t="s">
        <v>1071</v>
      </c>
      <c r="I1713">
        <f t="shared" si="106"/>
        <v>20</v>
      </c>
      <c r="J1713">
        <f t="shared" si="102"/>
        <v>9.0718474000000011</v>
      </c>
      <c r="K1713">
        <v>0.20599999999999999</v>
      </c>
      <c r="L1713">
        <f t="shared" si="103"/>
        <v>1.8688005644000001</v>
      </c>
    </row>
    <row r="1714" spans="1:12" x14ac:dyDescent="0.2">
      <c r="A1714" s="4">
        <v>43435</v>
      </c>
      <c r="B1714" t="s">
        <v>48</v>
      </c>
      <c r="C1714" s="28">
        <v>2</v>
      </c>
      <c r="D1714" s="28">
        <v>1</v>
      </c>
      <c r="E1714">
        <v>10</v>
      </c>
      <c r="F1714" t="s">
        <v>344</v>
      </c>
      <c r="G1714" t="s">
        <v>794</v>
      </c>
      <c r="H1714" s="6" t="s">
        <v>1071</v>
      </c>
      <c r="I1714">
        <f t="shared" si="106"/>
        <v>20</v>
      </c>
      <c r="J1714">
        <f t="shared" si="102"/>
        <v>9.0718474000000011</v>
      </c>
      <c r="K1714">
        <v>0.20599999999999999</v>
      </c>
      <c r="L1714">
        <f t="shared" si="103"/>
        <v>1.8688005644000001</v>
      </c>
    </row>
    <row r="1715" spans="1:12" x14ac:dyDescent="0.2">
      <c r="A1715" s="4">
        <v>43438</v>
      </c>
      <c r="B1715" t="s">
        <v>48</v>
      </c>
      <c r="C1715" s="28">
        <v>4</v>
      </c>
      <c r="D1715" s="28">
        <v>1</v>
      </c>
      <c r="E1715">
        <v>10</v>
      </c>
      <c r="F1715" t="s">
        <v>344</v>
      </c>
      <c r="G1715" t="s">
        <v>794</v>
      </c>
      <c r="H1715" s="6" t="s">
        <v>1071</v>
      </c>
      <c r="I1715">
        <f t="shared" si="106"/>
        <v>40</v>
      </c>
      <c r="J1715">
        <f t="shared" si="102"/>
        <v>18.143694800000002</v>
      </c>
      <c r="K1715">
        <v>0.20599999999999999</v>
      </c>
      <c r="L1715">
        <f t="shared" si="103"/>
        <v>3.7376011288000002</v>
      </c>
    </row>
    <row r="1716" spans="1:12" x14ac:dyDescent="0.2">
      <c r="A1716" s="4">
        <v>43434</v>
      </c>
      <c r="B1716" t="s">
        <v>538</v>
      </c>
      <c r="C1716">
        <v>4</v>
      </c>
      <c r="D1716">
        <v>2</v>
      </c>
      <c r="E1716">
        <f>1.5*9.59</f>
        <v>14.385</v>
      </c>
      <c r="F1716" t="s">
        <v>563</v>
      </c>
      <c r="G1716" s="6" t="s">
        <v>980</v>
      </c>
      <c r="H1716" s="9" t="s">
        <v>1071</v>
      </c>
      <c r="I1716">
        <f t="shared" si="106"/>
        <v>115.08</v>
      </c>
      <c r="J1716">
        <f t="shared" si="102"/>
        <v>52.199409939600002</v>
      </c>
      <c r="K1716">
        <v>3.33</v>
      </c>
      <c r="L1716">
        <f t="shared" si="103"/>
        <v>173.82403509886802</v>
      </c>
    </row>
    <row r="1717" spans="1:12" x14ac:dyDescent="0.2">
      <c r="A1717" s="4">
        <v>43437</v>
      </c>
      <c r="B1717" t="s">
        <v>538</v>
      </c>
      <c r="C1717">
        <v>1</v>
      </c>
      <c r="D1717">
        <v>6</v>
      </c>
      <c r="E1717">
        <v>7.125</v>
      </c>
      <c r="F1717" t="s">
        <v>1007</v>
      </c>
      <c r="G1717" s="6" t="s">
        <v>980</v>
      </c>
      <c r="H1717" s="9" t="s">
        <v>1071</v>
      </c>
      <c r="I1717">
        <f t="shared" si="106"/>
        <v>42.75</v>
      </c>
      <c r="J1717">
        <f t="shared" si="102"/>
        <v>19.391073817500001</v>
      </c>
      <c r="K1717">
        <v>3.33</v>
      </c>
      <c r="L1717">
        <f t="shared" si="103"/>
        <v>64.572275812275009</v>
      </c>
    </row>
    <row r="1718" spans="1:12" x14ac:dyDescent="0.2">
      <c r="A1718" s="4">
        <v>43439</v>
      </c>
      <c r="B1718" t="s">
        <v>538</v>
      </c>
      <c r="C1718">
        <v>2</v>
      </c>
      <c r="D1718">
        <v>6</v>
      </c>
      <c r="E1718">
        <v>7.125</v>
      </c>
      <c r="F1718" t="s">
        <v>1007</v>
      </c>
      <c r="G1718" s="6" t="s">
        <v>980</v>
      </c>
      <c r="H1718" s="9" t="s">
        <v>1071</v>
      </c>
      <c r="I1718">
        <f t="shared" si="106"/>
        <v>85.5</v>
      </c>
      <c r="J1718">
        <f t="shared" si="102"/>
        <v>38.782147635000001</v>
      </c>
      <c r="K1718">
        <v>3.33</v>
      </c>
      <c r="L1718">
        <f t="shared" si="103"/>
        <v>129.14455162455002</v>
      </c>
    </row>
    <row r="1719" spans="1:12" x14ac:dyDescent="0.2">
      <c r="A1719" s="4">
        <v>43434</v>
      </c>
      <c r="B1719" t="s">
        <v>538</v>
      </c>
      <c r="C1719">
        <v>2</v>
      </c>
      <c r="D1719">
        <v>2</v>
      </c>
      <c r="E1719">
        <f>105/16</f>
        <v>6.5625</v>
      </c>
      <c r="F1719" t="s">
        <v>561</v>
      </c>
      <c r="G1719" s="6" t="s">
        <v>980</v>
      </c>
      <c r="H1719" s="9" t="s">
        <v>1071</v>
      </c>
      <c r="I1719">
        <f t="shared" si="106"/>
        <v>26.25</v>
      </c>
      <c r="J1719">
        <f t="shared" si="102"/>
        <v>11.9067997125</v>
      </c>
      <c r="K1719">
        <v>3.33</v>
      </c>
      <c r="L1719">
        <f t="shared" si="103"/>
        <v>39.649643042625001</v>
      </c>
    </row>
    <row r="1720" spans="1:12" x14ac:dyDescent="0.2">
      <c r="A1720" s="4">
        <v>43439</v>
      </c>
      <c r="B1720" t="s">
        <v>538</v>
      </c>
      <c r="C1720">
        <v>1</v>
      </c>
      <c r="D1720">
        <v>4</v>
      </c>
      <c r="E1720">
        <f>105/16</f>
        <v>6.5625</v>
      </c>
      <c r="F1720" t="s">
        <v>456</v>
      </c>
      <c r="G1720" s="6" t="s">
        <v>980</v>
      </c>
      <c r="H1720" s="9" t="s">
        <v>1071</v>
      </c>
      <c r="I1720">
        <f t="shared" si="106"/>
        <v>26.25</v>
      </c>
      <c r="J1720">
        <f t="shared" si="102"/>
        <v>11.9067997125</v>
      </c>
      <c r="K1720">
        <v>3.33</v>
      </c>
      <c r="L1720">
        <f t="shared" si="103"/>
        <v>39.649643042625001</v>
      </c>
    </row>
    <row r="1721" spans="1:12" x14ac:dyDescent="0.2">
      <c r="A1721" s="4">
        <v>43434</v>
      </c>
      <c r="B1721" t="s">
        <v>538</v>
      </c>
      <c r="C1721">
        <v>1</v>
      </c>
      <c r="D1721">
        <v>6</v>
      </c>
      <c r="E1721">
        <v>5</v>
      </c>
      <c r="F1721" t="s">
        <v>549</v>
      </c>
      <c r="G1721" s="6" t="s">
        <v>980</v>
      </c>
      <c r="H1721" s="9" t="s">
        <v>1071</v>
      </c>
      <c r="I1721">
        <f t="shared" si="106"/>
        <v>30</v>
      </c>
      <c r="J1721">
        <f t="shared" si="102"/>
        <v>13.607771100000001</v>
      </c>
      <c r="K1721">
        <v>3.33</v>
      </c>
      <c r="L1721">
        <f t="shared" si="103"/>
        <v>45.313877763000001</v>
      </c>
    </row>
    <row r="1722" spans="1:12" x14ac:dyDescent="0.2">
      <c r="A1722" s="4">
        <v>43437</v>
      </c>
      <c r="B1722" t="s">
        <v>538</v>
      </c>
      <c r="C1722">
        <v>1</v>
      </c>
      <c r="D1722">
        <v>4</v>
      </c>
      <c r="E1722">
        <f>1.13*10.16</f>
        <v>11.480799999999999</v>
      </c>
      <c r="F1722" t="s">
        <v>572</v>
      </c>
      <c r="G1722" s="6" t="s">
        <v>980</v>
      </c>
      <c r="H1722" s="9" t="s">
        <v>1071</v>
      </c>
      <c r="I1722">
        <f t="shared" si="106"/>
        <v>45.923199999999994</v>
      </c>
      <c r="J1722">
        <f t="shared" si="102"/>
        <v>20.830413125983998</v>
      </c>
      <c r="K1722">
        <v>3.33</v>
      </c>
      <c r="L1722">
        <f t="shared" si="103"/>
        <v>69.365275709526713</v>
      </c>
    </row>
    <row r="1723" spans="1:12" x14ac:dyDescent="0.2">
      <c r="A1723" s="4">
        <v>43437</v>
      </c>
      <c r="B1723" t="s">
        <v>538</v>
      </c>
      <c r="C1723">
        <v>1</v>
      </c>
      <c r="D1723">
        <v>12</v>
      </c>
      <c r="E1723">
        <v>1.5625</v>
      </c>
      <c r="F1723" t="s">
        <v>449</v>
      </c>
      <c r="G1723" s="6" t="s">
        <v>980</v>
      </c>
      <c r="H1723" s="9" t="s">
        <v>1071</v>
      </c>
      <c r="I1723">
        <f t="shared" si="106"/>
        <v>18.75</v>
      </c>
      <c r="J1723">
        <f t="shared" si="102"/>
        <v>8.5048569375000014</v>
      </c>
      <c r="K1723">
        <v>3.33</v>
      </c>
      <c r="L1723">
        <f t="shared" si="103"/>
        <v>28.321173601875007</v>
      </c>
    </row>
    <row r="1724" spans="1:12" x14ac:dyDescent="0.2">
      <c r="A1724" s="4">
        <v>43437</v>
      </c>
      <c r="B1724" t="s">
        <v>538</v>
      </c>
      <c r="C1724">
        <v>1</v>
      </c>
      <c r="D1724">
        <v>4</v>
      </c>
      <c r="E1724">
        <f>1.13*10.16</f>
        <v>11.480799999999999</v>
      </c>
      <c r="F1724" t="s">
        <v>584</v>
      </c>
      <c r="G1724" s="6" t="s">
        <v>980</v>
      </c>
      <c r="H1724" s="9" t="s">
        <v>1071</v>
      </c>
      <c r="I1724">
        <f t="shared" si="106"/>
        <v>45.923199999999994</v>
      </c>
      <c r="J1724">
        <f t="shared" si="102"/>
        <v>20.830413125983998</v>
      </c>
      <c r="K1724">
        <v>3.33</v>
      </c>
      <c r="L1724">
        <f t="shared" si="103"/>
        <v>69.365275709526713</v>
      </c>
    </row>
    <row r="1725" spans="1:12" x14ac:dyDescent="0.2">
      <c r="A1725" s="4">
        <v>43437</v>
      </c>
      <c r="B1725" t="s">
        <v>538</v>
      </c>
      <c r="C1725">
        <v>2</v>
      </c>
      <c r="D1725">
        <v>4</v>
      </c>
      <c r="E1725">
        <f>1.13*11.68</f>
        <v>13.198399999999998</v>
      </c>
      <c r="F1725" t="s">
        <v>585</v>
      </c>
      <c r="G1725" s="6" t="s">
        <v>980</v>
      </c>
      <c r="H1725" s="9" t="s">
        <v>1071</v>
      </c>
      <c r="I1725">
        <f t="shared" si="106"/>
        <v>105.58719999999998</v>
      </c>
      <c r="J1725">
        <f t="shared" si="102"/>
        <v>47.893548289663997</v>
      </c>
      <c r="K1725">
        <v>3.33</v>
      </c>
      <c r="L1725">
        <f t="shared" si="103"/>
        <v>159.48551580458113</v>
      </c>
    </row>
    <row r="1726" spans="1:12" x14ac:dyDescent="0.2">
      <c r="A1726" s="4">
        <v>43439</v>
      </c>
      <c r="B1726" t="s">
        <v>538</v>
      </c>
      <c r="C1726">
        <v>1</v>
      </c>
      <c r="D1726">
        <v>24</v>
      </c>
      <c r="E1726">
        <v>0.3125</v>
      </c>
      <c r="F1726" t="s">
        <v>585</v>
      </c>
      <c r="G1726" s="6" t="s">
        <v>980</v>
      </c>
      <c r="H1726" s="9" t="s">
        <v>1071</v>
      </c>
      <c r="I1726">
        <f t="shared" si="106"/>
        <v>7.5</v>
      </c>
      <c r="J1726">
        <f t="shared" si="102"/>
        <v>3.4019427750000002</v>
      </c>
      <c r="K1726">
        <v>3.33</v>
      </c>
      <c r="L1726">
        <f t="shared" si="103"/>
        <v>11.32846944075</v>
      </c>
    </row>
    <row r="1727" spans="1:12" x14ac:dyDescent="0.2">
      <c r="A1727" s="4">
        <v>43439</v>
      </c>
      <c r="B1727" t="s">
        <v>538</v>
      </c>
      <c r="C1727">
        <v>1</v>
      </c>
      <c r="D1727">
        <v>24</v>
      </c>
      <c r="E1727">
        <f>6/16</f>
        <v>0.375</v>
      </c>
      <c r="F1727" t="s">
        <v>594</v>
      </c>
      <c r="G1727" s="6" t="s">
        <v>980</v>
      </c>
      <c r="H1727" s="9" t="s">
        <v>1071</v>
      </c>
      <c r="I1727">
        <f t="shared" si="106"/>
        <v>9</v>
      </c>
      <c r="J1727">
        <f t="shared" si="102"/>
        <v>4.0823313299999997</v>
      </c>
      <c r="K1727">
        <v>3.33</v>
      </c>
      <c r="L1727">
        <f t="shared" si="103"/>
        <v>13.594163328899999</v>
      </c>
    </row>
    <row r="1728" spans="1:12" x14ac:dyDescent="0.2">
      <c r="A1728" s="4">
        <v>43439</v>
      </c>
      <c r="B1728" t="s">
        <v>538</v>
      </c>
      <c r="C1728">
        <v>1</v>
      </c>
      <c r="D1728">
        <v>12</v>
      </c>
      <c r="E1728">
        <v>1.5625</v>
      </c>
      <c r="F1728" t="s">
        <v>449</v>
      </c>
      <c r="G1728" s="6" t="s">
        <v>980</v>
      </c>
      <c r="H1728" s="9" t="s">
        <v>1071</v>
      </c>
      <c r="I1728">
        <f t="shared" si="106"/>
        <v>18.75</v>
      </c>
      <c r="J1728">
        <f t="shared" si="102"/>
        <v>8.5048569375000014</v>
      </c>
      <c r="K1728">
        <v>3.33</v>
      </c>
      <c r="L1728">
        <f t="shared" si="103"/>
        <v>28.321173601875007</v>
      </c>
    </row>
    <row r="1729" spans="1:12" x14ac:dyDescent="0.2">
      <c r="A1729" s="4">
        <v>43439</v>
      </c>
      <c r="B1729" t="s">
        <v>538</v>
      </c>
      <c r="C1729">
        <v>1</v>
      </c>
      <c r="D1729">
        <v>12</v>
      </c>
      <c r="E1729">
        <v>10.4375</v>
      </c>
      <c r="F1729" t="s">
        <v>460</v>
      </c>
      <c r="G1729" s="6" t="s">
        <v>980</v>
      </c>
      <c r="H1729" s="9" t="s">
        <v>1071</v>
      </c>
      <c r="I1729">
        <f t="shared" si="106"/>
        <v>125.25</v>
      </c>
      <c r="J1729">
        <f t="shared" si="102"/>
        <v>56.812444342500001</v>
      </c>
      <c r="K1729">
        <v>3.33</v>
      </c>
      <c r="L1729">
        <f t="shared" si="103"/>
        <v>189.18543966052502</v>
      </c>
    </row>
    <row r="1730" spans="1:12" x14ac:dyDescent="0.2">
      <c r="A1730" s="4">
        <v>43434</v>
      </c>
      <c r="B1730" t="s">
        <v>538</v>
      </c>
      <c r="C1730">
        <v>4</v>
      </c>
      <c r="D1730">
        <v>4</v>
      </c>
      <c r="E1730">
        <v>7.79</v>
      </c>
      <c r="F1730" t="s">
        <v>543</v>
      </c>
      <c r="G1730" s="6" t="s">
        <v>1089</v>
      </c>
      <c r="H1730" s="9" t="s">
        <v>1073</v>
      </c>
      <c r="I1730">
        <f t="shared" si="106"/>
        <v>124.64</v>
      </c>
      <c r="J1730">
        <f t="shared" si="102"/>
        <v>56.535752996799999</v>
      </c>
      <c r="K1730">
        <v>3.33</v>
      </c>
      <c r="L1730">
        <f t="shared" si="103"/>
        <v>188.26405747934399</v>
      </c>
    </row>
    <row r="1731" spans="1:12" x14ac:dyDescent="0.2">
      <c r="A1731" s="4">
        <v>43439</v>
      </c>
      <c r="B1731" t="s">
        <v>538</v>
      </c>
      <c r="C1731">
        <v>3</v>
      </c>
      <c r="D1731">
        <v>4</v>
      </c>
      <c r="E1731">
        <v>7.79</v>
      </c>
      <c r="F1731" t="s">
        <v>543</v>
      </c>
      <c r="G1731" s="6" t="s">
        <v>1089</v>
      </c>
      <c r="H1731" s="9" t="s">
        <v>1073</v>
      </c>
      <c r="I1731">
        <f t="shared" si="106"/>
        <v>93.48</v>
      </c>
      <c r="J1731">
        <f t="shared" ref="J1731:J1794" si="107">CONVERT(I1731,"lbm","kg")</f>
        <v>42.4018147476</v>
      </c>
      <c r="K1731">
        <v>3.33</v>
      </c>
      <c r="L1731">
        <f t="shared" ref="L1731:L1794" si="108">J1731*K1731</f>
        <v>141.19804310950801</v>
      </c>
    </row>
    <row r="1732" spans="1:12" x14ac:dyDescent="0.2">
      <c r="A1732" s="4">
        <v>43437</v>
      </c>
      <c r="B1732" t="s">
        <v>48</v>
      </c>
      <c r="C1732" s="28">
        <v>1</v>
      </c>
      <c r="D1732" s="28">
        <v>1</v>
      </c>
      <c r="E1732">
        <v>20</v>
      </c>
      <c r="F1732" t="s">
        <v>490</v>
      </c>
      <c r="G1732" t="s">
        <v>837</v>
      </c>
      <c r="H1732" s="6" t="s">
        <v>1071</v>
      </c>
      <c r="I1732">
        <f t="shared" si="106"/>
        <v>20</v>
      </c>
      <c r="J1732">
        <f t="shared" si="107"/>
        <v>9.0718474000000011</v>
      </c>
      <c r="K1732">
        <v>0.75700000000000001</v>
      </c>
      <c r="L1732">
        <f t="shared" si="108"/>
        <v>6.8673884818000008</v>
      </c>
    </row>
    <row r="1733" spans="1:12" x14ac:dyDescent="0.2">
      <c r="A1733" s="4">
        <v>43438</v>
      </c>
      <c r="B1733" t="s">
        <v>48</v>
      </c>
      <c r="C1733" s="28">
        <v>3</v>
      </c>
      <c r="D1733" s="28">
        <v>1</v>
      </c>
      <c r="E1733" t="s">
        <v>499</v>
      </c>
      <c r="F1733" t="s">
        <v>500</v>
      </c>
      <c r="G1733" s="14" t="s">
        <v>837</v>
      </c>
      <c r="H1733" s="6" t="s">
        <v>1071</v>
      </c>
      <c r="I1733">
        <v>0</v>
      </c>
      <c r="J1733">
        <f t="shared" si="107"/>
        <v>0</v>
      </c>
      <c r="K1733">
        <v>0.75700000000000001</v>
      </c>
      <c r="L1733">
        <f t="shared" si="108"/>
        <v>0</v>
      </c>
    </row>
    <row r="1734" spans="1:12" x14ac:dyDescent="0.2">
      <c r="A1734" s="4">
        <v>43437</v>
      </c>
      <c r="B1734" t="s">
        <v>531</v>
      </c>
      <c r="C1734">
        <v>3</v>
      </c>
      <c r="D1734">
        <v>1</v>
      </c>
      <c r="E1734">
        <v>30</v>
      </c>
      <c r="F1734" t="s">
        <v>411</v>
      </c>
      <c r="G1734" t="s">
        <v>849</v>
      </c>
      <c r="H1734" s="6" t="s">
        <v>1071</v>
      </c>
      <c r="I1734">
        <f>C1734*D1734*E1734</f>
        <v>90</v>
      </c>
      <c r="J1734">
        <f t="shared" si="107"/>
        <v>40.823313300000002</v>
      </c>
      <c r="K1734">
        <v>0.75700000000000001</v>
      </c>
      <c r="L1734">
        <f t="shared" si="108"/>
        <v>30.903248168100003</v>
      </c>
    </row>
    <row r="1735" spans="1:12" x14ac:dyDescent="0.2">
      <c r="A1735" s="4">
        <v>43439</v>
      </c>
      <c r="B1735" t="s">
        <v>531</v>
      </c>
      <c r="C1735">
        <v>1</v>
      </c>
      <c r="D1735">
        <v>1</v>
      </c>
      <c r="E1735">
        <v>30</v>
      </c>
      <c r="F1735" t="s">
        <v>411</v>
      </c>
      <c r="G1735" t="s">
        <v>849</v>
      </c>
      <c r="H1735" s="6" t="s">
        <v>1071</v>
      </c>
      <c r="I1735">
        <f>C1735*D1735*E1735</f>
        <v>30</v>
      </c>
      <c r="J1735">
        <f t="shared" si="107"/>
        <v>13.607771100000001</v>
      </c>
      <c r="K1735">
        <v>0.75700000000000001</v>
      </c>
      <c r="L1735">
        <f t="shared" si="108"/>
        <v>10.3010827227</v>
      </c>
    </row>
    <row r="1736" spans="1:12" x14ac:dyDescent="0.2">
      <c r="A1736" s="4">
        <v>43434</v>
      </c>
      <c r="B1736" t="s">
        <v>525</v>
      </c>
      <c r="C1736">
        <v>12</v>
      </c>
      <c r="D1736">
        <v>1</v>
      </c>
      <c r="E1736">
        <v>10</v>
      </c>
      <c r="F1736" t="s">
        <v>526</v>
      </c>
      <c r="G1736" s="9" t="s">
        <v>889</v>
      </c>
      <c r="H1736" s="9" t="s">
        <v>1072</v>
      </c>
      <c r="I1736">
        <f>C1736*D1736*E1736</f>
        <v>120</v>
      </c>
      <c r="J1736">
        <f t="shared" si="107"/>
        <v>54.431084400000003</v>
      </c>
      <c r="K1736">
        <v>32.845999999999997</v>
      </c>
      <c r="L1736">
        <f t="shared" si="108"/>
        <v>1787.8433982023998</v>
      </c>
    </row>
    <row r="1737" spans="1:12" x14ac:dyDescent="0.2">
      <c r="A1737" s="4">
        <v>43439</v>
      </c>
      <c r="B1737" t="s">
        <v>538</v>
      </c>
      <c r="C1737">
        <v>1</v>
      </c>
      <c r="D1737">
        <v>12</v>
      </c>
      <c r="E1737" t="s">
        <v>407</v>
      </c>
      <c r="F1737" t="s">
        <v>542</v>
      </c>
      <c r="G1737" s="14" t="s">
        <v>916</v>
      </c>
      <c r="H1737" t="s">
        <v>1071</v>
      </c>
      <c r="I1737">
        <v>0</v>
      </c>
      <c r="J1737">
        <f t="shared" si="107"/>
        <v>0</v>
      </c>
      <c r="K1737">
        <v>0.55000000000000004</v>
      </c>
      <c r="L1737">
        <f t="shared" si="108"/>
        <v>0</v>
      </c>
    </row>
    <row r="1738" spans="1:12" x14ac:dyDescent="0.2">
      <c r="A1738" s="4">
        <v>43437</v>
      </c>
      <c r="B1738" t="s">
        <v>538</v>
      </c>
      <c r="C1738">
        <v>1</v>
      </c>
      <c r="D1738">
        <v>1</v>
      </c>
      <c r="E1738">
        <v>25</v>
      </c>
      <c r="F1738" t="s">
        <v>573</v>
      </c>
      <c r="G1738" t="s">
        <v>916</v>
      </c>
      <c r="H1738" s="9" t="s">
        <v>1071</v>
      </c>
      <c r="I1738">
        <f>C1738*D1738*E1738</f>
        <v>25</v>
      </c>
      <c r="J1738">
        <f t="shared" si="107"/>
        <v>11.33980925</v>
      </c>
      <c r="K1738">
        <v>0.55000000000000004</v>
      </c>
      <c r="L1738">
        <f t="shared" si="108"/>
        <v>6.2368950875000007</v>
      </c>
    </row>
    <row r="1739" spans="1:12" x14ac:dyDescent="0.2">
      <c r="A1739" s="4">
        <v>43437</v>
      </c>
      <c r="B1739" t="s">
        <v>538</v>
      </c>
      <c r="C1739">
        <v>1</v>
      </c>
      <c r="D1739">
        <v>6</v>
      </c>
      <c r="E1739">
        <v>5</v>
      </c>
      <c r="F1739" t="s">
        <v>579</v>
      </c>
      <c r="G1739" s="14" t="s">
        <v>916</v>
      </c>
      <c r="H1739" s="9" t="s">
        <v>1071</v>
      </c>
      <c r="I1739">
        <f>C1739*D1739*E1739</f>
        <v>30</v>
      </c>
      <c r="J1739">
        <f t="shared" si="107"/>
        <v>13.607771100000001</v>
      </c>
      <c r="K1739">
        <v>0.55000000000000004</v>
      </c>
      <c r="L1739">
        <f t="shared" si="108"/>
        <v>7.4842741050000008</v>
      </c>
    </row>
    <row r="1740" spans="1:12" x14ac:dyDescent="0.2">
      <c r="A1740" s="4">
        <v>43439</v>
      </c>
      <c r="B1740" t="s">
        <v>538</v>
      </c>
      <c r="C1740">
        <v>1</v>
      </c>
      <c r="D1740">
        <v>24</v>
      </c>
      <c r="E1740">
        <v>1</v>
      </c>
      <c r="F1740" t="s">
        <v>433</v>
      </c>
      <c r="G1740" t="s">
        <v>900</v>
      </c>
      <c r="H1740" s="9" t="s">
        <v>1071</v>
      </c>
      <c r="I1740">
        <f>C1740*D1740*E1740</f>
        <v>24</v>
      </c>
      <c r="J1740">
        <f t="shared" si="107"/>
        <v>10.886216880000001</v>
      </c>
      <c r="K1740">
        <v>0.76</v>
      </c>
      <c r="L1740">
        <f t="shared" si="108"/>
        <v>8.2735248288000012</v>
      </c>
    </row>
    <row r="1741" spans="1:12" x14ac:dyDescent="0.2">
      <c r="A1741" s="4">
        <v>43434</v>
      </c>
      <c r="B1741" t="s">
        <v>538</v>
      </c>
      <c r="C1741">
        <v>2</v>
      </c>
      <c r="D1741">
        <v>24</v>
      </c>
      <c r="E1741">
        <v>1</v>
      </c>
      <c r="F1741" t="s">
        <v>433</v>
      </c>
      <c r="G1741" t="s">
        <v>900</v>
      </c>
      <c r="H1741" s="9" t="s">
        <v>1071</v>
      </c>
      <c r="I1741">
        <f>C1741*D1741*E1741</f>
        <v>48</v>
      </c>
      <c r="J1741">
        <f t="shared" si="107"/>
        <v>21.772433760000002</v>
      </c>
      <c r="K1741">
        <v>0.76</v>
      </c>
      <c r="L1741">
        <f t="shared" si="108"/>
        <v>16.547049657600002</v>
      </c>
    </row>
    <row r="1742" spans="1:12" x14ac:dyDescent="0.2">
      <c r="A1742" s="4">
        <v>43439</v>
      </c>
      <c r="B1742" t="s">
        <v>538</v>
      </c>
      <c r="C1742">
        <v>1</v>
      </c>
      <c r="D1742">
        <v>500</v>
      </c>
      <c r="E1742" t="s">
        <v>1088</v>
      </c>
      <c r="F1742" t="s">
        <v>430</v>
      </c>
      <c r="G1742" s="14" t="s">
        <v>881</v>
      </c>
      <c r="H1742" s="9" t="s">
        <v>1071</v>
      </c>
      <c r="I1742">
        <v>0</v>
      </c>
      <c r="J1742">
        <f t="shared" si="107"/>
        <v>0</v>
      </c>
      <c r="K1742">
        <v>2.5299999999999998</v>
      </c>
      <c r="L1742">
        <f t="shared" si="108"/>
        <v>0</v>
      </c>
    </row>
    <row r="1743" spans="1:12" x14ac:dyDescent="0.2">
      <c r="A1743" s="4">
        <v>43439</v>
      </c>
      <c r="B1743" t="s">
        <v>538</v>
      </c>
      <c r="C1743">
        <v>1</v>
      </c>
      <c r="D1743">
        <v>150</v>
      </c>
      <c r="E1743">
        <v>3.125E-2</v>
      </c>
      <c r="F1743" t="s">
        <v>442</v>
      </c>
      <c r="G1743" s="6" t="s">
        <v>881</v>
      </c>
      <c r="H1743" s="9" t="s">
        <v>1071</v>
      </c>
      <c r="I1743">
        <f t="shared" ref="I1743:I1806" si="109">C1743*D1743*E1743</f>
        <v>4.6875</v>
      </c>
      <c r="J1743">
        <f t="shared" si="107"/>
        <v>2.1262142343750003</v>
      </c>
      <c r="K1743">
        <v>2.5299999999999998</v>
      </c>
      <c r="L1743">
        <f t="shared" si="108"/>
        <v>5.3793220129687507</v>
      </c>
    </row>
    <row r="1744" spans="1:12" x14ac:dyDescent="0.2">
      <c r="A1744" s="4">
        <v>43437</v>
      </c>
      <c r="B1744" t="s">
        <v>538</v>
      </c>
      <c r="C1744">
        <v>1</v>
      </c>
      <c r="D1744">
        <v>1</v>
      </c>
      <c r="E1744">
        <v>10</v>
      </c>
      <c r="F1744" t="s">
        <v>454</v>
      </c>
      <c r="G1744" t="s">
        <v>879</v>
      </c>
      <c r="H1744" s="9" t="s">
        <v>1071</v>
      </c>
      <c r="I1744">
        <f t="shared" si="109"/>
        <v>10</v>
      </c>
      <c r="J1744">
        <f t="shared" si="107"/>
        <v>4.5359237000000006</v>
      </c>
      <c r="K1744">
        <v>1.4179999999999999</v>
      </c>
      <c r="L1744">
        <f t="shared" si="108"/>
        <v>6.4319398066000009</v>
      </c>
    </row>
    <row r="1745" spans="1:12" x14ac:dyDescent="0.2">
      <c r="A1745" s="4">
        <v>43434</v>
      </c>
      <c r="B1745" t="s">
        <v>517</v>
      </c>
      <c r="C1745">
        <v>1</v>
      </c>
      <c r="D1745">
        <v>1</v>
      </c>
      <c r="E1745">
        <v>2</v>
      </c>
      <c r="F1745" t="s">
        <v>380</v>
      </c>
      <c r="G1745" t="s">
        <v>841</v>
      </c>
      <c r="H1745" s="9" t="s">
        <v>1073</v>
      </c>
      <c r="I1745">
        <f t="shared" si="109"/>
        <v>2</v>
      </c>
      <c r="J1745">
        <f t="shared" si="107"/>
        <v>0.90718474000000004</v>
      </c>
      <c r="K1745">
        <v>5.32</v>
      </c>
      <c r="L1745">
        <f t="shared" si="108"/>
        <v>4.8262228168000005</v>
      </c>
    </row>
    <row r="1746" spans="1:12" x14ac:dyDescent="0.2">
      <c r="A1746" s="4">
        <v>43439</v>
      </c>
      <c r="B1746" t="s">
        <v>517</v>
      </c>
      <c r="C1746">
        <v>1</v>
      </c>
      <c r="D1746">
        <v>1</v>
      </c>
      <c r="E1746">
        <v>2</v>
      </c>
      <c r="F1746" t="s">
        <v>380</v>
      </c>
      <c r="G1746" t="s">
        <v>841</v>
      </c>
      <c r="H1746" s="9" t="s">
        <v>1073</v>
      </c>
      <c r="I1746">
        <f t="shared" si="109"/>
        <v>2</v>
      </c>
      <c r="J1746">
        <f t="shared" si="107"/>
        <v>0.90718474000000004</v>
      </c>
      <c r="K1746">
        <v>5.32</v>
      </c>
      <c r="L1746">
        <f t="shared" si="108"/>
        <v>4.8262228168000005</v>
      </c>
    </row>
    <row r="1747" spans="1:12" x14ac:dyDescent="0.2">
      <c r="A1747" s="4">
        <v>43434</v>
      </c>
      <c r="B1747" t="s">
        <v>48</v>
      </c>
      <c r="C1747" s="28">
        <v>2</v>
      </c>
      <c r="D1747" s="28">
        <v>1</v>
      </c>
      <c r="E1747">
        <f>10/9*50</f>
        <v>55.555555555555557</v>
      </c>
      <c r="F1747" t="s">
        <v>301</v>
      </c>
      <c r="G1747" t="s">
        <v>620</v>
      </c>
      <c r="H1747" s="9" t="s">
        <v>1071</v>
      </c>
      <c r="I1747">
        <f t="shared" si="109"/>
        <v>111.11111111111111</v>
      </c>
      <c r="J1747">
        <f t="shared" si="107"/>
        <v>50.399152222222227</v>
      </c>
      <c r="K1747">
        <v>0.40899999999999997</v>
      </c>
      <c r="L1747">
        <f t="shared" si="108"/>
        <v>20.613253258888889</v>
      </c>
    </row>
    <row r="1748" spans="1:12" x14ac:dyDescent="0.2">
      <c r="A1748" s="4">
        <v>43435</v>
      </c>
      <c r="B1748" t="s">
        <v>48</v>
      </c>
      <c r="C1748" s="28">
        <v>2</v>
      </c>
      <c r="D1748" s="28">
        <v>1</v>
      </c>
      <c r="E1748">
        <f>10/9*50</f>
        <v>55.555555555555557</v>
      </c>
      <c r="F1748" t="s">
        <v>301</v>
      </c>
      <c r="G1748" t="s">
        <v>620</v>
      </c>
      <c r="H1748" s="9" t="s">
        <v>1071</v>
      </c>
      <c r="I1748">
        <f t="shared" si="109"/>
        <v>111.11111111111111</v>
      </c>
      <c r="J1748">
        <f t="shared" si="107"/>
        <v>50.399152222222227</v>
      </c>
      <c r="K1748">
        <v>0.40899999999999997</v>
      </c>
      <c r="L1748">
        <f t="shared" si="108"/>
        <v>20.613253258888889</v>
      </c>
    </row>
    <row r="1749" spans="1:12" x14ac:dyDescent="0.2">
      <c r="A1749" s="4">
        <v>43439</v>
      </c>
      <c r="B1749" t="s">
        <v>538</v>
      </c>
      <c r="C1749">
        <v>2</v>
      </c>
      <c r="D1749">
        <v>4</v>
      </c>
      <c r="E1749">
        <v>8.35</v>
      </c>
      <c r="F1749" t="s">
        <v>595</v>
      </c>
      <c r="G1749" t="s">
        <v>89</v>
      </c>
      <c r="H1749" s="9" t="s">
        <v>1071</v>
      </c>
      <c r="I1749">
        <f t="shared" si="109"/>
        <v>66.8</v>
      </c>
      <c r="J1749">
        <f t="shared" si="107"/>
        <v>30.299970316</v>
      </c>
      <c r="K1749">
        <v>0.40899999999999997</v>
      </c>
      <c r="L1749">
        <f t="shared" si="108"/>
        <v>12.392687859243999</v>
      </c>
    </row>
    <row r="1750" spans="1:12" x14ac:dyDescent="0.2">
      <c r="A1750" s="4">
        <v>43434</v>
      </c>
      <c r="B1750" t="s">
        <v>517</v>
      </c>
      <c r="C1750">
        <v>12</v>
      </c>
      <c r="D1750">
        <v>2</v>
      </c>
      <c r="E1750">
        <v>20</v>
      </c>
      <c r="F1750" t="s">
        <v>381</v>
      </c>
      <c r="G1750" t="s">
        <v>843</v>
      </c>
      <c r="H1750" s="9" t="s">
        <v>1073</v>
      </c>
      <c r="I1750">
        <f t="shared" si="109"/>
        <v>480</v>
      </c>
      <c r="J1750">
        <f t="shared" si="107"/>
        <v>217.72433760000001</v>
      </c>
      <c r="K1750">
        <v>3.754</v>
      </c>
      <c r="L1750">
        <f t="shared" si="108"/>
        <v>817.33716335040003</v>
      </c>
    </row>
    <row r="1751" spans="1:12" x14ac:dyDescent="0.2">
      <c r="A1751" s="4">
        <v>43434</v>
      </c>
      <c r="B1751" t="s">
        <v>517</v>
      </c>
      <c r="C1751">
        <v>1</v>
      </c>
      <c r="D1751">
        <v>15</v>
      </c>
      <c r="E1751">
        <v>2</v>
      </c>
      <c r="F1751" t="s">
        <v>385</v>
      </c>
      <c r="G1751" t="s">
        <v>843</v>
      </c>
      <c r="H1751" s="9" t="s">
        <v>1073</v>
      </c>
      <c r="I1751">
        <f t="shared" si="109"/>
        <v>30</v>
      </c>
      <c r="J1751">
        <f t="shared" si="107"/>
        <v>13.607771100000001</v>
      </c>
      <c r="K1751">
        <v>3.754</v>
      </c>
      <c r="L1751">
        <f t="shared" si="108"/>
        <v>51.083572709400002</v>
      </c>
    </row>
    <row r="1752" spans="1:12" x14ac:dyDescent="0.2">
      <c r="A1752" s="4">
        <v>43434</v>
      </c>
      <c r="B1752" t="s">
        <v>517</v>
      </c>
      <c r="C1752">
        <v>2</v>
      </c>
      <c r="D1752">
        <v>15</v>
      </c>
      <c r="E1752">
        <f>24/16</f>
        <v>1.5</v>
      </c>
      <c r="F1752" t="s">
        <v>386</v>
      </c>
      <c r="G1752" t="s">
        <v>843</v>
      </c>
      <c r="H1752" s="9" t="s">
        <v>1073</v>
      </c>
      <c r="I1752">
        <f t="shared" si="109"/>
        <v>45</v>
      </c>
      <c r="J1752">
        <f t="shared" si="107"/>
        <v>20.411656650000001</v>
      </c>
      <c r="K1752">
        <v>3.754</v>
      </c>
      <c r="L1752">
        <f t="shared" si="108"/>
        <v>76.62535906410001</v>
      </c>
    </row>
    <row r="1753" spans="1:12" x14ac:dyDescent="0.2">
      <c r="A1753" s="4">
        <v>43437</v>
      </c>
      <c r="B1753" t="s">
        <v>517</v>
      </c>
      <c r="C1753">
        <v>13</v>
      </c>
      <c r="D1753">
        <v>2</v>
      </c>
      <c r="E1753">
        <v>20</v>
      </c>
      <c r="F1753" t="s">
        <v>381</v>
      </c>
      <c r="G1753" t="s">
        <v>843</v>
      </c>
      <c r="H1753" s="9" t="s">
        <v>1073</v>
      </c>
      <c r="I1753">
        <f t="shared" si="109"/>
        <v>520</v>
      </c>
      <c r="J1753">
        <f t="shared" si="107"/>
        <v>235.8680324</v>
      </c>
      <c r="K1753">
        <v>3.754</v>
      </c>
      <c r="L1753">
        <f t="shared" si="108"/>
        <v>885.44859362960005</v>
      </c>
    </row>
    <row r="1754" spans="1:12" x14ac:dyDescent="0.2">
      <c r="A1754" s="4">
        <v>43437</v>
      </c>
      <c r="B1754" t="s">
        <v>517</v>
      </c>
      <c r="C1754">
        <v>2</v>
      </c>
      <c r="D1754">
        <v>15</v>
      </c>
      <c r="E1754">
        <v>2</v>
      </c>
      <c r="F1754" t="s">
        <v>385</v>
      </c>
      <c r="G1754" t="s">
        <v>843</v>
      </c>
      <c r="H1754" s="9" t="s">
        <v>1073</v>
      </c>
      <c r="I1754">
        <f t="shared" si="109"/>
        <v>60</v>
      </c>
      <c r="J1754">
        <f t="shared" si="107"/>
        <v>27.215542200000002</v>
      </c>
      <c r="K1754">
        <v>3.754</v>
      </c>
      <c r="L1754">
        <f t="shared" si="108"/>
        <v>102.1671454188</v>
      </c>
    </row>
    <row r="1755" spans="1:12" x14ac:dyDescent="0.2">
      <c r="A1755" s="4">
        <v>43439</v>
      </c>
      <c r="B1755" t="s">
        <v>517</v>
      </c>
      <c r="C1755">
        <v>8</v>
      </c>
      <c r="D1755">
        <v>2</v>
      </c>
      <c r="E1755">
        <v>20</v>
      </c>
      <c r="F1755" t="s">
        <v>381</v>
      </c>
      <c r="G1755" t="s">
        <v>843</v>
      </c>
      <c r="H1755" s="9" t="s">
        <v>1073</v>
      </c>
      <c r="I1755">
        <f t="shared" si="109"/>
        <v>320</v>
      </c>
      <c r="J1755">
        <f t="shared" si="107"/>
        <v>145.14955840000002</v>
      </c>
      <c r="K1755">
        <v>3.754</v>
      </c>
      <c r="L1755">
        <f t="shared" si="108"/>
        <v>544.89144223360006</v>
      </c>
    </row>
    <row r="1756" spans="1:12" x14ac:dyDescent="0.2">
      <c r="A1756" s="4">
        <v>43439</v>
      </c>
      <c r="B1756" t="s">
        <v>517</v>
      </c>
      <c r="C1756">
        <v>2</v>
      </c>
      <c r="D1756">
        <v>15</v>
      </c>
      <c r="E1756">
        <v>2</v>
      </c>
      <c r="F1756" t="s">
        <v>385</v>
      </c>
      <c r="G1756" t="s">
        <v>843</v>
      </c>
      <c r="H1756" s="9" t="s">
        <v>1073</v>
      </c>
      <c r="I1756">
        <f t="shared" si="109"/>
        <v>60</v>
      </c>
      <c r="J1756">
        <f t="shared" si="107"/>
        <v>27.215542200000002</v>
      </c>
      <c r="K1756">
        <v>3.754</v>
      </c>
      <c r="L1756">
        <f t="shared" si="108"/>
        <v>102.1671454188</v>
      </c>
    </row>
    <row r="1757" spans="1:12" x14ac:dyDescent="0.2">
      <c r="A1757" s="4">
        <v>43439</v>
      </c>
      <c r="B1757" t="s">
        <v>517</v>
      </c>
      <c r="C1757">
        <v>4</v>
      </c>
      <c r="D1757">
        <v>15</v>
      </c>
      <c r="E1757">
        <f>24/16</f>
        <v>1.5</v>
      </c>
      <c r="F1757" t="s">
        <v>386</v>
      </c>
      <c r="G1757" t="s">
        <v>843</v>
      </c>
      <c r="H1757" s="9" t="s">
        <v>1073</v>
      </c>
      <c r="I1757">
        <f t="shared" si="109"/>
        <v>90</v>
      </c>
      <c r="J1757">
        <f t="shared" si="107"/>
        <v>40.823313300000002</v>
      </c>
      <c r="K1757">
        <v>3.754</v>
      </c>
      <c r="L1757">
        <f t="shared" si="108"/>
        <v>153.25071812820002</v>
      </c>
    </row>
    <row r="1758" spans="1:12" x14ac:dyDescent="0.2">
      <c r="A1758" s="4">
        <v>43434</v>
      </c>
      <c r="B1758" t="s">
        <v>48</v>
      </c>
      <c r="C1758" s="28">
        <v>1</v>
      </c>
      <c r="D1758" s="28">
        <v>1</v>
      </c>
      <c r="E1758">
        <f>10/9*35</f>
        <v>38.888888888888893</v>
      </c>
      <c r="F1758" t="s">
        <v>302</v>
      </c>
      <c r="G1758" t="s">
        <v>785</v>
      </c>
      <c r="H1758" s="9" t="s">
        <v>1071</v>
      </c>
      <c r="I1758">
        <f t="shared" si="109"/>
        <v>38.888888888888893</v>
      </c>
      <c r="J1758">
        <f t="shared" si="107"/>
        <v>17.63970327777778</v>
      </c>
      <c r="K1758">
        <v>0.52600000000000002</v>
      </c>
      <c r="L1758">
        <f t="shared" si="108"/>
        <v>9.2784839241111126</v>
      </c>
    </row>
    <row r="1759" spans="1:12" x14ac:dyDescent="0.2">
      <c r="A1759" s="4">
        <v>43437</v>
      </c>
      <c r="B1759" t="s">
        <v>48</v>
      </c>
      <c r="C1759" s="28">
        <v>1</v>
      </c>
      <c r="D1759" s="28">
        <v>1</v>
      </c>
      <c r="E1759">
        <f>10/9*35</f>
        <v>38.888888888888893</v>
      </c>
      <c r="F1759" t="s">
        <v>302</v>
      </c>
      <c r="G1759" t="s">
        <v>785</v>
      </c>
      <c r="H1759" s="9" t="s">
        <v>1071</v>
      </c>
      <c r="I1759">
        <f t="shared" si="109"/>
        <v>38.888888888888893</v>
      </c>
      <c r="J1759">
        <f t="shared" si="107"/>
        <v>17.63970327777778</v>
      </c>
      <c r="K1759">
        <v>0.52600000000000002</v>
      </c>
      <c r="L1759">
        <f t="shared" si="108"/>
        <v>9.2784839241111126</v>
      </c>
    </row>
    <row r="1760" spans="1:12" x14ac:dyDescent="0.2">
      <c r="A1760" s="4">
        <v>43438</v>
      </c>
      <c r="B1760" t="s">
        <v>48</v>
      </c>
      <c r="C1760" s="28">
        <v>2</v>
      </c>
      <c r="D1760" s="28">
        <v>1</v>
      </c>
      <c r="E1760">
        <f>10/9*35</f>
        <v>38.888888888888893</v>
      </c>
      <c r="F1760" t="s">
        <v>302</v>
      </c>
      <c r="G1760" t="s">
        <v>785</v>
      </c>
      <c r="H1760" s="9" t="s">
        <v>1071</v>
      </c>
      <c r="I1760">
        <f t="shared" si="109"/>
        <v>77.777777777777786</v>
      </c>
      <c r="J1760">
        <f t="shared" si="107"/>
        <v>35.27940655555556</v>
      </c>
      <c r="K1760">
        <v>0.52600000000000002</v>
      </c>
      <c r="L1760">
        <f t="shared" si="108"/>
        <v>18.556967848222225</v>
      </c>
    </row>
    <row r="1761" spans="1:12" x14ac:dyDescent="0.2">
      <c r="A1761" s="4">
        <v>43434</v>
      </c>
      <c r="B1761" t="s">
        <v>527</v>
      </c>
      <c r="C1761">
        <v>6</v>
      </c>
      <c r="D1761">
        <v>1</v>
      </c>
      <c r="E1761">
        <v>10</v>
      </c>
      <c r="F1761" t="s">
        <v>528</v>
      </c>
      <c r="G1761" t="s">
        <v>884</v>
      </c>
      <c r="H1761" s="9" t="s">
        <v>1072</v>
      </c>
      <c r="I1761">
        <f t="shared" si="109"/>
        <v>60</v>
      </c>
      <c r="J1761">
        <f t="shared" si="107"/>
        <v>27.215542200000002</v>
      </c>
      <c r="K1761">
        <v>3.0209999999999999</v>
      </c>
      <c r="L1761">
        <f t="shared" si="108"/>
        <v>82.218152986199996</v>
      </c>
    </row>
    <row r="1762" spans="1:12" x14ac:dyDescent="0.2">
      <c r="A1762" s="4">
        <v>43434</v>
      </c>
      <c r="B1762" t="s">
        <v>527</v>
      </c>
      <c r="C1762">
        <v>8</v>
      </c>
      <c r="D1762">
        <v>1</v>
      </c>
      <c r="E1762">
        <v>10</v>
      </c>
      <c r="F1762" t="s">
        <v>529</v>
      </c>
      <c r="G1762" t="s">
        <v>884</v>
      </c>
      <c r="H1762" s="9" t="s">
        <v>1072</v>
      </c>
      <c r="I1762">
        <f t="shared" si="109"/>
        <v>80</v>
      </c>
      <c r="J1762">
        <f t="shared" si="107"/>
        <v>36.287389600000004</v>
      </c>
      <c r="K1762">
        <v>3.0209999999999999</v>
      </c>
      <c r="L1762">
        <f t="shared" si="108"/>
        <v>109.6242039816</v>
      </c>
    </row>
    <row r="1763" spans="1:12" x14ac:dyDescent="0.2">
      <c r="A1763" s="4">
        <v>43437</v>
      </c>
      <c r="B1763" t="s">
        <v>527</v>
      </c>
      <c r="C1763">
        <v>10</v>
      </c>
      <c r="D1763">
        <v>1</v>
      </c>
      <c r="E1763">
        <v>10</v>
      </c>
      <c r="F1763" t="s">
        <v>528</v>
      </c>
      <c r="G1763" t="s">
        <v>884</v>
      </c>
      <c r="H1763" s="9" t="s">
        <v>1072</v>
      </c>
      <c r="I1763">
        <f t="shared" si="109"/>
        <v>100</v>
      </c>
      <c r="J1763">
        <f t="shared" si="107"/>
        <v>45.359237</v>
      </c>
      <c r="K1763">
        <v>3.0209999999999999</v>
      </c>
      <c r="L1763">
        <f t="shared" si="108"/>
        <v>137.030254977</v>
      </c>
    </row>
    <row r="1764" spans="1:12" x14ac:dyDescent="0.2">
      <c r="A1764" s="4">
        <v>43437</v>
      </c>
      <c r="B1764" t="s">
        <v>527</v>
      </c>
      <c r="C1764">
        <v>5</v>
      </c>
      <c r="D1764">
        <v>1</v>
      </c>
      <c r="E1764">
        <v>10</v>
      </c>
      <c r="F1764" t="s">
        <v>529</v>
      </c>
      <c r="G1764" t="s">
        <v>884</v>
      </c>
      <c r="H1764" s="9" t="s">
        <v>1072</v>
      </c>
      <c r="I1764">
        <f t="shared" si="109"/>
        <v>50</v>
      </c>
      <c r="J1764">
        <f t="shared" si="107"/>
        <v>22.6796185</v>
      </c>
      <c r="K1764">
        <v>3.0209999999999999</v>
      </c>
      <c r="L1764">
        <f t="shared" si="108"/>
        <v>68.515127488499999</v>
      </c>
    </row>
    <row r="1765" spans="1:12" x14ac:dyDescent="0.2">
      <c r="A1765" s="4">
        <v>43437</v>
      </c>
      <c r="B1765" t="s">
        <v>527</v>
      </c>
      <c r="C1765">
        <v>4</v>
      </c>
      <c r="D1765">
        <v>1</v>
      </c>
      <c r="E1765">
        <v>15</v>
      </c>
      <c r="F1765" t="s">
        <v>1013</v>
      </c>
      <c r="G1765" t="s">
        <v>884</v>
      </c>
      <c r="H1765" s="9" t="s">
        <v>1072</v>
      </c>
      <c r="I1765">
        <f t="shared" si="109"/>
        <v>60</v>
      </c>
      <c r="J1765">
        <f t="shared" si="107"/>
        <v>27.215542200000002</v>
      </c>
      <c r="K1765">
        <v>3.0209999999999999</v>
      </c>
      <c r="L1765">
        <f t="shared" si="108"/>
        <v>82.218152986199996</v>
      </c>
    </row>
    <row r="1766" spans="1:12" x14ac:dyDescent="0.2">
      <c r="A1766" s="4">
        <v>43439</v>
      </c>
      <c r="B1766" t="s">
        <v>527</v>
      </c>
      <c r="C1766">
        <v>1</v>
      </c>
      <c r="D1766">
        <v>1</v>
      </c>
      <c r="E1766">
        <v>10</v>
      </c>
      <c r="F1766" t="s">
        <v>528</v>
      </c>
      <c r="G1766" t="s">
        <v>884</v>
      </c>
      <c r="H1766" s="9" t="s">
        <v>1072</v>
      </c>
      <c r="I1766">
        <f t="shared" si="109"/>
        <v>10</v>
      </c>
      <c r="J1766">
        <f t="shared" si="107"/>
        <v>4.5359237000000006</v>
      </c>
      <c r="K1766">
        <v>3.0209999999999999</v>
      </c>
      <c r="L1766">
        <f t="shared" si="108"/>
        <v>13.703025497700001</v>
      </c>
    </row>
    <row r="1767" spans="1:12" x14ac:dyDescent="0.2">
      <c r="A1767" s="4">
        <v>43439</v>
      </c>
      <c r="B1767" t="s">
        <v>527</v>
      </c>
      <c r="C1767">
        <v>8</v>
      </c>
      <c r="D1767">
        <v>1</v>
      </c>
      <c r="E1767">
        <v>15</v>
      </c>
      <c r="F1767" t="s">
        <v>1013</v>
      </c>
      <c r="G1767" t="s">
        <v>884</v>
      </c>
      <c r="H1767" s="9" t="s">
        <v>1072</v>
      </c>
      <c r="I1767">
        <f t="shared" si="109"/>
        <v>120</v>
      </c>
      <c r="J1767">
        <f t="shared" si="107"/>
        <v>54.431084400000003</v>
      </c>
      <c r="K1767">
        <v>3.0209999999999999</v>
      </c>
      <c r="L1767">
        <f t="shared" si="108"/>
        <v>164.43630597239999</v>
      </c>
    </row>
    <row r="1768" spans="1:12" x14ac:dyDescent="0.2">
      <c r="A1768" s="4">
        <v>43434</v>
      </c>
      <c r="B1768" t="s">
        <v>538</v>
      </c>
      <c r="C1768">
        <v>6</v>
      </c>
      <c r="D1768">
        <v>1</v>
      </c>
      <c r="E1768">
        <v>50</v>
      </c>
      <c r="F1768" t="s">
        <v>431</v>
      </c>
      <c r="G1768" t="s">
        <v>863</v>
      </c>
      <c r="H1768" s="9" t="s">
        <v>1071</v>
      </c>
      <c r="I1768">
        <f t="shared" si="109"/>
        <v>300</v>
      </c>
      <c r="J1768">
        <f t="shared" si="107"/>
        <v>136.07771100000002</v>
      </c>
      <c r="K1768">
        <v>0.35799999999999998</v>
      </c>
      <c r="L1768">
        <f t="shared" si="108"/>
        <v>48.715820538000003</v>
      </c>
    </row>
    <row r="1769" spans="1:12" x14ac:dyDescent="0.2">
      <c r="A1769" s="4">
        <v>43434</v>
      </c>
      <c r="B1769" t="s">
        <v>538</v>
      </c>
      <c r="C1769">
        <v>4</v>
      </c>
      <c r="D1769">
        <v>1</v>
      </c>
      <c r="E1769">
        <v>25</v>
      </c>
      <c r="F1769" t="s">
        <v>446</v>
      </c>
      <c r="G1769" t="s">
        <v>863</v>
      </c>
      <c r="H1769" s="9" t="s">
        <v>1071</v>
      </c>
      <c r="I1769">
        <f t="shared" si="109"/>
        <v>100</v>
      </c>
      <c r="J1769">
        <f t="shared" si="107"/>
        <v>45.359237</v>
      </c>
      <c r="K1769">
        <v>0.35799999999999998</v>
      </c>
      <c r="L1769">
        <f t="shared" si="108"/>
        <v>16.238606846</v>
      </c>
    </row>
    <row r="1770" spans="1:12" x14ac:dyDescent="0.2">
      <c r="A1770" s="4">
        <v>43437</v>
      </c>
      <c r="B1770" t="s">
        <v>538</v>
      </c>
      <c r="C1770">
        <v>1</v>
      </c>
      <c r="D1770">
        <v>1</v>
      </c>
      <c r="E1770">
        <v>50</v>
      </c>
      <c r="F1770" t="s">
        <v>431</v>
      </c>
      <c r="G1770" t="s">
        <v>863</v>
      </c>
      <c r="H1770" s="9" t="s">
        <v>1071</v>
      </c>
      <c r="I1770">
        <f t="shared" si="109"/>
        <v>50</v>
      </c>
      <c r="J1770">
        <f t="shared" si="107"/>
        <v>22.6796185</v>
      </c>
      <c r="K1770">
        <v>0.35799999999999998</v>
      </c>
      <c r="L1770">
        <f t="shared" si="108"/>
        <v>8.1193034229999999</v>
      </c>
    </row>
    <row r="1771" spans="1:12" x14ac:dyDescent="0.2">
      <c r="A1771" s="4">
        <v>43439</v>
      </c>
      <c r="B1771" t="s">
        <v>538</v>
      </c>
      <c r="C1771">
        <v>5</v>
      </c>
      <c r="D1771">
        <v>1</v>
      </c>
      <c r="E1771">
        <v>50</v>
      </c>
      <c r="F1771" t="s">
        <v>431</v>
      </c>
      <c r="G1771" t="s">
        <v>863</v>
      </c>
      <c r="H1771" s="9" t="s">
        <v>1071</v>
      </c>
      <c r="I1771">
        <f t="shared" si="109"/>
        <v>250</v>
      </c>
      <c r="J1771">
        <f t="shared" si="107"/>
        <v>113.3980925</v>
      </c>
      <c r="K1771">
        <v>0.35799999999999998</v>
      </c>
      <c r="L1771">
        <f t="shared" si="108"/>
        <v>40.596517114999997</v>
      </c>
    </row>
    <row r="1772" spans="1:12" x14ac:dyDescent="0.2">
      <c r="A1772" s="4">
        <v>43434</v>
      </c>
      <c r="B1772" t="s">
        <v>48</v>
      </c>
      <c r="C1772" s="28">
        <v>1</v>
      </c>
      <c r="D1772" s="28">
        <v>1</v>
      </c>
      <c r="E1772">
        <f>4*8.35</f>
        <v>33.4</v>
      </c>
      <c r="F1772" t="s">
        <v>303</v>
      </c>
      <c r="G1772" t="s">
        <v>811</v>
      </c>
      <c r="H1772" s="9" t="s">
        <v>1071</v>
      </c>
      <c r="I1772">
        <f t="shared" si="109"/>
        <v>33.4</v>
      </c>
      <c r="J1772">
        <f t="shared" si="107"/>
        <v>15.149985158</v>
      </c>
      <c r="K1772">
        <v>0.74299999999999999</v>
      </c>
      <c r="L1772">
        <f t="shared" si="108"/>
        <v>11.256438972393999</v>
      </c>
    </row>
    <row r="1773" spans="1:12" x14ac:dyDescent="0.2">
      <c r="A1773" s="4">
        <v>43435</v>
      </c>
      <c r="B1773" t="s">
        <v>48</v>
      </c>
      <c r="C1773" s="28">
        <v>1</v>
      </c>
      <c r="D1773" s="28">
        <v>1</v>
      </c>
      <c r="E1773">
        <f>4*8.35</f>
        <v>33.4</v>
      </c>
      <c r="F1773" t="s">
        <v>303</v>
      </c>
      <c r="G1773" t="s">
        <v>811</v>
      </c>
      <c r="H1773" s="9" t="s">
        <v>1071</v>
      </c>
      <c r="I1773">
        <f t="shared" si="109"/>
        <v>33.4</v>
      </c>
      <c r="J1773">
        <f t="shared" si="107"/>
        <v>15.149985158</v>
      </c>
      <c r="K1773">
        <v>0.74299999999999999</v>
      </c>
      <c r="L1773">
        <f t="shared" si="108"/>
        <v>11.256438972393999</v>
      </c>
    </row>
    <row r="1774" spans="1:12" x14ac:dyDescent="0.2">
      <c r="A1774" s="4">
        <v>43437</v>
      </c>
      <c r="B1774" t="s">
        <v>48</v>
      </c>
      <c r="C1774" s="28">
        <v>1</v>
      </c>
      <c r="D1774" s="28">
        <v>1</v>
      </c>
      <c r="E1774">
        <f>4*8.35</f>
        <v>33.4</v>
      </c>
      <c r="F1774" t="s">
        <v>303</v>
      </c>
      <c r="G1774" t="s">
        <v>811</v>
      </c>
      <c r="H1774" s="9" t="s">
        <v>1071</v>
      </c>
      <c r="I1774">
        <f t="shared" si="109"/>
        <v>33.4</v>
      </c>
      <c r="J1774">
        <f t="shared" si="107"/>
        <v>15.149985158</v>
      </c>
      <c r="K1774">
        <v>0.74299999999999999</v>
      </c>
      <c r="L1774">
        <f t="shared" si="108"/>
        <v>11.256438972393999</v>
      </c>
    </row>
    <row r="1775" spans="1:12" x14ac:dyDescent="0.2">
      <c r="A1775" s="4">
        <v>43437</v>
      </c>
      <c r="B1775" t="s">
        <v>48</v>
      </c>
      <c r="C1775" s="28">
        <v>2</v>
      </c>
      <c r="D1775" s="28">
        <v>1</v>
      </c>
      <c r="E1775">
        <v>25</v>
      </c>
      <c r="F1775" t="s">
        <v>493</v>
      </c>
      <c r="G1775" t="s">
        <v>215</v>
      </c>
      <c r="H1775" s="9" t="s">
        <v>1071</v>
      </c>
      <c r="I1775">
        <f t="shared" si="109"/>
        <v>50</v>
      </c>
      <c r="J1775">
        <f t="shared" si="107"/>
        <v>22.6796185</v>
      </c>
      <c r="K1775">
        <v>0.95</v>
      </c>
      <c r="L1775">
        <f t="shared" si="108"/>
        <v>21.545637575000001</v>
      </c>
    </row>
    <row r="1776" spans="1:12" x14ac:dyDescent="0.2">
      <c r="A1776" s="4">
        <v>43440</v>
      </c>
      <c r="B1776" t="s">
        <v>48</v>
      </c>
      <c r="C1776" s="35">
        <v>2</v>
      </c>
      <c r="D1776" s="28">
        <v>1</v>
      </c>
      <c r="E1776" s="8">
        <v>25</v>
      </c>
      <c r="F1776" s="8" t="s">
        <v>516</v>
      </c>
      <c r="G1776" s="8" t="s">
        <v>215</v>
      </c>
      <c r="H1776" s="9" t="s">
        <v>1071</v>
      </c>
      <c r="I1776">
        <f t="shared" si="109"/>
        <v>50</v>
      </c>
      <c r="J1776">
        <f t="shared" si="107"/>
        <v>22.6796185</v>
      </c>
      <c r="K1776">
        <v>0.95</v>
      </c>
      <c r="L1776">
        <f t="shared" si="108"/>
        <v>21.545637575000001</v>
      </c>
    </row>
    <row r="1777" spans="1:12" x14ac:dyDescent="0.2">
      <c r="A1777" s="4">
        <v>43434</v>
      </c>
      <c r="B1777" t="s">
        <v>48</v>
      </c>
      <c r="C1777" s="28">
        <v>6</v>
      </c>
      <c r="D1777" s="28">
        <v>1</v>
      </c>
      <c r="E1777">
        <v>18</v>
      </c>
      <c r="F1777" t="s">
        <v>304</v>
      </c>
      <c r="G1777" t="s">
        <v>786</v>
      </c>
      <c r="H1777" s="9" t="s">
        <v>1071</v>
      </c>
      <c r="I1777">
        <f t="shared" si="109"/>
        <v>108</v>
      </c>
      <c r="J1777">
        <f t="shared" si="107"/>
        <v>48.987975960000007</v>
      </c>
      <c r="K1777">
        <v>0.47799999999999998</v>
      </c>
      <c r="L1777">
        <f t="shared" si="108"/>
        <v>23.416252508880003</v>
      </c>
    </row>
    <row r="1778" spans="1:12" x14ac:dyDescent="0.2">
      <c r="A1778" s="4">
        <v>43437</v>
      </c>
      <c r="B1778" t="s">
        <v>48</v>
      </c>
      <c r="C1778" s="28">
        <v>6</v>
      </c>
      <c r="D1778" s="28">
        <v>1</v>
      </c>
      <c r="E1778">
        <v>18</v>
      </c>
      <c r="F1778" t="s">
        <v>304</v>
      </c>
      <c r="G1778" t="s">
        <v>786</v>
      </c>
      <c r="H1778" s="9" t="s">
        <v>1071</v>
      </c>
      <c r="I1778">
        <f t="shared" si="109"/>
        <v>108</v>
      </c>
      <c r="J1778">
        <f t="shared" si="107"/>
        <v>48.987975960000007</v>
      </c>
      <c r="K1778">
        <v>0.47799999999999998</v>
      </c>
      <c r="L1778">
        <f t="shared" si="108"/>
        <v>23.416252508880003</v>
      </c>
    </row>
    <row r="1779" spans="1:12" x14ac:dyDescent="0.2">
      <c r="A1779" s="4">
        <v>43439</v>
      </c>
      <c r="B1779" t="s">
        <v>48</v>
      </c>
      <c r="C1779" s="28">
        <v>6</v>
      </c>
      <c r="D1779" s="28">
        <v>1</v>
      </c>
      <c r="E1779">
        <v>18</v>
      </c>
      <c r="F1779" t="s">
        <v>304</v>
      </c>
      <c r="G1779" t="s">
        <v>786</v>
      </c>
      <c r="H1779" s="9" t="s">
        <v>1071</v>
      </c>
      <c r="I1779">
        <f t="shared" si="109"/>
        <v>108</v>
      </c>
      <c r="J1779">
        <f t="shared" si="107"/>
        <v>48.987975960000007</v>
      </c>
      <c r="K1779">
        <v>0.47799999999999998</v>
      </c>
      <c r="L1779">
        <f t="shared" si="108"/>
        <v>23.416252508880003</v>
      </c>
    </row>
    <row r="1780" spans="1:12" x14ac:dyDescent="0.2">
      <c r="A1780" s="4">
        <v>43440</v>
      </c>
      <c r="B1780" t="s">
        <v>48</v>
      </c>
      <c r="C1780" s="28">
        <v>4</v>
      </c>
      <c r="D1780" s="28">
        <v>1</v>
      </c>
      <c r="E1780">
        <v>18</v>
      </c>
      <c r="F1780" t="s">
        <v>304</v>
      </c>
      <c r="G1780" t="s">
        <v>786</v>
      </c>
      <c r="H1780" s="9" t="s">
        <v>1071</v>
      </c>
      <c r="I1780">
        <f t="shared" si="109"/>
        <v>72</v>
      </c>
      <c r="J1780">
        <f t="shared" si="107"/>
        <v>32.658650639999998</v>
      </c>
      <c r="K1780">
        <v>0.47799999999999998</v>
      </c>
      <c r="L1780">
        <f t="shared" si="108"/>
        <v>15.610835005919999</v>
      </c>
    </row>
    <row r="1781" spans="1:12" x14ac:dyDescent="0.2">
      <c r="A1781" s="4">
        <v>43434</v>
      </c>
      <c r="B1781" t="s">
        <v>48</v>
      </c>
      <c r="C1781" s="28">
        <v>1</v>
      </c>
      <c r="D1781" s="28">
        <v>1</v>
      </c>
      <c r="E1781">
        <f>2*36*(8.7/16)</f>
        <v>39.15</v>
      </c>
      <c r="F1781" t="s">
        <v>481</v>
      </c>
      <c r="G1781" s="6" t="s">
        <v>836</v>
      </c>
      <c r="H1781" s="9" t="s">
        <v>1071</v>
      </c>
      <c r="I1781">
        <f t="shared" si="109"/>
        <v>39.15</v>
      </c>
      <c r="J1781">
        <f t="shared" si="107"/>
        <v>17.758141285500002</v>
      </c>
      <c r="K1781">
        <v>1.21</v>
      </c>
      <c r="L1781">
        <f t="shared" si="108"/>
        <v>21.487350955455003</v>
      </c>
    </row>
    <row r="1782" spans="1:12" x14ac:dyDescent="0.2">
      <c r="A1782" s="4">
        <v>43438</v>
      </c>
      <c r="B1782" t="s">
        <v>48</v>
      </c>
      <c r="C1782" s="28">
        <v>2</v>
      </c>
      <c r="D1782" s="28">
        <v>1</v>
      </c>
      <c r="E1782">
        <f>2*36*(8.7/16)</f>
        <v>39.15</v>
      </c>
      <c r="F1782" t="s">
        <v>497</v>
      </c>
      <c r="G1782" s="6" t="s">
        <v>836</v>
      </c>
      <c r="H1782" s="9" t="s">
        <v>1071</v>
      </c>
      <c r="I1782">
        <f t="shared" si="109"/>
        <v>78.3</v>
      </c>
      <c r="J1782">
        <f t="shared" si="107"/>
        <v>35.516282571000005</v>
      </c>
      <c r="K1782">
        <v>1.21</v>
      </c>
      <c r="L1782">
        <f t="shared" si="108"/>
        <v>42.974701910910007</v>
      </c>
    </row>
    <row r="1783" spans="1:12" x14ac:dyDescent="0.2">
      <c r="A1783" s="4">
        <v>43434</v>
      </c>
      <c r="B1783" t="s">
        <v>538</v>
      </c>
      <c r="C1783">
        <v>2</v>
      </c>
      <c r="D1783">
        <v>8</v>
      </c>
      <c r="E1783">
        <v>5</v>
      </c>
      <c r="F1783" t="s">
        <v>542</v>
      </c>
      <c r="G1783" s="6" t="s">
        <v>899</v>
      </c>
      <c r="H1783" s="9" t="s">
        <v>1071</v>
      </c>
      <c r="I1783">
        <f t="shared" si="109"/>
        <v>80</v>
      </c>
      <c r="J1783">
        <f t="shared" si="107"/>
        <v>36.287389600000004</v>
      </c>
      <c r="K1783">
        <v>0.55000000000000004</v>
      </c>
      <c r="L1783">
        <f t="shared" si="108"/>
        <v>19.958064280000006</v>
      </c>
    </row>
    <row r="1784" spans="1:12" x14ac:dyDescent="0.2">
      <c r="A1784" s="4">
        <v>43434</v>
      </c>
      <c r="B1784" t="s">
        <v>48</v>
      </c>
      <c r="C1784" s="28">
        <v>1</v>
      </c>
      <c r="D1784" s="28">
        <v>1</v>
      </c>
      <c r="E1784">
        <v>1</v>
      </c>
      <c r="F1784" t="s">
        <v>307</v>
      </c>
      <c r="G1784" t="s">
        <v>812</v>
      </c>
      <c r="H1784" s="9" t="s">
        <v>1071</v>
      </c>
      <c r="I1784">
        <f t="shared" si="109"/>
        <v>1</v>
      </c>
      <c r="J1784">
        <f t="shared" si="107"/>
        <v>0.45359237000000002</v>
      </c>
      <c r="K1784">
        <v>0.221</v>
      </c>
      <c r="L1784">
        <f t="shared" si="108"/>
        <v>0.10024391377000001</v>
      </c>
    </row>
    <row r="1785" spans="1:12" x14ac:dyDescent="0.2">
      <c r="A1785" s="4">
        <v>43434</v>
      </c>
      <c r="B1785" t="s">
        <v>48</v>
      </c>
      <c r="C1785" s="28">
        <v>1</v>
      </c>
      <c r="D1785" s="28">
        <v>1</v>
      </c>
      <c r="E1785">
        <v>1</v>
      </c>
      <c r="F1785" t="s">
        <v>309</v>
      </c>
      <c r="G1785" t="s">
        <v>812</v>
      </c>
      <c r="H1785" s="9" t="s">
        <v>1071</v>
      </c>
      <c r="I1785">
        <f t="shared" si="109"/>
        <v>1</v>
      </c>
      <c r="J1785">
        <f t="shared" si="107"/>
        <v>0.45359237000000002</v>
      </c>
      <c r="K1785">
        <v>0.221</v>
      </c>
      <c r="L1785">
        <f t="shared" si="108"/>
        <v>0.10024391377000001</v>
      </c>
    </row>
    <row r="1786" spans="1:12" x14ac:dyDescent="0.2">
      <c r="A1786" s="4">
        <v>43435</v>
      </c>
      <c r="B1786" t="s">
        <v>48</v>
      </c>
      <c r="C1786" s="28">
        <v>1</v>
      </c>
      <c r="D1786" s="28">
        <v>1</v>
      </c>
      <c r="E1786">
        <v>1</v>
      </c>
      <c r="F1786" t="s">
        <v>307</v>
      </c>
      <c r="G1786" t="s">
        <v>812</v>
      </c>
      <c r="H1786" s="9" t="s">
        <v>1071</v>
      </c>
      <c r="I1786">
        <f t="shared" si="109"/>
        <v>1</v>
      </c>
      <c r="J1786">
        <f t="shared" si="107"/>
        <v>0.45359237000000002</v>
      </c>
      <c r="K1786">
        <v>0.221</v>
      </c>
      <c r="L1786">
        <f t="shared" si="108"/>
        <v>0.10024391377000001</v>
      </c>
    </row>
    <row r="1787" spans="1:12" x14ac:dyDescent="0.2">
      <c r="A1787" s="4">
        <v>43437</v>
      </c>
      <c r="B1787" t="s">
        <v>48</v>
      </c>
      <c r="C1787" s="28">
        <v>1</v>
      </c>
      <c r="D1787" s="28">
        <v>1</v>
      </c>
      <c r="E1787">
        <v>1</v>
      </c>
      <c r="F1787" t="s">
        <v>309</v>
      </c>
      <c r="G1787" t="s">
        <v>812</v>
      </c>
      <c r="H1787" s="9" t="s">
        <v>1071</v>
      </c>
      <c r="I1787">
        <f t="shared" si="109"/>
        <v>1</v>
      </c>
      <c r="J1787">
        <f t="shared" si="107"/>
        <v>0.45359237000000002</v>
      </c>
      <c r="K1787">
        <v>0.221</v>
      </c>
      <c r="L1787">
        <f t="shared" si="108"/>
        <v>0.10024391377000001</v>
      </c>
    </row>
    <row r="1788" spans="1:12" x14ac:dyDescent="0.2">
      <c r="A1788" s="4">
        <v>43438</v>
      </c>
      <c r="B1788" t="s">
        <v>48</v>
      </c>
      <c r="C1788" s="28">
        <v>1</v>
      </c>
      <c r="D1788" s="28">
        <v>1</v>
      </c>
      <c r="E1788">
        <v>1</v>
      </c>
      <c r="F1788" t="s">
        <v>307</v>
      </c>
      <c r="G1788" t="s">
        <v>812</v>
      </c>
      <c r="H1788" s="9" t="s">
        <v>1071</v>
      </c>
      <c r="I1788">
        <f t="shared" si="109"/>
        <v>1</v>
      </c>
      <c r="J1788">
        <f t="shared" si="107"/>
        <v>0.45359237000000002</v>
      </c>
      <c r="K1788">
        <v>0.221</v>
      </c>
      <c r="L1788">
        <f t="shared" si="108"/>
        <v>0.10024391377000001</v>
      </c>
    </row>
    <row r="1789" spans="1:12" x14ac:dyDescent="0.2">
      <c r="A1789" s="4">
        <v>43438</v>
      </c>
      <c r="B1789" t="s">
        <v>48</v>
      </c>
      <c r="C1789" s="28">
        <v>1</v>
      </c>
      <c r="D1789" s="28">
        <v>1</v>
      </c>
      <c r="E1789">
        <v>1</v>
      </c>
      <c r="F1789" t="s">
        <v>308</v>
      </c>
      <c r="G1789" t="s">
        <v>812</v>
      </c>
      <c r="H1789" s="9" t="s">
        <v>1071</v>
      </c>
      <c r="I1789">
        <f t="shared" si="109"/>
        <v>1</v>
      </c>
      <c r="J1789">
        <f t="shared" si="107"/>
        <v>0.45359237000000002</v>
      </c>
      <c r="K1789">
        <v>0.221</v>
      </c>
      <c r="L1789">
        <f t="shared" si="108"/>
        <v>0.10024391377000001</v>
      </c>
    </row>
    <row r="1790" spans="1:12" x14ac:dyDescent="0.2">
      <c r="A1790" s="4">
        <v>43438</v>
      </c>
      <c r="B1790" t="s">
        <v>48</v>
      </c>
      <c r="C1790" s="28">
        <v>1</v>
      </c>
      <c r="D1790" s="28">
        <v>1</v>
      </c>
      <c r="E1790">
        <v>1</v>
      </c>
      <c r="F1790" t="s">
        <v>309</v>
      </c>
      <c r="G1790" t="s">
        <v>812</v>
      </c>
      <c r="H1790" s="9" t="s">
        <v>1071</v>
      </c>
      <c r="I1790">
        <f t="shared" si="109"/>
        <v>1</v>
      </c>
      <c r="J1790">
        <f t="shared" si="107"/>
        <v>0.45359237000000002</v>
      </c>
      <c r="K1790">
        <v>0.221</v>
      </c>
      <c r="L1790">
        <f t="shared" si="108"/>
        <v>0.10024391377000001</v>
      </c>
    </row>
    <row r="1791" spans="1:12" x14ac:dyDescent="0.2">
      <c r="A1791" s="4">
        <v>43437</v>
      </c>
      <c r="B1791" t="s">
        <v>538</v>
      </c>
      <c r="C1791">
        <v>1</v>
      </c>
      <c r="D1791">
        <v>6</v>
      </c>
      <c r="E1791">
        <v>5</v>
      </c>
      <c r="F1791" t="s">
        <v>571</v>
      </c>
      <c r="G1791" t="s">
        <v>878</v>
      </c>
      <c r="H1791" s="9" t="s">
        <v>1071</v>
      </c>
      <c r="I1791">
        <f t="shared" si="109"/>
        <v>30</v>
      </c>
      <c r="J1791">
        <f t="shared" si="107"/>
        <v>13.607771100000001</v>
      </c>
      <c r="K1791">
        <v>2.44</v>
      </c>
      <c r="L1791">
        <f t="shared" si="108"/>
        <v>33.202961483999999</v>
      </c>
    </row>
    <row r="1792" spans="1:12" x14ac:dyDescent="0.2">
      <c r="A1792" s="4">
        <v>43439</v>
      </c>
      <c r="B1792" t="s">
        <v>538</v>
      </c>
      <c r="C1792">
        <v>1</v>
      </c>
      <c r="D1792">
        <v>6</v>
      </c>
      <c r="E1792">
        <v>5</v>
      </c>
      <c r="F1792" t="s">
        <v>571</v>
      </c>
      <c r="G1792" t="s">
        <v>878</v>
      </c>
      <c r="H1792" s="9" t="s">
        <v>1071</v>
      </c>
      <c r="I1792">
        <f t="shared" si="109"/>
        <v>30</v>
      </c>
      <c r="J1792">
        <f t="shared" si="107"/>
        <v>13.607771100000001</v>
      </c>
      <c r="K1792">
        <v>2.44</v>
      </c>
      <c r="L1792">
        <f t="shared" si="108"/>
        <v>33.202961483999999</v>
      </c>
    </row>
    <row r="1793" spans="1:12" x14ac:dyDescent="0.2">
      <c r="A1793" s="4">
        <v>43434</v>
      </c>
      <c r="B1793" t="s">
        <v>48</v>
      </c>
      <c r="C1793" s="28">
        <v>8</v>
      </c>
      <c r="D1793" s="28">
        <v>1</v>
      </c>
      <c r="E1793">
        <f>8*4</f>
        <v>32</v>
      </c>
      <c r="F1793" t="s">
        <v>312</v>
      </c>
      <c r="G1793" t="s">
        <v>789</v>
      </c>
      <c r="H1793" s="9" t="s">
        <v>1071</v>
      </c>
      <c r="I1793">
        <f t="shared" si="109"/>
        <v>256</v>
      </c>
      <c r="J1793">
        <f t="shared" si="107"/>
        <v>116.11964672000001</v>
      </c>
      <c r="K1793">
        <v>0.28399999999999997</v>
      </c>
      <c r="L1793">
        <f t="shared" si="108"/>
        <v>32.977979668479996</v>
      </c>
    </row>
    <row r="1794" spans="1:12" x14ac:dyDescent="0.2">
      <c r="A1794" s="4">
        <v>43435</v>
      </c>
      <c r="B1794" t="s">
        <v>48</v>
      </c>
      <c r="C1794" s="28">
        <v>6</v>
      </c>
      <c r="D1794" s="28">
        <v>1</v>
      </c>
      <c r="E1794">
        <f>8*4</f>
        <v>32</v>
      </c>
      <c r="F1794" t="s">
        <v>312</v>
      </c>
      <c r="G1794" t="s">
        <v>789</v>
      </c>
      <c r="H1794" s="9" t="s">
        <v>1071</v>
      </c>
      <c r="I1794">
        <f t="shared" si="109"/>
        <v>192</v>
      </c>
      <c r="J1794">
        <f t="shared" si="107"/>
        <v>87.089735040000008</v>
      </c>
      <c r="K1794">
        <v>0.28399999999999997</v>
      </c>
      <c r="L1794">
        <f t="shared" si="108"/>
        <v>24.733484751359999</v>
      </c>
    </row>
    <row r="1795" spans="1:12" x14ac:dyDescent="0.2">
      <c r="A1795" s="4">
        <v>43437</v>
      </c>
      <c r="B1795" t="s">
        <v>48</v>
      </c>
      <c r="C1795" s="28">
        <v>5</v>
      </c>
      <c r="D1795" s="28">
        <v>1</v>
      </c>
      <c r="E1795">
        <f>8*4</f>
        <v>32</v>
      </c>
      <c r="F1795" t="s">
        <v>312</v>
      </c>
      <c r="G1795" t="s">
        <v>789</v>
      </c>
      <c r="H1795" s="9" t="s">
        <v>1071</v>
      </c>
      <c r="I1795">
        <f t="shared" si="109"/>
        <v>160</v>
      </c>
      <c r="J1795">
        <f t="shared" ref="J1795:J1858" si="110">CONVERT(I1795,"lbm","kg")</f>
        <v>72.574779200000009</v>
      </c>
      <c r="K1795">
        <v>0.28399999999999997</v>
      </c>
      <c r="L1795">
        <f t="shared" ref="L1795:L1858" si="111">J1795*K1795</f>
        <v>20.611237292800002</v>
      </c>
    </row>
    <row r="1796" spans="1:12" x14ac:dyDescent="0.2">
      <c r="A1796" s="4">
        <v>43438</v>
      </c>
      <c r="B1796" t="s">
        <v>48</v>
      </c>
      <c r="C1796" s="28">
        <v>7</v>
      </c>
      <c r="D1796" s="28">
        <v>1</v>
      </c>
      <c r="E1796">
        <f>8*4</f>
        <v>32</v>
      </c>
      <c r="F1796" t="s">
        <v>312</v>
      </c>
      <c r="G1796" t="s">
        <v>789</v>
      </c>
      <c r="H1796" s="9" t="s">
        <v>1071</v>
      </c>
      <c r="I1796">
        <f t="shared" si="109"/>
        <v>224</v>
      </c>
      <c r="J1796">
        <f t="shared" si="110"/>
        <v>101.60469088000001</v>
      </c>
      <c r="K1796">
        <v>0.28399999999999997</v>
      </c>
      <c r="L1796">
        <f t="shared" si="111"/>
        <v>28.855732209919999</v>
      </c>
    </row>
    <row r="1797" spans="1:12" x14ac:dyDescent="0.2">
      <c r="A1797" s="4">
        <v>43440</v>
      </c>
      <c r="B1797" t="s">
        <v>48</v>
      </c>
      <c r="C1797" s="28">
        <v>4</v>
      </c>
      <c r="D1797" s="28">
        <v>1</v>
      </c>
      <c r="E1797">
        <f>8*4</f>
        <v>32</v>
      </c>
      <c r="F1797" t="s">
        <v>312</v>
      </c>
      <c r="G1797" t="s">
        <v>789</v>
      </c>
      <c r="H1797" s="9" t="s">
        <v>1071</v>
      </c>
      <c r="I1797">
        <f t="shared" si="109"/>
        <v>128</v>
      </c>
      <c r="J1797">
        <f t="shared" si="110"/>
        <v>58.059823360000003</v>
      </c>
      <c r="K1797">
        <v>0.28399999999999997</v>
      </c>
      <c r="L1797">
        <f t="shared" si="111"/>
        <v>16.488989834239998</v>
      </c>
    </row>
    <row r="1798" spans="1:12" x14ac:dyDescent="0.2">
      <c r="A1798" s="10">
        <v>43404</v>
      </c>
      <c r="B1798" s="9" t="s">
        <v>946</v>
      </c>
      <c r="C1798" s="37">
        <v>1</v>
      </c>
      <c r="D1798" s="37">
        <v>1</v>
      </c>
      <c r="E1798" s="9">
        <f>5*10</f>
        <v>50</v>
      </c>
      <c r="F1798" s="9" t="s">
        <v>947</v>
      </c>
      <c r="G1798" s="9" t="s">
        <v>950</v>
      </c>
      <c r="H1798" s="9" t="s">
        <v>1073</v>
      </c>
      <c r="I1798">
        <f t="shared" si="109"/>
        <v>50</v>
      </c>
      <c r="J1798">
        <f t="shared" si="110"/>
        <v>22.6796185</v>
      </c>
      <c r="K1798" s="9">
        <v>3.8</v>
      </c>
      <c r="L1798">
        <f t="shared" si="111"/>
        <v>86.182550300000003</v>
      </c>
    </row>
    <row r="1799" spans="1:12" x14ac:dyDescent="0.2">
      <c r="A1799" s="10">
        <v>43404</v>
      </c>
      <c r="B1799" s="9" t="s">
        <v>946</v>
      </c>
      <c r="C1799" s="37">
        <v>1</v>
      </c>
      <c r="D1799" s="37">
        <v>1</v>
      </c>
      <c r="E1799" s="9">
        <f>5*10</f>
        <v>50</v>
      </c>
      <c r="F1799" s="9" t="s">
        <v>948</v>
      </c>
      <c r="G1799" s="9" t="s">
        <v>950</v>
      </c>
      <c r="H1799" s="9" t="s">
        <v>1073</v>
      </c>
      <c r="I1799">
        <f t="shared" si="109"/>
        <v>50</v>
      </c>
      <c r="J1799">
        <f t="shared" si="110"/>
        <v>22.6796185</v>
      </c>
      <c r="K1799" s="9">
        <v>3.8</v>
      </c>
      <c r="L1799">
        <f t="shared" si="111"/>
        <v>86.182550300000003</v>
      </c>
    </row>
    <row r="1800" spans="1:12" x14ac:dyDescent="0.2">
      <c r="A1800" s="10">
        <v>43404</v>
      </c>
      <c r="B1800" s="9" t="s">
        <v>946</v>
      </c>
      <c r="C1800" s="37">
        <v>1</v>
      </c>
      <c r="D1800" s="37">
        <v>1</v>
      </c>
      <c r="E1800" s="9">
        <f>5*10</f>
        <v>50</v>
      </c>
      <c r="F1800" s="9" t="s">
        <v>952</v>
      </c>
      <c r="G1800" s="9" t="s">
        <v>950</v>
      </c>
      <c r="H1800" s="9" t="s">
        <v>1073</v>
      </c>
      <c r="I1800">
        <f t="shared" si="109"/>
        <v>50</v>
      </c>
      <c r="J1800">
        <f t="shared" si="110"/>
        <v>22.6796185</v>
      </c>
      <c r="K1800" s="9">
        <v>3.8</v>
      </c>
      <c r="L1800">
        <f t="shared" si="111"/>
        <v>86.182550300000003</v>
      </c>
    </row>
    <row r="1801" spans="1:12" x14ac:dyDescent="0.2">
      <c r="A1801" s="4">
        <v>43434</v>
      </c>
      <c r="B1801" t="s">
        <v>517</v>
      </c>
      <c r="C1801">
        <v>4</v>
      </c>
      <c r="D1801">
        <v>1</v>
      </c>
      <c r="E1801">
        <f t="shared" ref="E1801:E1808" si="112">3*8.6</f>
        <v>25.799999999999997</v>
      </c>
      <c r="F1801" t="s">
        <v>518</v>
      </c>
      <c r="G1801" s="6" t="s">
        <v>888</v>
      </c>
      <c r="H1801" s="9" t="s">
        <v>1073</v>
      </c>
      <c r="I1801">
        <f t="shared" si="109"/>
        <v>103.19999999999999</v>
      </c>
      <c r="J1801">
        <f t="shared" si="110"/>
        <v>46.810732584</v>
      </c>
      <c r="K1801" s="6">
        <v>3.84</v>
      </c>
      <c r="L1801">
        <f t="shared" si="111"/>
        <v>179.75321312256</v>
      </c>
    </row>
    <row r="1802" spans="1:12" x14ac:dyDescent="0.2">
      <c r="A1802" s="4">
        <v>43434</v>
      </c>
      <c r="B1802" t="s">
        <v>517</v>
      </c>
      <c r="C1802">
        <v>4</v>
      </c>
      <c r="D1802">
        <v>1</v>
      </c>
      <c r="E1802">
        <f t="shared" si="112"/>
        <v>25.799999999999997</v>
      </c>
      <c r="F1802" t="s">
        <v>468</v>
      </c>
      <c r="G1802" s="6" t="s">
        <v>888</v>
      </c>
      <c r="H1802" s="9" t="s">
        <v>1073</v>
      </c>
      <c r="I1802">
        <f t="shared" si="109"/>
        <v>103.19999999999999</v>
      </c>
      <c r="J1802">
        <f t="shared" si="110"/>
        <v>46.810732584</v>
      </c>
      <c r="K1802" s="6">
        <v>3.84</v>
      </c>
      <c r="L1802">
        <f t="shared" si="111"/>
        <v>179.75321312256</v>
      </c>
    </row>
    <row r="1803" spans="1:12" x14ac:dyDescent="0.2">
      <c r="A1803" s="4">
        <v>43434</v>
      </c>
      <c r="B1803" t="s">
        <v>517</v>
      </c>
      <c r="C1803">
        <v>4</v>
      </c>
      <c r="D1803">
        <v>1</v>
      </c>
      <c r="E1803">
        <f t="shared" si="112"/>
        <v>25.799999999999997</v>
      </c>
      <c r="F1803" t="s">
        <v>524</v>
      </c>
      <c r="G1803" s="6" t="s">
        <v>888</v>
      </c>
      <c r="H1803" s="9" t="s">
        <v>1073</v>
      </c>
      <c r="I1803">
        <f t="shared" si="109"/>
        <v>103.19999999999999</v>
      </c>
      <c r="J1803">
        <f t="shared" si="110"/>
        <v>46.810732584</v>
      </c>
      <c r="K1803" s="6">
        <v>3.84</v>
      </c>
      <c r="L1803">
        <f t="shared" si="111"/>
        <v>179.75321312256</v>
      </c>
    </row>
    <row r="1804" spans="1:12" x14ac:dyDescent="0.2">
      <c r="A1804" s="4">
        <v>43439</v>
      </c>
      <c r="B1804" t="s">
        <v>517</v>
      </c>
      <c r="C1804">
        <v>2</v>
      </c>
      <c r="D1804">
        <v>1</v>
      </c>
      <c r="E1804">
        <f t="shared" si="112"/>
        <v>25.799999999999997</v>
      </c>
      <c r="F1804" t="s">
        <v>600</v>
      </c>
      <c r="G1804" s="6" t="s">
        <v>888</v>
      </c>
      <c r="H1804" s="9" t="s">
        <v>1073</v>
      </c>
      <c r="I1804">
        <f t="shared" si="109"/>
        <v>51.599999999999994</v>
      </c>
      <c r="J1804">
        <f t="shared" si="110"/>
        <v>23.405366292</v>
      </c>
      <c r="K1804" s="6">
        <v>3.84</v>
      </c>
      <c r="L1804">
        <f t="shared" si="111"/>
        <v>89.876606561279999</v>
      </c>
    </row>
    <row r="1805" spans="1:12" x14ac:dyDescent="0.2">
      <c r="A1805" s="4">
        <v>43439</v>
      </c>
      <c r="B1805" t="s">
        <v>517</v>
      </c>
      <c r="C1805">
        <v>2</v>
      </c>
      <c r="D1805">
        <v>1</v>
      </c>
      <c r="E1805">
        <f t="shared" si="112"/>
        <v>25.799999999999997</v>
      </c>
      <c r="F1805" t="s">
        <v>466</v>
      </c>
      <c r="G1805" s="6" t="s">
        <v>888</v>
      </c>
      <c r="H1805" s="9" t="s">
        <v>1073</v>
      </c>
      <c r="I1805">
        <f t="shared" si="109"/>
        <v>51.599999999999994</v>
      </c>
      <c r="J1805">
        <f t="shared" si="110"/>
        <v>23.405366292</v>
      </c>
      <c r="K1805" s="6">
        <v>3.84</v>
      </c>
      <c r="L1805">
        <f t="shared" si="111"/>
        <v>89.876606561279999</v>
      </c>
    </row>
    <row r="1806" spans="1:12" x14ac:dyDescent="0.2">
      <c r="A1806" s="4">
        <v>43439</v>
      </c>
      <c r="B1806" t="s">
        <v>517</v>
      </c>
      <c r="C1806">
        <v>3</v>
      </c>
      <c r="D1806">
        <v>1</v>
      </c>
      <c r="E1806">
        <f t="shared" si="112"/>
        <v>25.799999999999997</v>
      </c>
      <c r="F1806" t="s">
        <v>467</v>
      </c>
      <c r="G1806" s="6" t="s">
        <v>888</v>
      </c>
      <c r="H1806" s="9" t="s">
        <v>1073</v>
      </c>
      <c r="I1806">
        <f t="shared" si="109"/>
        <v>77.399999999999991</v>
      </c>
      <c r="J1806">
        <f t="shared" si="110"/>
        <v>35.108049437999995</v>
      </c>
      <c r="K1806" s="6">
        <v>3.84</v>
      </c>
      <c r="L1806">
        <f t="shared" si="111"/>
        <v>134.81490984191998</v>
      </c>
    </row>
    <row r="1807" spans="1:12" x14ac:dyDescent="0.2">
      <c r="A1807" s="4">
        <v>43439</v>
      </c>
      <c r="B1807" t="s">
        <v>517</v>
      </c>
      <c r="C1807">
        <v>3</v>
      </c>
      <c r="D1807">
        <v>1</v>
      </c>
      <c r="E1807">
        <f t="shared" si="112"/>
        <v>25.799999999999997</v>
      </c>
      <c r="F1807" t="s">
        <v>468</v>
      </c>
      <c r="G1807" s="6" t="s">
        <v>888</v>
      </c>
      <c r="H1807" s="9" t="s">
        <v>1073</v>
      </c>
      <c r="I1807">
        <f t="shared" ref="I1807:I1870" si="113">C1807*D1807*E1807</f>
        <v>77.399999999999991</v>
      </c>
      <c r="J1807">
        <f t="shared" si="110"/>
        <v>35.108049437999995</v>
      </c>
      <c r="K1807" s="6">
        <v>3.84</v>
      </c>
      <c r="L1807">
        <f t="shared" si="111"/>
        <v>134.81490984191998</v>
      </c>
    </row>
    <row r="1808" spans="1:12" x14ac:dyDescent="0.2">
      <c r="A1808" s="4">
        <v>43439</v>
      </c>
      <c r="B1808" t="s">
        <v>517</v>
      </c>
      <c r="C1808">
        <v>3</v>
      </c>
      <c r="D1808">
        <v>1</v>
      </c>
      <c r="E1808">
        <f t="shared" si="112"/>
        <v>25.799999999999997</v>
      </c>
      <c r="F1808" t="s">
        <v>469</v>
      </c>
      <c r="G1808" s="6" t="s">
        <v>888</v>
      </c>
      <c r="H1808" s="9" t="s">
        <v>1073</v>
      </c>
      <c r="I1808">
        <f t="shared" si="113"/>
        <v>77.399999999999991</v>
      </c>
      <c r="J1808">
        <f t="shared" si="110"/>
        <v>35.108049437999995</v>
      </c>
      <c r="K1808" s="6">
        <v>3.84</v>
      </c>
      <c r="L1808">
        <f t="shared" si="111"/>
        <v>134.81490984191998</v>
      </c>
    </row>
    <row r="1809" spans="1:12" x14ac:dyDescent="0.2">
      <c r="A1809" s="4">
        <v>43434</v>
      </c>
      <c r="B1809" t="s">
        <v>538</v>
      </c>
      <c r="C1809">
        <v>1</v>
      </c>
      <c r="D1809">
        <v>6</v>
      </c>
      <c r="E1809">
        <v>4</v>
      </c>
      <c r="F1809" t="s">
        <v>438</v>
      </c>
      <c r="G1809" s="6" t="s">
        <v>866</v>
      </c>
      <c r="H1809" s="9" t="s">
        <v>1071</v>
      </c>
      <c r="I1809">
        <f t="shared" si="113"/>
        <v>24</v>
      </c>
      <c r="J1809">
        <f t="shared" si="110"/>
        <v>10.886216880000001</v>
      </c>
      <c r="K1809" s="6">
        <v>3.25</v>
      </c>
      <c r="L1809">
        <f t="shared" si="111"/>
        <v>35.380204860000006</v>
      </c>
    </row>
    <row r="1810" spans="1:12" x14ac:dyDescent="0.2">
      <c r="A1810" s="4">
        <v>43439</v>
      </c>
      <c r="B1810" t="s">
        <v>538</v>
      </c>
      <c r="C1810">
        <v>1</v>
      </c>
      <c r="D1810">
        <v>6</v>
      </c>
      <c r="E1810">
        <v>4</v>
      </c>
      <c r="F1810" t="s">
        <v>438</v>
      </c>
      <c r="G1810" s="6" t="s">
        <v>866</v>
      </c>
      <c r="H1810" s="9" t="s">
        <v>1071</v>
      </c>
      <c r="I1810">
        <f t="shared" si="113"/>
        <v>24</v>
      </c>
      <c r="J1810">
        <f t="shared" si="110"/>
        <v>10.886216880000001</v>
      </c>
      <c r="K1810" s="6">
        <v>3.25</v>
      </c>
      <c r="L1810">
        <f t="shared" si="111"/>
        <v>35.380204860000006</v>
      </c>
    </row>
    <row r="1811" spans="1:12" x14ac:dyDescent="0.2">
      <c r="A1811" s="4">
        <v>43434</v>
      </c>
      <c r="B1811" t="s">
        <v>48</v>
      </c>
      <c r="C1811" s="28">
        <v>4</v>
      </c>
      <c r="D1811" s="28">
        <v>1</v>
      </c>
      <c r="E1811">
        <v>10</v>
      </c>
      <c r="F1811" t="s">
        <v>356</v>
      </c>
      <c r="G1811" t="s">
        <v>819</v>
      </c>
      <c r="H1811" s="9" t="s">
        <v>1071</v>
      </c>
      <c r="I1811">
        <f t="shared" si="113"/>
        <v>40</v>
      </c>
      <c r="J1811">
        <f t="shared" si="110"/>
        <v>18.143694800000002</v>
      </c>
      <c r="K1811">
        <v>0.193</v>
      </c>
      <c r="L1811">
        <f t="shared" si="111"/>
        <v>3.5017330964000006</v>
      </c>
    </row>
    <row r="1812" spans="1:12" x14ac:dyDescent="0.2">
      <c r="A1812" s="4">
        <v>43440</v>
      </c>
      <c r="B1812" t="s">
        <v>48</v>
      </c>
      <c r="C1812" s="28">
        <v>2</v>
      </c>
      <c r="D1812" s="28">
        <v>1</v>
      </c>
      <c r="E1812">
        <f>12/16</f>
        <v>0.75</v>
      </c>
      <c r="F1812" t="s">
        <v>507</v>
      </c>
      <c r="G1812" t="s">
        <v>507</v>
      </c>
      <c r="H1812" s="9" t="s">
        <v>1071</v>
      </c>
      <c r="I1812">
        <f t="shared" si="113"/>
        <v>1.5</v>
      </c>
      <c r="J1812">
        <f t="shared" si="110"/>
        <v>0.68038855500000006</v>
      </c>
      <c r="K1812">
        <v>0.193</v>
      </c>
      <c r="L1812">
        <f t="shared" si="111"/>
        <v>0.131314991115</v>
      </c>
    </row>
    <row r="1813" spans="1:12" x14ac:dyDescent="0.2">
      <c r="A1813" s="4">
        <v>43399</v>
      </c>
      <c r="B1813" t="s">
        <v>175</v>
      </c>
      <c r="C1813" s="37">
        <v>1</v>
      </c>
      <c r="D1813" s="37">
        <v>1</v>
      </c>
      <c r="E1813">
        <v>140.66</v>
      </c>
      <c r="F1813" t="s">
        <v>178</v>
      </c>
      <c r="G1813" t="s">
        <v>756</v>
      </c>
      <c r="H1813" s="9" t="s">
        <v>1072</v>
      </c>
      <c r="I1813">
        <f t="shared" si="113"/>
        <v>140.66</v>
      </c>
      <c r="J1813">
        <f t="shared" si="110"/>
        <v>63.8023027642</v>
      </c>
      <c r="K1813">
        <v>34.744999999999997</v>
      </c>
      <c r="L1813">
        <f t="shared" si="111"/>
        <v>2216.8110095421289</v>
      </c>
    </row>
    <row r="1814" spans="1:12" x14ac:dyDescent="0.2">
      <c r="A1814" s="4">
        <v>43399</v>
      </c>
      <c r="B1814" t="s">
        <v>175</v>
      </c>
      <c r="C1814" s="37">
        <v>1</v>
      </c>
      <c r="D1814" s="37">
        <v>1</v>
      </c>
      <c r="E1814" s="6">
        <v>200</v>
      </c>
      <c r="F1814" s="6" t="s">
        <v>282</v>
      </c>
      <c r="G1814" s="6" t="s">
        <v>756</v>
      </c>
      <c r="H1814" s="9" t="s">
        <v>1072</v>
      </c>
      <c r="I1814">
        <f t="shared" si="113"/>
        <v>200</v>
      </c>
      <c r="J1814">
        <f t="shared" si="110"/>
        <v>90.718474000000001</v>
      </c>
      <c r="K1814">
        <v>34.744999999999997</v>
      </c>
      <c r="L1814">
        <f t="shared" si="111"/>
        <v>3152.01337913</v>
      </c>
    </row>
    <row r="1815" spans="1:12" x14ac:dyDescent="0.2">
      <c r="A1815" s="4">
        <v>43434</v>
      </c>
      <c r="B1815" t="s">
        <v>48</v>
      </c>
      <c r="C1815" s="28">
        <v>1</v>
      </c>
      <c r="D1815" s="28">
        <v>1</v>
      </c>
      <c r="E1815">
        <f>12*(9/16)</f>
        <v>6.75</v>
      </c>
      <c r="F1815" t="s">
        <v>482</v>
      </c>
      <c r="G1815" s="9" t="s">
        <v>482</v>
      </c>
      <c r="H1815" s="9" t="s">
        <v>1071</v>
      </c>
      <c r="I1815">
        <f t="shared" si="113"/>
        <v>6.75</v>
      </c>
      <c r="J1815">
        <f t="shared" si="110"/>
        <v>3.0617484975000004</v>
      </c>
      <c r="K1815">
        <v>6.9000000000000006E-2</v>
      </c>
      <c r="L1815">
        <f t="shared" si="111"/>
        <v>0.21126064632750005</v>
      </c>
    </row>
    <row r="1816" spans="1:12" x14ac:dyDescent="0.2">
      <c r="A1816" s="4">
        <v>43435</v>
      </c>
      <c r="B1816" t="s">
        <v>48</v>
      </c>
      <c r="C1816" s="28">
        <v>2</v>
      </c>
      <c r="D1816" s="28">
        <v>1</v>
      </c>
      <c r="E1816">
        <v>12</v>
      </c>
      <c r="F1816" t="s">
        <v>488</v>
      </c>
      <c r="G1816" t="s">
        <v>787</v>
      </c>
      <c r="H1816" s="9" t="s">
        <v>1071</v>
      </c>
      <c r="I1816">
        <f t="shared" si="113"/>
        <v>24</v>
      </c>
      <c r="J1816">
        <f t="shared" si="110"/>
        <v>10.886216880000001</v>
      </c>
      <c r="K1816">
        <v>0.22</v>
      </c>
      <c r="L1816">
        <f t="shared" si="111"/>
        <v>2.3949677136000003</v>
      </c>
    </row>
    <row r="1817" spans="1:12" x14ac:dyDescent="0.2">
      <c r="A1817" s="4">
        <v>43437</v>
      </c>
      <c r="B1817" t="s">
        <v>48</v>
      </c>
      <c r="C1817" s="28">
        <v>1</v>
      </c>
      <c r="D1817" s="28">
        <v>1</v>
      </c>
      <c r="E1817">
        <v>10</v>
      </c>
      <c r="F1817" t="s">
        <v>310</v>
      </c>
      <c r="G1817" t="s">
        <v>787</v>
      </c>
      <c r="H1817" s="9" t="s">
        <v>1071</v>
      </c>
      <c r="I1817">
        <f t="shared" si="113"/>
        <v>10</v>
      </c>
      <c r="J1817">
        <f t="shared" si="110"/>
        <v>4.5359237000000006</v>
      </c>
      <c r="K1817">
        <v>0.22</v>
      </c>
      <c r="L1817">
        <f t="shared" si="111"/>
        <v>0.99790321400000015</v>
      </c>
    </row>
    <row r="1818" spans="1:12" x14ac:dyDescent="0.2">
      <c r="A1818" s="4">
        <v>43437</v>
      </c>
      <c r="B1818" t="s">
        <v>48</v>
      </c>
      <c r="C1818" s="28">
        <v>2</v>
      </c>
      <c r="D1818" s="28">
        <v>1</v>
      </c>
      <c r="E1818">
        <v>12</v>
      </c>
      <c r="F1818" t="s">
        <v>488</v>
      </c>
      <c r="G1818" t="s">
        <v>787</v>
      </c>
      <c r="H1818" s="9" t="s">
        <v>1071</v>
      </c>
      <c r="I1818">
        <f t="shared" si="113"/>
        <v>24</v>
      </c>
      <c r="J1818">
        <f t="shared" si="110"/>
        <v>10.886216880000001</v>
      </c>
      <c r="K1818">
        <v>0.22</v>
      </c>
      <c r="L1818">
        <f t="shared" si="111"/>
        <v>2.3949677136000003</v>
      </c>
    </row>
    <row r="1819" spans="1:12" x14ac:dyDescent="0.2">
      <c r="A1819" s="4">
        <v>43438</v>
      </c>
      <c r="B1819" t="s">
        <v>48</v>
      </c>
      <c r="C1819" s="28">
        <v>3</v>
      </c>
      <c r="D1819" s="28">
        <v>1</v>
      </c>
      <c r="E1819">
        <v>10</v>
      </c>
      <c r="F1819" t="s">
        <v>310</v>
      </c>
      <c r="G1819" t="s">
        <v>787</v>
      </c>
      <c r="H1819" s="9" t="s">
        <v>1071</v>
      </c>
      <c r="I1819">
        <f t="shared" si="113"/>
        <v>30</v>
      </c>
      <c r="J1819">
        <f t="shared" si="110"/>
        <v>13.607771100000001</v>
      </c>
      <c r="K1819">
        <v>0.22</v>
      </c>
      <c r="L1819">
        <f t="shared" si="111"/>
        <v>2.9937096420000002</v>
      </c>
    </row>
    <row r="1820" spans="1:12" x14ac:dyDescent="0.2">
      <c r="A1820" s="4">
        <v>43439</v>
      </c>
      <c r="B1820" t="s">
        <v>48</v>
      </c>
      <c r="C1820" s="28">
        <v>2</v>
      </c>
      <c r="D1820" s="28">
        <v>1</v>
      </c>
      <c r="E1820">
        <v>12</v>
      </c>
      <c r="F1820" t="s">
        <v>488</v>
      </c>
      <c r="G1820" t="s">
        <v>787</v>
      </c>
      <c r="H1820" s="9" t="s">
        <v>1071</v>
      </c>
      <c r="I1820">
        <f t="shared" si="113"/>
        <v>24</v>
      </c>
      <c r="J1820">
        <f t="shared" si="110"/>
        <v>10.886216880000001</v>
      </c>
      <c r="K1820">
        <v>0.22</v>
      </c>
      <c r="L1820">
        <f t="shared" si="111"/>
        <v>2.3949677136000003</v>
      </c>
    </row>
    <row r="1821" spans="1:12" x14ac:dyDescent="0.2">
      <c r="A1821" s="4">
        <v>43440</v>
      </c>
      <c r="B1821" t="s">
        <v>48</v>
      </c>
      <c r="C1821" s="28">
        <v>1</v>
      </c>
      <c r="D1821" s="28">
        <v>1</v>
      </c>
      <c r="E1821">
        <v>10</v>
      </c>
      <c r="F1821" t="s">
        <v>508</v>
      </c>
      <c r="G1821" t="s">
        <v>768</v>
      </c>
      <c r="H1821" s="9" t="s">
        <v>1071</v>
      </c>
      <c r="I1821">
        <f t="shared" si="113"/>
        <v>10</v>
      </c>
      <c r="J1821">
        <f t="shared" si="110"/>
        <v>4.5359237000000006</v>
      </c>
      <c r="K1821">
        <v>0.22</v>
      </c>
      <c r="L1821">
        <f t="shared" si="111"/>
        <v>0.99790321400000015</v>
      </c>
    </row>
    <row r="1822" spans="1:12" x14ac:dyDescent="0.2">
      <c r="A1822" s="4">
        <v>43439</v>
      </c>
      <c r="B1822" t="s">
        <v>38</v>
      </c>
      <c r="C1822">
        <v>8</v>
      </c>
      <c r="D1822" s="28">
        <v>1</v>
      </c>
      <c r="E1822">
        <f>5*8.6</f>
        <v>43</v>
      </c>
      <c r="F1822" s="9" t="s">
        <v>39</v>
      </c>
      <c r="G1822" s="9" t="s">
        <v>774</v>
      </c>
      <c r="H1822" s="9" t="s">
        <v>1073</v>
      </c>
      <c r="I1822">
        <f t="shared" si="113"/>
        <v>344</v>
      </c>
      <c r="J1822">
        <f t="shared" si="110"/>
        <v>156.03577528</v>
      </c>
      <c r="K1822">
        <v>1.23</v>
      </c>
      <c r="L1822">
        <f t="shared" si="111"/>
        <v>191.92400359440001</v>
      </c>
    </row>
    <row r="1823" spans="1:12" x14ac:dyDescent="0.2">
      <c r="A1823" s="4">
        <v>43439</v>
      </c>
      <c r="B1823" t="s">
        <v>38</v>
      </c>
      <c r="C1823">
        <v>5</v>
      </c>
      <c r="D1823" s="28">
        <v>1</v>
      </c>
      <c r="E1823">
        <f>5*8.6</f>
        <v>43</v>
      </c>
      <c r="F1823" s="9" t="s">
        <v>40</v>
      </c>
      <c r="G1823" s="9" t="s">
        <v>774</v>
      </c>
      <c r="H1823" s="9" t="s">
        <v>1073</v>
      </c>
      <c r="I1823">
        <f t="shared" si="113"/>
        <v>215</v>
      </c>
      <c r="J1823">
        <f t="shared" si="110"/>
        <v>97.522359550000004</v>
      </c>
      <c r="K1823">
        <v>1.23</v>
      </c>
      <c r="L1823">
        <f t="shared" si="111"/>
        <v>119.9525022465</v>
      </c>
    </row>
    <row r="1824" spans="1:12" x14ac:dyDescent="0.2">
      <c r="A1824" s="4">
        <v>43439</v>
      </c>
      <c r="B1824" t="s">
        <v>38</v>
      </c>
      <c r="C1824">
        <v>3</v>
      </c>
      <c r="D1824" s="28">
        <v>1</v>
      </c>
      <c r="E1824">
        <f>5*8.6</f>
        <v>43</v>
      </c>
      <c r="F1824" s="9" t="s">
        <v>46</v>
      </c>
      <c r="G1824" s="9" t="s">
        <v>774</v>
      </c>
      <c r="H1824" s="9" t="s">
        <v>1073</v>
      </c>
      <c r="I1824">
        <f t="shared" si="113"/>
        <v>129</v>
      </c>
      <c r="J1824">
        <f t="shared" si="110"/>
        <v>58.513415729999998</v>
      </c>
      <c r="K1824">
        <v>1.23</v>
      </c>
      <c r="L1824">
        <f t="shared" si="111"/>
        <v>71.971501347900002</v>
      </c>
    </row>
    <row r="1825" spans="1:12" x14ac:dyDescent="0.2">
      <c r="A1825" s="4">
        <v>43439</v>
      </c>
      <c r="B1825" t="s">
        <v>38</v>
      </c>
      <c r="C1825" s="8">
        <v>6</v>
      </c>
      <c r="D1825" s="28">
        <v>1</v>
      </c>
      <c r="E1825">
        <f>5*8.6</f>
        <v>43</v>
      </c>
      <c r="F1825" s="9" t="s">
        <v>47</v>
      </c>
      <c r="G1825" s="9" t="s">
        <v>774</v>
      </c>
      <c r="H1825" s="9" t="s">
        <v>1073</v>
      </c>
      <c r="I1825">
        <f t="shared" si="113"/>
        <v>258</v>
      </c>
      <c r="J1825">
        <f t="shared" si="110"/>
        <v>117.02683146</v>
      </c>
      <c r="K1825">
        <v>1.23</v>
      </c>
      <c r="L1825">
        <f t="shared" si="111"/>
        <v>143.9430026958</v>
      </c>
    </row>
    <row r="1826" spans="1:12" x14ac:dyDescent="0.2">
      <c r="A1826" s="4">
        <v>43437</v>
      </c>
      <c r="B1826" t="s">
        <v>48</v>
      </c>
      <c r="C1826" s="28">
        <v>2</v>
      </c>
      <c r="D1826" s="28">
        <v>1</v>
      </c>
      <c r="E1826">
        <f>4*8.6</f>
        <v>34.4</v>
      </c>
      <c r="F1826" t="s">
        <v>494</v>
      </c>
      <c r="G1826" t="s">
        <v>774</v>
      </c>
      <c r="H1826" s="9" t="s">
        <v>1073</v>
      </c>
      <c r="I1826">
        <f t="shared" si="113"/>
        <v>68.8</v>
      </c>
      <c r="J1826">
        <f t="shared" si="110"/>
        <v>31.207155056000001</v>
      </c>
      <c r="K1826">
        <v>1.23</v>
      </c>
      <c r="L1826">
        <f t="shared" si="111"/>
        <v>38.384800718880001</v>
      </c>
    </row>
    <row r="1827" spans="1:12" x14ac:dyDescent="0.2">
      <c r="A1827" s="4">
        <v>43437</v>
      </c>
      <c r="B1827" t="s">
        <v>517</v>
      </c>
      <c r="C1827">
        <v>1</v>
      </c>
      <c r="D1827">
        <v>20</v>
      </c>
      <c r="E1827">
        <f>1/2</f>
        <v>0.5</v>
      </c>
      <c r="F1827" t="s">
        <v>465</v>
      </c>
      <c r="G1827" t="s">
        <v>774</v>
      </c>
      <c r="H1827" s="9" t="s">
        <v>1073</v>
      </c>
      <c r="I1827">
        <f t="shared" si="113"/>
        <v>10</v>
      </c>
      <c r="J1827">
        <f t="shared" si="110"/>
        <v>4.5359237000000006</v>
      </c>
      <c r="K1827">
        <v>1.23</v>
      </c>
      <c r="L1827">
        <f t="shared" si="111"/>
        <v>5.5791861510000009</v>
      </c>
    </row>
    <row r="1828" spans="1:12" x14ac:dyDescent="0.2">
      <c r="A1828" s="4">
        <v>43434</v>
      </c>
      <c r="B1828" t="s">
        <v>538</v>
      </c>
      <c r="C1828">
        <v>1</v>
      </c>
      <c r="D1828">
        <v>4</v>
      </c>
      <c r="E1828">
        <f>11.89</f>
        <v>11.89</v>
      </c>
      <c r="F1828" t="s">
        <v>547</v>
      </c>
      <c r="G1828" t="s">
        <v>865</v>
      </c>
      <c r="H1828" s="9" t="s">
        <v>1071</v>
      </c>
      <c r="I1828">
        <f t="shared" si="113"/>
        <v>47.56</v>
      </c>
      <c r="J1828">
        <f t="shared" si="110"/>
        <v>21.572853117200001</v>
      </c>
      <c r="K1828">
        <v>0.48799999999999999</v>
      </c>
      <c r="L1828">
        <f t="shared" si="111"/>
        <v>10.5275523211936</v>
      </c>
    </row>
    <row r="1829" spans="1:12" x14ac:dyDescent="0.2">
      <c r="A1829" s="4">
        <v>43434</v>
      </c>
      <c r="B1829" t="s">
        <v>48</v>
      </c>
      <c r="C1829" s="28">
        <v>4</v>
      </c>
      <c r="D1829" s="28">
        <v>1</v>
      </c>
      <c r="E1829">
        <v>5</v>
      </c>
      <c r="F1829" t="s">
        <v>313</v>
      </c>
      <c r="G1829" t="s">
        <v>313</v>
      </c>
      <c r="H1829" s="9" t="s">
        <v>1071</v>
      </c>
      <c r="I1829">
        <f t="shared" si="113"/>
        <v>20</v>
      </c>
      <c r="J1829">
        <f t="shared" si="110"/>
        <v>9.0718474000000011</v>
      </c>
      <c r="K1829">
        <v>3.093</v>
      </c>
      <c r="L1829">
        <f t="shared" si="111"/>
        <v>28.059224008200005</v>
      </c>
    </row>
    <row r="1830" spans="1:12" x14ac:dyDescent="0.2">
      <c r="A1830" s="4">
        <v>43434</v>
      </c>
      <c r="B1830" t="s">
        <v>48</v>
      </c>
      <c r="C1830" s="28">
        <v>6</v>
      </c>
      <c r="D1830" s="28">
        <v>1</v>
      </c>
      <c r="E1830">
        <v>5</v>
      </c>
      <c r="F1830" t="s">
        <v>313</v>
      </c>
      <c r="G1830" t="s">
        <v>313</v>
      </c>
      <c r="H1830" s="9" t="s">
        <v>1071</v>
      </c>
      <c r="I1830">
        <f t="shared" si="113"/>
        <v>30</v>
      </c>
      <c r="J1830">
        <f t="shared" si="110"/>
        <v>13.607771100000001</v>
      </c>
      <c r="K1830">
        <v>3.093</v>
      </c>
      <c r="L1830">
        <f t="shared" si="111"/>
        <v>42.0888360123</v>
      </c>
    </row>
    <row r="1831" spans="1:12" x14ac:dyDescent="0.2">
      <c r="A1831" s="4">
        <v>43435</v>
      </c>
      <c r="B1831" t="s">
        <v>48</v>
      </c>
      <c r="C1831" s="28">
        <v>8</v>
      </c>
      <c r="D1831" s="28">
        <v>1</v>
      </c>
      <c r="E1831">
        <v>5</v>
      </c>
      <c r="F1831" t="s">
        <v>313</v>
      </c>
      <c r="G1831" t="s">
        <v>313</v>
      </c>
      <c r="H1831" s="9" t="s">
        <v>1071</v>
      </c>
      <c r="I1831">
        <f t="shared" si="113"/>
        <v>40</v>
      </c>
      <c r="J1831">
        <f t="shared" si="110"/>
        <v>18.143694800000002</v>
      </c>
      <c r="K1831">
        <v>3.093</v>
      </c>
      <c r="L1831">
        <f t="shared" si="111"/>
        <v>56.118448016400009</v>
      </c>
    </row>
    <row r="1832" spans="1:12" x14ac:dyDescent="0.2">
      <c r="A1832" s="4">
        <v>43437</v>
      </c>
      <c r="B1832" t="s">
        <v>48</v>
      </c>
      <c r="C1832" s="28">
        <v>4</v>
      </c>
      <c r="D1832" s="28">
        <v>1</v>
      </c>
      <c r="E1832">
        <v>5</v>
      </c>
      <c r="F1832" t="s">
        <v>313</v>
      </c>
      <c r="G1832" t="s">
        <v>313</v>
      </c>
      <c r="H1832" s="9" t="s">
        <v>1071</v>
      </c>
      <c r="I1832">
        <f t="shared" si="113"/>
        <v>20</v>
      </c>
      <c r="J1832">
        <f t="shared" si="110"/>
        <v>9.0718474000000011</v>
      </c>
      <c r="K1832">
        <v>3.093</v>
      </c>
      <c r="L1832">
        <f t="shared" si="111"/>
        <v>28.059224008200005</v>
      </c>
    </row>
    <row r="1833" spans="1:12" x14ac:dyDescent="0.2">
      <c r="A1833" s="4">
        <v>43437</v>
      </c>
      <c r="B1833" t="s">
        <v>48</v>
      </c>
      <c r="C1833" s="28">
        <v>6</v>
      </c>
      <c r="D1833" s="28">
        <v>1</v>
      </c>
      <c r="E1833">
        <v>5</v>
      </c>
      <c r="F1833" t="s">
        <v>313</v>
      </c>
      <c r="G1833" t="s">
        <v>313</v>
      </c>
      <c r="H1833" s="9" t="s">
        <v>1071</v>
      </c>
      <c r="I1833">
        <f t="shared" si="113"/>
        <v>30</v>
      </c>
      <c r="J1833">
        <f t="shared" si="110"/>
        <v>13.607771100000001</v>
      </c>
      <c r="K1833">
        <v>3.093</v>
      </c>
      <c r="L1833">
        <f t="shared" si="111"/>
        <v>42.0888360123</v>
      </c>
    </row>
    <row r="1834" spans="1:12" x14ac:dyDescent="0.2">
      <c r="A1834" s="4">
        <v>43438</v>
      </c>
      <c r="B1834" t="s">
        <v>48</v>
      </c>
      <c r="C1834" s="28">
        <v>10</v>
      </c>
      <c r="D1834" s="28">
        <v>1</v>
      </c>
      <c r="E1834">
        <v>5</v>
      </c>
      <c r="F1834" t="s">
        <v>313</v>
      </c>
      <c r="G1834" t="s">
        <v>313</v>
      </c>
      <c r="H1834" s="9" t="s">
        <v>1071</v>
      </c>
      <c r="I1834">
        <f t="shared" si="113"/>
        <v>50</v>
      </c>
      <c r="J1834">
        <f t="shared" si="110"/>
        <v>22.6796185</v>
      </c>
      <c r="K1834">
        <v>3.093</v>
      </c>
      <c r="L1834">
        <f t="shared" si="111"/>
        <v>70.148060020499997</v>
      </c>
    </row>
    <row r="1835" spans="1:12" x14ac:dyDescent="0.2">
      <c r="A1835" s="4">
        <v>43439</v>
      </c>
      <c r="B1835" t="s">
        <v>48</v>
      </c>
      <c r="C1835" s="28">
        <v>6</v>
      </c>
      <c r="D1835" s="28">
        <v>1</v>
      </c>
      <c r="E1835">
        <v>5</v>
      </c>
      <c r="F1835" t="s">
        <v>313</v>
      </c>
      <c r="G1835" t="s">
        <v>313</v>
      </c>
      <c r="H1835" s="9" t="s">
        <v>1071</v>
      </c>
      <c r="I1835">
        <f t="shared" si="113"/>
        <v>30</v>
      </c>
      <c r="J1835">
        <f t="shared" si="110"/>
        <v>13.607771100000001</v>
      </c>
      <c r="K1835">
        <v>3.093</v>
      </c>
      <c r="L1835">
        <f t="shared" si="111"/>
        <v>42.0888360123</v>
      </c>
    </row>
    <row r="1836" spans="1:12" x14ac:dyDescent="0.2">
      <c r="A1836" s="4">
        <v>43440</v>
      </c>
      <c r="B1836" t="s">
        <v>48</v>
      </c>
      <c r="C1836" s="28">
        <v>4</v>
      </c>
      <c r="D1836" s="28">
        <v>1</v>
      </c>
      <c r="E1836">
        <v>5</v>
      </c>
      <c r="F1836" t="s">
        <v>210</v>
      </c>
      <c r="G1836" t="s">
        <v>233</v>
      </c>
      <c r="H1836" s="9" t="s">
        <v>1071</v>
      </c>
      <c r="I1836">
        <f t="shared" si="113"/>
        <v>20</v>
      </c>
      <c r="J1836">
        <f t="shared" si="110"/>
        <v>9.0718474000000011</v>
      </c>
      <c r="K1836">
        <v>3.093</v>
      </c>
      <c r="L1836">
        <f t="shared" si="111"/>
        <v>28.059224008200005</v>
      </c>
    </row>
    <row r="1837" spans="1:12" x14ac:dyDescent="0.2">
      <c r="A1837" s="4">
        <v>43440</v>
      </c>
      <c r="B1837" t="s">
        <v>48</v>
      </c>
      <c r="C1837" s="28">
        <v>10</v>
      </c>
      <c r="D1837" s="28">
        <v>1</v>
      </c>
      <c r="E1837">
        <v>5</v>
      </c>
      <c r="F1837" t="s">
        <v>167</v>
      </c>
      <c r="G1837" t="s">
        <v>233</v>
      </c>
      <c r="H1837" s="9" t="s">
        <v>1071</v>
      </c>
      <c r="I1837">
        <f t="shared" si="113"/>
        <v>50</v>
      </c>
      <c r="J1837">
        <f t="shared" si="110"/>
        <v>22.6796185</v>
      </c>
      <c r="K1837">
        <v>3.093</v>
      </c>
      <c r="L1837">
        <f t="shared" si="111"/>
        <v>70.148060020499997</v>
      </c>
    </row>
    <row r="1838" spans="1:12" x14ac:dyDescent="0.2">
      <c r="A1838" s="4">
        <v>43437</v>
      </c>
      <c r="B1838" t="s">
        <v>538</v>
      </c>
      <c r="C1838">
        <v>3</v>
      </c>
      <c r="D1838">
        <v>4</v>
      </c>
      <c r="E1838">
        <v>5</v>
      </c>
      <c r="F1838" t="s">
        <v>586</v>
      </c>
      <c r="G1838" s="6" t="s">
        <v>876</v>
      </c>
      <c r="H1838" s="9" t="s">
        <v>1071</v>
      </c>
      <c r="I1838">
        <f t="shared" si="113"/>
        <v>60</v>
      </c>
      <c r="J1838">
        <f t="shared" si="110"/>
        <v>27.215542200000002</v>
      </c>
      <c r="K1838">
        <v>5.99</v>
      </c>
      <c r="L1838">
        <f t="shared" si="111"/>
        <v>163.02109777800001</v>
      </c>
    </row>
    <row r="1839" spans="1:12" x14ac:dyDescent="0.2">
      <c r="A1839" s="4">
        <v>43439</v>
      </c>
      <c r="B1839" t="s">
        <v>538</v>
      </c>
      <c r="C1839">
        <v>3</v>
      </c>
      <c r="D1839">
        <v>4</v>
      </c>
      <c r="E1839">
        <v>5</v>
      </c>
      <c r="F1839" t="s">
        <v>586</v>
      </c>
      <c r="G1839" s="6" t="s">
        <v>876</v>
      </c>
      <c r="H1839" s="9" t="s">
        <v>1071</v>
      </c>
      <c r="I1839">
        <f t="shared" si="113"/>
        <v>60</v>
      </c>
      <c r="J1839">
        <f t="shared" si="110"/>
        <v>27.215542200000002</v>
      </c>
      <c r="K1839">
        <v>5.99</v>
      </c>
      <c r="L1839">
        <f t="shared" si="111"/>
        <v>163.02109777800001</v>
      </c>
    </row>
    <row r="1840" spans="1:12" x14ac:dyDescent="0.2">
      <c r="A1840" s="4">
        <v>43437</v>
      </c>
      <c r="B1840" t="s">
        <v>531</v>
      </c>
      <c r="C1840">
        <v>3</v>
      </c>
      <c r="D1840">
        <v>4</v>
      </c>
      <c r="E1840">
        <v>5</v>
      </c>
      <c r="F1840" t="s">
        <v>418</v>
      </c>
      <c r="G1840" s="6" t="s">
        <v>876</v>
      </c>
      <c r="H1840" s="9" t="s">
        <v>1071</v>
      </c>
      <c r="I1840">
        <f t="shared" si="113"/>
        <v>60</v>
      </c>
      <c r="J1840">
        <f t="shared" si="110"/>
        <v>27.215542200000002</v>
      </c>
      <c r="K1840" s="6">
        <v>5.99</v>
      </c>
      <c r="L1840">
        <f t="shared" si="111"/>
        <v>163.02109777800001</v>
      </c>
    </row>
    <row r="1841" spans="1:12" x14ac:dyDescent="0.2">
      <c r="A1841" s="4">
        <v>43437</v>
      </c>
      <c r="B1841" t="s">
        <v>538</v>
      </c>
      <c r="C1841">
        <v>6</v>
      </c>
      <c r="D1841">
        <v>4</v>
      </c>
      <c r="E1841">
        <v>7.9</v>
      </c>
      <c r="F1841" t="s">
        <v>455</v>
      </c>
      <c r="G1841" t="s">
        <v>867</v>
      </c>
      <c r="H1841" s="9" t="s">
        <v>1071</v>
      </c>
      <c r="I1841">
        <f t="shared" si="113"/>
        <v>189.60000000000002</v>
      </c>
      <c r="J1841">
        <f t="shared" si="110"/>
        <v>86.001113352000019</v>
      </c>
      <c r="K1841">
        <v>2.6459999999999999</v>
      </c>
      <c r="L1841">
        <f t="shared" si="111"/>
        <v>227.55894592939205</v>
      </c>
    </row>
    <row r="1842" spans="1:12" x14ac:dyDescent="0.2">
      <c r="A1842" s="4">
        <v>43439</v>
      </c>
      <c r="B1842" t="s">
        <v>538</v>
      </c>
      <c r="C1842">
        <v>3</v>
      </c>
      <c r="D1842">
        <v>1</v>
      </c>
      <c r="E1842">
        <v>35</v>
      </c>
      <c r="F1842" t="s">
        <v>441</v>
      </c>
      <c r="G1842" t="s">
        <v>867</v>
      </c>
      <c r="H1842" s="9" t="s">
        <v>1071</v>
      </c>
      <c r="I1842">
        <f t="shared" si="113"/>
        <v>105</v>
      </c>
      <c r="J1842">
        <f t="shared" si="110"/>
        <v>47.627198849999999</v>
      </c>
      <c r="K1842">
        <v>2.6459999999999999</v>
      </c>
      <c r="L1842">
        <f t="shared" si="111"/>
        <v>126.02156815709999</v>
      </c>
    </row>
    <row r="1843" spans="1:12" x14ac:dyDescent="0.2">
      <c r="A1843" s="4">
        <v>43439</v>
      </c>
      <c r="B1843" t="s">
        <v>538</v>
      </c>
      <c r="C1843">
        <v>6</v>
      </c>
      <c r="D1843">
        <v>4</v>
      </c>
      <c r="E1843">
        <v>7.9</v>
      </c>
      <c r="F1843" t="s">
        <v>455</v>
      </c>
      <c r="G1843" t="s">
        <v>867</v>
      </c>
      <c r="H1843" s="9" t="s">
        <v>1071</v>
      </c>
      <c r="I1843">
        <f t="shared" si="113"/>
        <v>189.60000000000002</v>
      </c>
      <c r="J1843">
        <f t="shared" si="110"/>
        <v>86.001113352000019</v>
      </c>
      <c r="K1843">
        <v>2.6459999999999999</v>
      </c>
      <c r="L1843">
        <f t="shared" si="111"/>
        <v>227.55894592939205</v>
      </c>
    </row>
    <row r="1844" spans="1:12" x14ac:dyDescent="0.2">
      <c r="A1844" s="4">
        <v>43434</v>
      </c>
      <c r="B1844" t="s">
        <v>538</v>
      </c>
      <c r="C1844">
        <v>6</v>
      </c>
      <c r="D1844">
        <v>4</v>
      </c>
      <c r="E1844">
        <v>7.9</v>
      </c>
      <c r="F1844" t="s">
        <v>455</v>
      </c>
      <c r="G1844" t="s">
        <v>867</v>
      </c>
      <c r="H1844" s="9" t="s">
        <v>1071</v>
      </c>
      <c r="I1844">
        <f t="shared" si="113"/>
        <v>189.60000000000002</v>
      </c>
      <c r="J1844">
        <f t="shared" si="110"/>
        <v>86.001113352000019</v>
      </c>
      <c r="K1844">
        <v>2.6459999999999999</v>
      </c>
      <c r="L1844">
        <f t="shared" si="111"/>
        <v>227.55894592939205</v>
      </c>
    </row>
    <row r="1845" spans="1:12" x14ac:dyDescent="0.2">
      <c r="A1845" s="4">
        <v>43439</v>
      </c>
      <c r="B1845" t="s">
        <v>538</v>
      </c>
      <c r="C1845">
        <v>1</v>
      </c>
      <c r="D1845">
        <v>6</v>
      </c>
      <c r="E1845">
        <v>10</v>
      </c>
      <c r="F1845" t="s">
        <v>445</v>
      </c>
      <c r="G1845" t="s">
        <v>883</v>
      </c>
      <c r="H1845" s="9" t="s">
        <v>1071</v>
      </c>
      <c r="I1845">
        <f t="shared" si="113"/>
        <v>60</v>
      </c>
      <c r="J1845">
        <f t="shared" si="110"/>
        <v>27.215542200000002</v>
      </c>
      <c r="K1845">
        <v>3.206</v>
      </c>
      <c r="L1845">
        <f t="shared" si="111"/>
        <v>87.253028293200003</v>
      </c>
    </row>
    <row r="1846" spans="1:12" x14ac:dyDescent="0.2">
      <c r="A1846" s="4">
        <v>43440</v>
      </c>
      <c r="B1846" t="s">
        <v>48</v>
      </c>
      <c r="C1846" s="28">
        <v>2</v>
      </c>
      <c r="D1846" s="28">
        <v>1</v>
      </c>
      <c r="E1846">
        <v>25</v>
      </c>
      <c r="F1846" t="s">
        <v>509</v>
      </c>
      <c r="G1846" t="s">
        <v>762</v>
      </c>
      <c r="H1846" s="9" t="s">
        <v>1071</v>
      </c>
      <c r="I1846">
        <f t="shared" si="113"/>
        <v>50</v>
      </c>
      <c r="J1846">
        <f t="shared" si="110"/>
        <v>22.6796185</v>
      </c>
      <c r="K1846">
        <v>0.26900000000000002</v>
      </c>
      <c r="L1846">
        <f t="shared" si="111"/>
        <v>6.1008173765000002</v>
      </c>
    </row>
    <row r="1847" spans="1:12" x14ac:dyDescent="0.2">
      <c r="A1847" s="4">
        <v>43440</v>
      </c>
      <c r="B1847" t="s">
        <v>48</v>
      </c>
      <c r="C1847" s="28">
        <v>2</v>
      </c>
      <c r="D1847" s="28">
        <v>1</v>
      </c>
      <c r="E1847">
        <v>50</v>
      </c>
      <c r="F1847" t="s">
        <v>315</v>
      </c>
      <c r="G1847" t="s">
        <v>790</v>
      </c>
      <c r="H1847" s="9" t="s">
        <v>1071</v>
      </c>
      <c r="I1847">
        <f t="shared" si="113"/>
        <v>100</v>
      </c>
      <c r="J1847">
        <f t="shared" si="110"/>
        <v>45.359237</v>
      </c>
      <c r="K1847">
        <v>0.26900000000000002</v>
      </c>
      <c r="L1847">
        <f t="shared" si="111"/>
        <v>12.201634753</v>
      </c>
    </row>
    <row r="1848" spans="1:12" x14ac:dyDescent="0.2">
      <c r="A1848" s="4">
        <v>43440</v>
      </c>
      <c r="B1848" t="s">
        <v>48</v>
      </c>
      <c r="C1848" s="28">
        <v>2</v>
      </c>
      <c r="D1848" s="28">
        <v>1</v>
      </c>
      <c r="E1848">
        <v>20</v>
      </c>
      <c r="F1848" t="s">
        <v>222</v>
      </c>
      <c r="G1848" t="s">
        <v>762</v>
      </c>
      <c r="H1848" s="9" t="s">
        <v>1071</v>
      </c>
      <c r="I1848">
        <f t="shared" si="113"/>
        <v>40</v>
      </c>
      <c r="J1848">
        <f t="shared" si="110"/>
        <v>18.143694800000002</v>
      </c>
      <c r="K1848">
        <v>0.26900000000000002</v>
      </c>
      <c r="L1848">
        <f t="shared" si="111"/>
        <v>4.8806539012000005</v>
      </c>
    </row>
    <row r="1849" spans="1:12" x14ac:dyDescent="0.2">
      <c r="A1849" s="4">
        <v>43434</v>
      </c>
      <c r="B1849" t="s">
        <v>48</v>
      </c>
      <c r="C1849" s="28">
        <v>2</v>
      </c>
      <c r="D1849" s="28">
        <v>1</v>
      </c>
      <c r="E1849">
        <v>1.25</v>
      </c>
      <c r="F1849" t="s">
        <v>314</v>
      </c>
      <c r="G1849" t="s">
        <v>824</v>
      </c>
      <c r="H1849" s="9" t="s">
        <v>1071</v>
      </c>
      <c r="I1849">
        <f t="shared" si="113"/>
        <v>2.5</v>
      </c>
      <c r="J1849">
        <f t="shared" si="110"/>
        <v>1.1339809250000001</v>
      </c>
      <c r="K1849">
        <v>8.5000000000000006E-2</v>
      </c>
      <c r="L1849">
        <f t="shared" si="111"/>
        <v>9.6388378625000021E-2</v>
      </c>
    </row>
    <row r="1850" spans="1:12" x14ac:dyDescent="0.2">
      <c r="A1850" s="4">
        <v>43437</v>
      </c>
      <c r="B1850" t="s">
        <v>48</v>
      </c>
      <c r="C1850" s="28">
        <v>1</v>
      </c>
      <c r="D1850" s="28">
        <v>1</v>
      </c>
      <c r="E1850">
        <v>1.25</v>
      </c>
      <c r="F1850" t="s">
        <v>314</v>
      </c>
      <c r="G1850" t="s">
        <v>824</v>
      </c>
      <c r="H1850" s="9" t="s">
        <v>1071</v>
      </c>
      <c r="I1850">
        <f t="shared" si="113"/>
        <v>1.25</v>
      </c>
      <c r="J1850">
        <f t="shared" si="110"/>
        <v>0.56699046250000007</v>
      </c>
      <c r="K1850">
        <v>8.5000000000000006E-2</v>
      </c>
      <c r="L1850">
        <f t="shared" si="111"/>
        <v>4.819418931250001E-2</v>
      </c>
    </row>
    <row r="1851" spans="1:12" x14ac:dyDescent="0.2">
      <c r="A1851" s="4">
        <v>43438</v>
      </c>
      <c r="B1851" t="s">
        <v>48</v>
      </c>
      <c r="C1851" s="28">
        <v>1</v>
      </c>
      <c r="D1851" s="28">
        <v>1</v>
      </c>
      <c r="E1851">
        <v>1.25</v>
      </c>
      <c r="F1851" t="s">
        <v>314</v>
      </c>
      <c r="G1851" t="s">
        <v>824</v>
      </c>
      <c r="H1851" s="9" t="s">
        <v>1071</v>
      </c>
      <c r="I1851">
        <f t="shared" si="113"/>
        <v>1.25</v>
      </c>
      <c r="J1851">
        <f t="shared" si="110"/>
        <v>0.56699046250000007</v>
      </c>
      <c r="K1851">
        <v>8.5000000000000006E-2</v>
      </c>
      <c r="L1851">
        <f t="shared" si="111"/>
        <v>4.819418931250001E-2</v>
      </c>
    </row>
    <row r="1852" spans="1:12" x14ac:dyDescent="0.2">
      <c r="A1852" s="4">
        <v>43440</v>
      </c>
      <c r="B1852" t="s">
        <v>48</v>
      </c>
      <c r="C1852" s="28">
        <v>1</v>
      </c>
      <c r="D1852" s="28">
        <v>1</v>
      </c>
      <c r="E1852">
        <v>1.25</v>
      </c>
      <c r="F1852" t="s">
        <v>314</v>
      </c>
      <c r="G1852" t="s">
        <v>824</v>
      </c>
      <c r="H1852" s="9" t="s">
        <v>1071</v>
      </c>
      <c r="I1852">
        <f t="shared" si="113"/>
        <v>1.25</v>
      </c>
      <c r="J1852">
        <f t="shared" si="110"/>
        <v>0.56699046250000007</v>
      </c>
      <c r="K1852">
        <v>8.5000000000000006E-2</v>
      </c>
      <c r="L1852">
        <f t="shared" si="111"/>
        <v>4.819418931250001E-2</v>
      </c>
    </row>
    <row r="1853" spans="1:12" x14ac:dyDescent="0.2">
      <c r="A1853" s="4">
        <v>43434</v>
      </c>
      <c r="B1853" t="s">
        <v>48</v>
      </c>
      <c r="C1853" s="28">
        <v>1</v>
      </c>
      <c r="D1853" s="28">
        <v>1</v>
      </c>
      <c r="E1853">
        <v>25</v>
      </c>
      <c r="F1853" t="s">
        <v>340</v>
      </c>
      <c r="G1853" t="s">
        <v>825</v>
      </c>
      <c r="H1853" s="9" t="s">
        <v>1071</v>
      </c>
      <c r="I1853">
        <f t="shared" si="113"/>
        <v>25</v>
      </c>
      <c r="J1853">
        <f t="shared" si="110"/>
        <v>11.33980925</v>
      </c>
      <c r="K1853">
        <v>0.26900000000000002</v>
      </c>
      <c r="L1853">
        <f t="shared" si="111"/>
        <v>3.0504086882500001</v>
      </c>
    </row>
    <row r="1854" spans="1:12" x14ac:dyDescent="0.2">
      <c r="A1854" s="4">
        <v>43437</v>
      </c>
      <c r="B1854" t="s">
        <v>48</v>
      </c>
      <c r="C1854" s="28">
        <v>2</v>
      </c>
      <c r="D1854" s="28">
        <v>1</v>
      </c>
      <c r="E1854">
        <v>25</v>
      </c>
      <c r="F1854" t="s">
        <v>340</v>
      </c>
      <c r="G1854" t="s">
        <v>825</v>
      </c>
      <c r="H1854" s="9" t="s">
        <v>1071</v>
      </c>
      <c r="I1854">
        <f t="shared" si="113"/>
        <v>50</v>
      </c>
      <c r="J1854">
        <f t="shared" si="110"/>
        <v>22.6796185</v>
      </c>
      <c r="K1854">
        <v>0.26900000000000002</v>
      </c>
      <c r="L1854">
        <f t="shared" si="111"/>
        <v>6.1008173765000002</v>
      </c>
    </row>
    <row r="1855" spans="1:12" x14ac:dyDescent="0.2">
      <c r="A1855" s="4">
        <v>43438</v>
      </c>
      <c r="B1855" t="s">
        <v>48</v>
      </c>
      <c r="C1855" s="28">
        <v>1</v>
      </c>
      <c r="D1855" s="28">
        <v>1</v>
      </c>
      <c r="E1855">
        <v>25</v>
      </c>
      <c r="F1855" t="s">
        <v>340</v>
      </c>
      <c r="G1855" t="s">
        <v>825</v>
      </c>
      <c r="H1855" s="9" t="s">
        <v>1071</v>
      </c>
      <c r="I1855">
        <f t="shared" si="113"/>
        <v>25</v>
      </c>
      <c r="J1855">
        <f t="shared" si="110"/>
        <v>11.33980925</v>
      </c>
      <c r="K1855">
        <v>0.26900000000000002</v>
      </c>
      <c r="L1855">
        <f t="shared" si="111"/>
        <v>3.0504086882500001</v>
      </c>
    </row>
    <row r="1856" spans="1:12" x14ac:dyDescent="0.2">
      <c r="A1856" s="4">
        <v>43434</v>
      </c>
      <c r="B1856" t="s">
        <v>48</v>
      </c>
      <c r="C1856" s="28">
        <v>2</v>
      </c>
      <c r="D1856" s="28">
        <v>1</v>
      </c>
      <c r="E1856">
        <v>50</v>
      </c>
      <c r="F1856" t="s">
        <v>315</v>
      </c>
      <c r="G1856" t="s">
        <v>826</v>
      </c>
      <c r="H1856" s="9" t="s">
        <v>1071</v>
      </c>
      <c r="I1856">
        <f t="shared" si="113"/>
        <v>100</v>
      </c>
      <c r="J1856">
        <f t="shared" si="110"/>
        <v>45.359237</v>
      </c>
      <c r="K1856">
        <v>0.26900000000000002</v>
      </c>
      <c r="L1856">
        <f t="shared" si="111"/>
        <v>12.201634753</v>
      </c>
    </row>
    <row r="1857" spans="1:12" x14ac:dyDescent="0.2">
      <c r="A1857" s="4">
        <v>43434</v>
      </c>
      <c r="B1857" t="s">
        <v>48</v>
      </c>
      <c r="C1857" s="28">
        <v>2</v>
      </c>
      <c r="D1857" s="28">
        <v>1</v>
      </c>
      <c r="E1857">
        <v>20</v>
      </c>
      <c r="F1857" t="s">
        <v>326</v>
      </c>
      <c r="G1857" t="s">
        <v>826</v>
      </c>
      <c r="H1857" s="9" t="s">
        <v>1071</v>
      </c>
      <c r="I1857">
        <f t="shared" si="113"/>
        <v>40</v>
      </c>
      <c r="J1857">
        <f t="shared" si="110"/>
        <v>18.143694800000002</v>
      </c>
      <c r="K1857">
        <v>0.26900000000000002</v>
      </c>
      <c r="L1857">
        <f t="shared" si="111"/>
        <v>4.8806539012000005</v>
      </c>
    </row>
    <row r="1858" spans="1:12" x14ac:dyDescent="0.2">
      <c r="A1858" s="4">
        <v>43435</v>
      </c>
      <c r="B1858" t="s">
        <v>48</v>
      </c>
      <c r="C1858" s="28">
        <v>2</v>
      </c>
      <c r="D1858" s="28">
        <v>1</v>
      </c>
      <c r="E1858">
        <v>50</v>
      </c>
      <c r="F1858" t="s">
        <v>315</v>
      </c>
      <c r="G1858" t="s">
        <v>826</v>
      </c>
      <c r="H1858" s="9" t="s">
        <v>1071</v>
      </c>
      <c r="I1858">
        <f t="shared" si="113"/>
        <v>100</v>
      </c>
      <c r="J1858">
        <f t="shared" si="110"/>
        <v>45.359237</v>
      </c>
      <c r="K1858">
        <v>0.26900000000000002</v>
      </c>
      <c r="L1858">
        <f t="shared" si="111"/>
        <v>12.201634753</v>
      </c>
    </row>
    <row r="1859" spans="1:12" x14ac:dyDescent="0.2">
      <c r="A1859" s="4">
        <v>43435</v>
      </c>
      <c r="B1859" t="s">
        <v>48</v>
      </c>
      <c r="C1859" s="28">
        <v>3</v>
      </c>
      <c r="D1859" s="28">
        <v>1</v>
      </c>
      <c r="E1859">
        <v>20</v>
      </c>
      <c r="F1859" t="s">
        <v>326</v>
      </c>
      <c r="G1859" t="s">
        <v>826</v>
      </c>
      <c r="H1859" s="9" t="s">
        <v>1071</v>
      </c>
      <c r="I1859">
        <f t="shared" si="113"/>
        <v>60</v>
      </c>
      <c r="J1859">
        <f t="shared" ref="J1859:J1922" si="114">CONVERT(I1859,"lbm","kg")</f>
        <v>27.215542200000002</v>
      </c>
      <c r="K1859">
        <v>0.26900000000000002</v>
      </c>
      <c r="L1859">
        <f t="shared" ref="L1859:L1922" si="115">J1859*K1859</f>
        <v>7.3209808518000008</v>
      </c>
    </row>
    <row r="1860" spans="1:12" x14ac:dyDescent="0.2">
      <c r="A1860" s="4">
        <v>43437</v>
      </c>
      <c r="B1860" t="s">
        <v>48</v>
      </c>
      <c r="C1860" s="28">
        <v>2</v>
      </c>
      <c r="D1860" s="28">
        <v>1</v>
      </c>
      <c r="E1860">
        <v>50</v>
      </c>
      <c r="F1860" t="s">
        <v>315</v>
      </c>
      <c r="G1860" t="s">
        <v>826</v>
      </c>
      <c r="H1860" s="9" t="s">
        <v>1071</v>
      </c>
      <c r="I1860">
        <f t="shared" si="113"/>
        <v>100</v>
      </c>
      <c r="J1860">
        <f t="shared" si="114"/>
        <v>45.359237</v>
      </c>
      <c r="K1860">
        <v>0.26900000000000002</v>
      </c>
      <c r="L1860">
        <f t="shared" si="115"/>
        <v>12.201634753</v>
      </c>
    </row>
    <row r="1861" spans="1:12" x14ac:dyDescent="0.2">
      <c r="A1861" s="4">
        <v>43438</v>
      </c>
      <c r="B1861" t="s">
        <v>48</v>
      </c>
      <c r="C1861" s="28">
        <v>2</v>
      </c>
      <c r="D1861" s="28">
        <v>1</v>
      </c>
      <c r="E1861">
        <v>50</v>
      </c>
      <c r="F1861" t="s">
        <v>315</v>
      </c>
      <c r="G1861" t="s">
        <v>826</v>
      </c>
      <c r="H1861" s="9" t="s">
        <v>1071</v>
      </c>
      <c r="I1861">
        <f t="shared" si="113"/>
        <v>100</v>
      </c>
      <c r="J1861">
        <f t="shared" si="114"/>
        <v>45.359237</v>
      </c>
      <c r="K1861">
        <v>0.26900000000000002</v>
      </c>
      <c r="L1861">
        <f t="shared" si="115"/>
        <v>12.201634753</v>
      </c>
    </row>
    <row r="1862" spans="1:12" x14ac:dyDescent="0.2">
      <c r="A1862" s="4">
        <v>43438</v>
      </c>
      <c r="B1862" t="s">
        <v>48</v>
      </c>
      <c r="C1862" s="28">
        <v>1</v>
      </c>
      <c r="D1862" s="28">
        <v>1</v>
      </c>
      <c r="E1862">
        <v>20</v>
      </c>
      <c r="F1862" t="s">
        <v>326</v>
      </c>
      <c r="G1862" t="s">
        <v>826</v>
      </c>
      <c r="H1862" s="9" t="s">
        <v>1071</v>
      </c>
      <c r="I1862">
        <f t="shared" si="113"/>
        <v>20</v>
      </c>
      <c r="J1862">
        <f t="shared" si="114"/>
        <v>9.0718474000000011</v>
      </c>
      <c r="K1862">
        <v>0.26900000000000002</v>
      </c>
      <c r="L1862">
        <f t="shared" si="115"/>
        <v>2.4403269506000003</v>
      </c>
    </row>
    <row r="1863" spans="1:12" x14ac:dyDescent="0.2">
      <c r="A1863" s="4">
        <v>43434</v>
      </c>
      <c r="B1863" t="s">
        <v>48</v>
      </c>
      <c r="C1863">
        <v>20</v>
      </c>
      <c r="D1863" s="28">
        <v>1</v>
      </c>
      <c r="E1863">
        <f t="shared" ref="E1863:E1868" si="116">88*0.288806</f>
        <v>25.414928</v>
      </c>
      <c r="F1863" s="9" t="s">
        <v>55</v>
      </c>
      <c r="G1863" s="9" t="s">
        <v>55</v>
      </c>
      <c r="H1863" s="9" t="s">
        <v>1071</v>
      </c>
      <c r="I1863">
        <f t="shared" si="113"/>
        <v>508.29856000000001</v>
      </c>
      <c r="J1863">
        <f t="shared" si="114"/>
        <v>230.56034849798721</v>
      </c>
      <c r="K1863">
        <v>0.29399999999999998</v>
      </c>
      <c r="L1863">
        <f t="shared" si="115"/>
        <v>67.784742458408232</v>
      </c>
    </row>
    <row r="1864" spans="1:12" x14ac:dyDescent="0.2">
      <c r="A1864" s="4">
        <v>43435</v>
      </c>
      <c r="B1864" t="s">
        <v>48</v>
      </c>
      <c r="C1864" s="28">
        <v>40</v>
      </c>
      <c r="D1864" s="28">
        <v>1</v>
      </c>
      <c r="E1864">
        <f t="shared" si="116"/>
        <v>25.414928</v>
      </c>
      <c r="F1864" t="s">
        <v>55</v>
      </c>
      <c r="G1864" t="s">
        <v>55</v>
      </c>
      <c r="H1864" s="9" t="s">
        <v>1071</v>
      </c>
      <c r="I1864">
        <f t="shared" si="113"/>
        <v>1016.59712</v>
      </c>
      <c r="J1864">
        <f t="shared" si="114"/>
        <v>461.12069699597441</v>
      </c>
      <c r="K1864">
        <v>0.29399999999999998</v>
      </c>
      <c r="L1864">
        <f t="shared" si="115"/>
        <v>135.56948491681646</v>
      </c>
    </row>
    <row r="1865" spans="1:12" x14ac:dyDescent="0.2">
      <c r="A1865" s="4">
        <v>43437</v>
      </c>
      <c r="B1865" t="s">
        <v>48</v>
      </c>
      <c r="C1865" s="28">
        <v>25</v>
      </c>
      <c r="D1865" s="28">
        <v>1</v>
      </c>
      <c r="E1865">
        <f t="shared" si="116"/>
        <v>25.414928</v>
      </c>
      <c r="F1865" t="s">
        <v>55</v>
      </c>
      <c r="G1865" t="s">
        <v>55</v>
      </c>
      <c r="H1865" s="9" t="s">
        <v>1071</v>
      </c>
      <c r="I1865">
        <f t="shared" si="113"/>
        <v>635.3732</v>
      </c>
      <c r="J1865">
        <f t="shared" si="114"/>
        <v>288.20043562248401</v>
      </c>
      <c r="K1865">
        <v>0.29399999999999998</v>
      </c>
      <c r="L1865">
        <f t="shared" si="115"/>
        <v>84.73092807301029</v>
      </c>
    </row>
    <row r="1866" spans="1:12" x14ac:dyDescent="0.2">
      <c r="A1866" s="4">
        <v>43438</v>
      </c>
      <c r="B1866" t="s">
        <v>48</v>
      </c>
      <c r="C1866" s="28">
        <v>15</v>
      </c>
      <c r="D1866" s="28">
        <v>1</v>
      </c>
      <c r="E1866">
        <f t="shared" si="116"/>
        <v>25.414928</v>
      </c>
      <c r="F1866" t="s">
        <v>55</v>
      </c>
      <c r="G1866" t="s">
        <v>55</v>
      </c>
      <c r="H1866" s="9" t="s">
        <v>1071</v>
      </c>
      <c r="I1866">
        <f t="shared" si="113"/>
        <v>381.22392000000002</v>
      </c>
      <c r="J1866">
        <f t="shared" si="114"/>
        <v>172.9202613734904</v>
      </c>
      <c r="K1866">
        <v>0.29399999999999998</v>
      </c>
      <c r="L1866">
        <f t="shared" si="115"/>
        <v>50.838556843806174</v>
      </c>
    </row>
    <row r="1867" spans="1:12" x14ac:dyDescent="0.2">
      <c r="A1867" s="4">
        <v>43439</v>
      </c>
      <c r="B1867" t="s">
        <v>48</v>
      </c>
      <c r="C1867" s="28">
        <v>14</v>
      </c>
      <c r="D1867" s="28">
        <v>1</v>
      </c>
      <c r="E1867">
        <f t="shared" si="116"/>
        <v>25.414928</v>
      </c>
      <c r="F1867" t="s">
        <v>55</v>
      </c>
      <c r="G1867" t="s">
        <v>55</v>
      </c>
      <c r="H1867" s="9" t="s">
        <v>1071</v>
      </c>
      <c r="I1867">
        <f t="shared" si="113"/>
        <v>355.80899199999999</v>
      </c>
      <c r="J1867">
        <f t="shared" si="114"/>
        <v>161.39224394859104</v>
      </c>
      <c r="K1867">
        <v>0.29399999999999998</v>
      </c>
      <c r="L1867">
        <f t="shared" si="115"/>
        <v>47.449319720885761</v>
      </c>
    </row>
    <row r="1868" spans="1:12" x14ac:dyDescent="0.2">
      <c r="A1868" s="4">
        <v>43440</v>
      </c>
      <c r="B1868" t="s">
        <v>48</v>
      </c>
      <c r="C1868" s="28">
        <v>18</v>
      </c>
      <c r="D1868" s="28">
        <v>1</v>
      </c>
      <c r="E1868">
        <f t="shared" si="116"/>
        <v>25.414928</v>
      </c>
      <c r="F1868" t="s">
        <v>55</v>
      </c>
      <c r="G1868" t="s">
        <v>55</v>
      </c>
      <c r="H1868" s="9" t="s">
        <v>1071</v>
      </c>
      <c r="I1868">
        <f t="shared" si="113"/>
        <v>457.468704</v>
      </c>
      <c r="J1868">
        <f t="shared" si="114"/>
        <v>207.50431364818849</v>
      </c>
      <c r="K1868">
        <v>0.29399999999999998</v>
      </c>
      <c r="L1868">
        <f t="shared" si="115"/>
        <v>61.006268212567413</v>
      </c>
    </row>
    <row r="1869" spans="1:12" x14ac:dyDescent="0.2">
      <c r="A1869" s="4">
        <v>43434</v>
      </c>
      <c r="B1869" t="s">
        <v>538</v>
      </c>
      <c r="C1869">
        <v>1</v>
      </c>
      <c r="D1869">
        <v>6</v>
      </c>
      <c r="E1869">
        <v>5</v>
      </c>
      <c r="F1869" t="s">
        <v>439</v>
      </c>
      <c r="G1869" s="14" t="s">
        <v>904</v>
      </c>
      <c r="H1869" s="9" t="s">
        <v>1071</v>
      </c>
      <c r="I1869">
        <f t="shared" si="113"/>
        <v>30</v>
      </c>
      <c r="J1869">
        <f t="shared" si="114"/>
        <v>13.607771100000001</v>
      </c>
      <c r="L1869">
        <f t="shared" si="115"/>
        <v>0</v>
      </c>
    </row>
    <row r="1870" spans="1:12" x14ac:dyDescent="0.2">
      <c r="A1870" s="4">
        <v>43437</v>
      </c>
      <c r="B1870" t="s">
        <v>538</v>
      </c>
      <c r="C1870">
        <v>1</v>
      </c>
      <c r="D1870">
        <v>6</v>
      </c>
      <c r="E1870">
        <v>5</v>
      </c>
      <c r="F1870" t="s">
        <v>439</v>
      </c>
      <c r="G1870" s="14" t="s">
        <v>904</v>
      </c>
      <c r="H1870" s="9" t="s">
        <v>1071</v>
      </c>
      <c r="I1870">
        <f t="shared" si="113"/>
        <v>30</v>
      </c>
      <c r="J1870">
        <f t="shared" si="114"/>
        <v>13.607771100000001</v>
      </c>
      <c r="L1870">
        <f t="shared" si="115"/>
        <v>0</v>
      </c>
    </row>
    <row r="1871" spans="1:12" x14ac:dyDescent="0.2">
      <c r="A1871" s="4">
        <v>43434</v>
      </c>
      <c r="B1871" t="s">
        <v>48</v>
      </c>
      <c r="C1871" s="28">
        <v>1</v>
      </c>
      <c r="D1871" s="28">
        <v>1</v>
      </c>
      <c r="E1871">
        <f>30*(1/8)</f>
        <v>3.75</v>
      </c>
      <c r="F1871" t="s">
        <v>483</v>
      </c>
      <c r="G1871" t="s">
        <v>814</v>
      </c>
      <c r="H1871" s="9" t="s">
        <v>1071</v>
      </c>
      <c r="I1871">
        <f t="shared" ref="I1871:I1934" si="117">C1871*D1871*E1871</f>
        <v>3.75</v>
      </c>
      <c r="J1871">
        <f t="shared" si="114"/>
        <v>1.7009713875000001</v>
      </c>
      <c r="K1871">
        <v>0.22</v>
      </c>
      <c r="L1871">
        <f t="shared" si="115"/>
        <v>0.37421370525000003</v>
      </c>
    </row>
    <row r="1872" spans="1:12" x14ac:dyDescent="0.2">
      <c r="A1872" s="4">
        <v>43437</v>
      </c>
      <c r="B1872" t="s">
        <v>48</v>
      </c>
      <c r="C1872" s="28">
        <v>1</v>
      </c>
      <c r="D1872" s="28">
        <v>1</v>
      </c>
      <c r="E1872">
        <f>30*(1/8)</f>
        <v>3.75</v>
      </c>
      <c r="F1872" t="s">
        <v>316</v>
      </c>
      <c r="G1872" t="s">
        <v>814</v>
      </c>
      <c r="H1872" s="9" t="s">
        <v>1071</v>
      </c>
      <c r="I1872">
        <f t="shared" si="117"/>
        <v>3.75</v>
      </c>
      <c r="J1872">
        <f t="shared" si="114"/>
        <v>1.7009713875000001</v>
      </c>
      <c r="K1872">
        <v>0.22</v>
      </c>
      <c r="L1872">
        <f t="shared" si="115"/>
        <v>0.37421370525000003</v>
      </c>
    </row>
    <row r="1873" spans="1:12" x14ac:dyDescent="0.2">
      <c r="A1873" s="4">
        <v>43438</v>
      </c>
      <c r="B1873" t="s">
        <v>48</v>
      </c>
      <c r="C1873" s="28">
        <v>1</v>
      </c>
      <c r="D1873" s="28">
        <v>1</v>
      </c>
      <c r="E1873">
        <f>30*(1/8)</f>
        <v>3.75</v>
      </c>
      <c r="F1873" t="s">
        <v>316</v>
      </c>
      <c r="G1873" t="s">
        <v>814</v>
      </c>
      <c r="H1873" s="9" t="s">
        <v>1071</v>
      </c>
      <c r="I1873">
        <f t="shared" si="117"/>
        <v>3.75</v>
      </c>
      <c r="J1873">
        <f t="shared" si="114"/>
        <v>1.7009713875000001</v>
      </c>
      <c r="K1873">
        <v>0.22</v>
      </c>
      <c r="L1873">
        <f t="shared" si="115"/>
        <v>0.37421370525000003</v>
      </c>
    </row>
    <row r="1874" spans="1:12" x14ac:dyDescent="0.2">
      <c r="A1874" s="4">
        <v>43440</v>
      </c>
      <c r="B1874" t="s">
        <v>48</v>
      </c>
      <c r="C1874" s="28">
        <v>1</v>
      </c>
      <c r="D1874" s="28">
        <v>1</v>
      </c>
      <c r="E1874">
        <f>30*(1/8)</f>
        <v>3.75</v>
      </c>
      <c r="F1874" t="s">
        <v>316</v>
      </c>
      <c r="G1874" t="s">
        <v>814</v>
      </c>
      <c r="H1874" s="9" t="s">
        <v>1071</v>
      </c>
      <c r="I1874">
        <f t="shared" si="117"/>
        <v>3.75</v>
      </c>
      <c r="J1874">
        <f t="shared" si="114"/>
        <v>1.7009713875000001</v>
      </c>
      <c r="K1874">
        <v>0.22</v>
      </c>
      <c r="L1874">
        <f t="shared" si="115"/>
        <v>0.37421370525000003</v>
      </c>
    </row>
    <row r="1875" spans="1:12" x14ac:dyDescent="0.2">
      <c r="A1875" s="4">
        <v>43434</v>
      </c>
      <c r="B1875" t="s">
        <v>48</v>
      </c>
      <c r="C1875" s="28">
        <v>1</v>
      </c>
      <c r="D1875" s="28">
        <v>1</v>
      </c>
      <c r="E1875">
        <v>20</v>
      </c>
      <c r="F1875" t="s">
        <v>484</v>
      </c>
      <c r="G1875" t="s">
        <v>484</v>
      </c>
      <c r="H1875" s="9" t="s">
        <v>1071</v>
      </c>
      <c r="I1875">
        <f t="shared" si="117"/>
        <v>20</v>
      </c>
      <c r="J1875">
        <f t="shared" si="114"/>
        <v>9.0718474000000011</v>
      </c>
      <c r="K1875">
        <v>0.24299999999999999</v>
      </c>
      <c r="L1875">
        <f t="shared" si="115"/>
        <v>2.2044589182000003</v>
      </c>
    </row>
    <row r="1876" spans="1:12" x14ac:dyDescent="0.2">
      <c r="A1876" s="4">
        <v>43434</v>
      </c>
      <c r="B1876" t="s">
        <v>538</v>
      </c>
      <c r="C1876">
        <v>4</v>
      </c>
      <c r="D1876">
        <v>2</v>
      </c>
      <c r="E1876">
        <v>10</v>
      </c>
      <c r="F1876" t="s">
        <v>458</v>
      </c>
      <c r="G1876" s="6" t="s">
        <v>875</v>
      </c>
      <c r="H1876" s="9" t="s">
        <v>1071</v>
      </c>
      <c r="I1876">
        <f t="shared" si="117"/>
        <v>80</v>
      </c>
      <c r="J1876">
        <f t="shared" si="114"/>
        <v>36.287389600000004</v>
      </c>
      <c r="K1876">
        <v>5.99</v>
      </c>
      <c r="L1876">
        <f t="shared" si="115"/>
        <v>217.36146370400004</v>
      </c>
    </row>
    <row r="1877" spans="1:12" x14ac:dyDescent="0.2">
      <c r="A1877" s="4">
        <v>43434</v>
      </c>
      <c r="B1877" t="s">
        <v>538</v>
      </c>
      <c r="C1877">
        <v>4</v>
      </c>
      <c r="D1877">
        <v>2</v>
      </c>
      <c r="E1877">
        <v>10</v>
      </c>
      <c r="F1877" t="s">
        <v>461</v>
      </c>
      <c r="G1877" s="6" t="s">
        <v>875</v>
      </c>
      <c r="H1877" s="9" t="s">
        <v>1071</v>
      </c>
      <c r="I1877">
        <f t="shared" si="117"/>
        <v>80</v>
      </c>
      <c r="J1877">
        <f t="shared" si="114"/>
        <v>36.287389600000004</v>
      </c>
      <c r="K1877">
        <v>5.99</v>
      </c>
      <c r="L1877">
        <f t="shared" si="115"/>
        <v>217.36146370400004</v>
      </c>
    </row>
    <row r="1878" spans="1:12" x14ac:dyDescent="0.2">
      <c r="A1878" s="4">
        <v>43434</v>
      </c>
      <c r="B1878" t="s">
        <v>538</v>
      </c>
      <c r="C1878">
        <v>4</v>
      </c>
      <c r="D1878">
        <v>2</v>
      </c>
      <c r="E1878">
        <v>10</v>
      </c>
      <c r="F1878" t="s">
        <v>462</v>
      </c>
      <c r="G1878" s="6" t="s">
        <v>875</v>
      </c>
      <c r="H1878" s="9" t="s">
        <v>1071</v>
      </c>
      <c r="I1878">
        <f t="shared" si="117"/>
        <v>80</v>
      </c>
      <c r="J1878">
        <f t="shared" si="114"/>
        <v>36.287389600000004</v>
      </c>
      <c r="K1878">
        <v>5.99</v>
      </c>
      <c r="L1878">
        <f t="shared" si="115"/>
        <v>217.36146370400004</v>
      </c>
    </row>
    <row r="1879" spans="1:12" x14ac:dyDescent="0.2">
      <c r="A1879" s="4">
        <v>43434</v>
      </c>
      <c r="B1879" t="s">
        <v>538</v>
      </c>
      <c r="C1879">
        <v>4</v>
      </c>
      <c r="D1879">
        <v>2</v>
      </c>
      <c r="E1879">
        <v>10</v>
      </c>
      <c r="F1879" t="s">
        <v>566</v>
      </c>
      <c r="G1879" s="6" t="s">
        <v>875</v>
      </c>
      <c r="H1879" s="9" t="s">
        <v>1071</v>
      </c>
      <c r="I1879">
        <f t="shared" si="117"/>
        <v>80</v>
      </c>
      <c r="J1879">
        <f t="shared" si="114"/>
        <v>36.287389600000004</v>
      </c>
      <c r="K1879">
        <v>5.99</v>
      </c>
      <c r="L1879">
        <f t="shared" si="115"/>
        <v>217.36146370400004</v>
      </c>
    </row>
    <row r="1880" spans="1:12" x14ac:dyDescent="0.2">
      <c r="A1880" s="4">
        <v>43439</v>
      </c>
      <c r="B1880" t="s">
        <v>538</v>
      </c>
      <c r="C1880">
        <v>3</v>
      </c>
      <c r="D1880">
        <v>2</v>
      </c>
      <c r="E1880">
        <v>10</v>
      </c>
      <c r="F1880" t="s">
        <v>458</v>
      </c>
      <c r="G1880" s="6" t="s">
        <v>875</v>
      </c>
      <c r="H1880" s="9" t="s">
        <v>1071</v>
      </c>
      <c r="I1880">
        <f t="shared" si="117"/>
        <v>60</v>
      </c>
      <c r="J1880">
        <f t="shared" si="114"/>
        <v>27.215542200000002</v>
      </c>
      <c r="K1880">
        <v>5.99</v>
      </c>
      <c r="L1880">
        <f t="shared" si="115"/>
        <v>163.02109777800001</v>
      </c>
    </row>
    <row r="1881" spans="1:12" x14ac:dyDescent="0.2">
      <c r="A1881" s="4">
        <v>43434</v>
      </c>
      <c r="B1881" t="s">
        <v>538</v>
      </c>
      <c r="C1881">
        <v>1</v>
      </c>
      <c r="D1881">
        <v>12</v>
      </c>
      <c r="E1881">
        <v>1</v>
      </c>
      <c r="F1881" t="s">
        <v>560</v>
      </c>
      <c r="G1881" s="6" t="s">
        <v>911</v>
      </c>
      <c r="H1881" s="9" t="s">
        <v>1071</v>
      </c>
      <c r="I1881">
        <f t="shared" si="117"/>
        <v>12</v>
      </c>
      <c r="J1881">
        <f t="shared" si="114"/>
        <v>5.4431084400000005</v>
      </c>
      <c r="K1881">
        <v>0.11799999999999999</v>
      </c>
      <c r="L1881">
        <f t="shared" si="115"/>
        <v>0.64228679592000004</v>
      </c>
    </row>
    <row r="1882" spans="1:12" x14ac:dyDescent="0.2">
      <c r="A1882" s="4">
        <v>43439</v>
      </c>
      <c r="B1882" t="s">
        <v>538</v>
      </c>
      <c r="C1882">
        <v>1</v>
      </c>
      <c r="D1882">
        <v>1</v>
      </c>
      <c r="E1882">
        <v>20</v>
      </c>
      <c r="F1882" t="s">
        <v>592</v>
      </c>
      <c r="G1882" t="s">
        <v>921</v>
      </c>
      <c r="H1882" s="9" t="s">
        <v>1071</v>
      </c>
      <c r="I1882">
        <f t="shared" si="117"/>
        <v>20</v>
      </c>
      <c r="J1882">
        <f t="shared" si="114"/>
        <v>9.0718474000000011</v>
      </c>
      <c r="K1882">
        <v>0.61699999999999999</v>
      </c>
      <c r="L1882">
        <f t="shared" si="115"/>
        <v>5.5973298458000009</v>
      </c>
    </row>
    <row r="1883" spans="1:12" x14ac:dyDescent="0.2">
      <c r="A1883" s="4">
        <v>43434</v>
      </c>
      <c r="B1883" t="s">
        <v>48</v>
      </c>
      <c r="C1883" s="28">
        <v>2</v>
      </c>
      <c r="D1883" s="28">
        <v>1</v>
      </c>
      <c r="E1883">
        <v>10</v>
      </c>
      <c r="F1883" t="s">
        <v>319</v>
      </c>
      <c r="G1883" t="s">
        <v>806</v>
      </c>
      <c r="H1883" s="9" t="s">
        <v>1071</v>
      </c>
      <c r="I1883">
        <f t="shared" si="117"/>
        <v>20</v>
      </c>
      <c r="J1883">
        <f t="shared" si="114"/>
        <v>9.0718474000000011</v>
      </c>
      <c r="K1883">
        <v>0.70099999999999996</v>
      </c>
      <c r="L1883">
        <f t="shared" si="115"/>
        <v>6.3593650274</v>
      </c>
    </row>
    <row r="1884" spans="1:12" x14ac:dyDescent="0.2">
      <c r="A1884" s="4">
        <v>43434</v>
      </c>
      <c r="B1884" t="s">
        <v>531</v>
      </c>
      <c r="C1884">
        <v>2</v>
      </c>
      <c r="D1884">
        <v>12</v>
      </c>
      <c r="E1884">
        <v>2.5</v>
      </c>
      <c r="F1884" t="s">
        <v>405</v>
      </c>
      <c r="G1884" t="s">
        <v>891</v>
      </c>
      <c r="H1884" s="9" t="s">
        <v>1071</v>
      </c>
      <c r="I1884">
        <f t="shared" si="117"/>
        <v>60</v>
      </c>
      <c r="J1884">
        <f t="shared" si="114"/>
        <v>27.215542200000002</v>
      </c>
      <c r="K1884">
        <v>0.61699999999999999</v>
      </c>
      <c r="L1884">
        <f t="shared" si="115"/>
        <v>16.791989537399999</v>
      </c>
    </row>
    <row r="1885" spans="1:12" x14ac:dyDescent="0.2">
      <c r="A1885" s="4">
        <v>43437</v>
      </c>
      <c r="B1885" t="s">
        <v>531</v>
      </c>
      <c r="C1885">
        <v>1</v>
      </c>
      <c r="D1885">
        <v>12</v>
      </c>
      <c r="E1885">
        <v>2.5</v>
      </c>
      <c r="F1885" t="s">
        <v>405</v>
      </c>
      <c r="G1885" t="s">
        <v>891</v>
      </c>
      <c r="H1885" s="9" t="s">
        <v>1071</v>
      </c>
      <c r="I1885">
        <f t="shared" si="117"/>
        <v>30</v>
      </c>
      <c r="J1885">
        <f t="shared" si="114"/>
        <v>13.607771100000001</v>
      </c>
      <c r="K1885">
        <v>0.61699999999999999</v>
      </c>
      <c r="L1885">
        <f t="shared" si="115"/>
        <v>8.3959947686999996</v>
      </c>
    </row>
    <row r="1886" spans="1:12" x14ac:dyDescent="0.2">
      <c r="A1886" s="4">
        <v>43438</v>
      </c>
      <c r="B1886" t="s">
        <v>48</v>
      </c>
      <c r="C1886" s="28">
        <v>2</v>
      </c>
      <c r="D1886" s="28">
        <v>1</v>
      </c>
      <c r="E1886">
        <v>10</v>
      </c>
      <c r="F1886" t="s">
        <v>498</v>
      </c>
      <c r="G1886" t="s">
        <v>821</v>
      </c>
      <c r="H1886" s="9" t="s">
        <v>1071</v>
      </c>
      <c r="I1886">
        <f t="shared" si="117"/>
        <v>20</v>
      </c>
      <c r="J1886">
        <f t="shared" si="114"/>
        <v>9.0718474000000011</v>
      </c>
      <c r="K1886">
        <v>0.27400000000000002</v>
      </c>
      <c r="L1886">
        <f t="shared" si="115"/>
        <v>2.4856861876000007</v>
      </c>
    </row>
    <row r="1887" spans="1:12" x14ac:dyDescent="0.2">
      <c r="A1887" s="4">
        <v>43434</v>
      </c>
      <c r="B1887" t="s">
        <v>48</v>
      </c>
      <c r="C1887" s="28">
        <v>2</v>
      </c>
      <c r="D1887" s="28">
        <v>1</v>
      </c>
      <c r="E1887">
        <f>120*0.39</f>
        <v>46.800000000000004</v>
      </c>
      <c r="F1887" t="s">
        <v>317</v>
      </c>
      <c r="G1887" t="s">
        <v>791</v>
      </c>
      <c r="H1887" s="9" t="s">
        <v>1071</v>
      </c>
      <c r="I1887">
        <f t="shared" si="117"/>
        <v>93.600000000000009</v>
      </c>
      <c r="J1887">
        <f t="shared" si="114"/>
        <v>42.456245832000008</v>
      </c>
      <c r="K1887">
        <v>0.249</v>
      </c>
      <c r="L1887">
        <f t="shared" si="115"/>
        <v>10.571605212168002</v>
      </c>
    </row>
    <row r="1888" spans="1:12" x14ac:dyDescent="0.2">
      <c r="A1888" s="4">
        <v>43434</v>
      </c>
      <c r="B1888" t="s">
        <v>538</v>
      </c>
      <c r="C1888">
        <v>1</v>
      </c>
      <c r="D1888">
        <v>12</v>
      </c>
      <c r="E1888">
        <f>28/16</f>
        <v>1.75</v>
      </c>
      <c r="F1888" t="s">
        <v>559</v>
      </c>
      <c r="G1888" t="s">
        <v>848</v>
      </c>
      <c r="H1888" s="9" t="s">
        <v>1071</v>
      </c>
      <c r="I1888">
        <f t="shared" si="117"/>
        <v>21</v>
      </c>
      <c r="J1888">
        <f t="shared" si="114"/>
        <v>9.5254397700000002</v>
      </c>
      <c r="K1888">
        <v>0.52500000000000002</v>
      </c>
      <c r="L1888">
        <f t="shared" si="115"/>
        <v>5.0008558792500004</v>
      </c>
    </row>
    <row r="1889" spans="1:12" x14ac:dyDescent="0.2">
      <c r="A1889" s="4">
        <v>43435</v>
      </c>
      <c r="B1889" t="s">
        <v>48</v>
      </c>
      <c r="C1889" s="28">
        <v>2</v>
      </c>
      <c r="D1889" s="28">
        <v>1</v>
      </c>
      <c r="E1889">
        <v>20</v>
      </c>
      <c r="F1889" t="s">
        <v>485</v>
      </c>
      <c r="G1889" t="s">
        <v>885</v>
      </c>
      <c r="H1889" s="9" t="s">
        <v>1071</v>
      </c>
      <c r="I1889">
        <f t="shared" si="117"/>
        <v>40</v>
      </c>
      <c r="J1889">
        <f t="shared" si="114"/>
        <v>18.143694800000002</v>
      </c>
      <c r="K1889">
        <v>0.52500000000000002</v>
      </c>
      <c r="L1889">
        <f t="shared" si="115"/>
        <v>9.525439770000002</v>
      </c>
    </row>
    <row r="1890" spans="1:12" x14ac:dyDescent="0.2">
      <c r="A1890" s="4">
        <v>43434</v>
      </c>
      <c r="B1890" t="s">
        <v>48</v>
      </c>
      <c r="C1890" s="28">
        <v>2</v>
      </c>
      <c r="D1890" s="28">
        <v>1</v>
      </c>
      <c r="E1890">
        <f>10/9*30</f>
        <v>33.333333333333336</v>
      </c>
      <c r="F1890" t="s">
        <v>321</v>
      </c>
      <c r="G1890" t="s">
        <v>885</v>
      </c>
      <c r="H1890" s="9" t="s">
        <v>1071</v>
      </c>
      <c r="I1890">
        <f t="shared" si="117"/>
        <v>66.666666666666671</v>
      </c>
      <c r="J1890">
        <f t="shared" si="114"/>
        <v>30.239491333333337</v>
      </c>
      <c r="K1890">
        <v>0.52500000000000002</v>
      </c>
      <c r="L1890">
        <f t="shared" si="115"/>
        <v>15.875732950000003</v>
      </c>
    </row>
    <row r="1891" spans="1:12" x14ac:dyDescent="0.2">
      <c r="A1891" s="4">
        <v>43434</v>
      </c>
      <c r="B1891" t="s">
        <v>48</v>
      </c>
      <c r="C1891" s="28">
        <v>1</v>
      </c>
      <c r="D1891" s="28">
        <v>1</v>
      </c>
      <c r="E1891">
        <v>20</v>
      </c>
      <c r="F1891" t="s">
        <v>485</v>
      </c>
      <c r="G1891" t="s">
        <v>885</v>
      </c>
      <c r="H1891" s="9" t="s">
        <v>1071</v>
      </c>
      <c r="I1891">
        <f t="shared" si="117"/>
        <v>20</v>
      </c>
      <c r="J1891">
        <f t="shared" si="114"/>
        <v>9.0718474000000011</v>
      </c>
      <c r="K1891">
        <v>0.52500000000000002</v>
      </c>
      <c r="L1891">
        <f t="shared" si="115"/>
        <v>4.762719885000001</v>
      </c>
    </row>
    <row r="1892" spans="1:12" x14ac:dyDescent="0.2">
      <c r="A1892" s="4">
        <v>43435</v>
      </c>
      <c r="B1892" t="s">
        <v>48</v>
      </c>
      <c r="C1892" s="28">
        <v>3</v>
      </c>
      <c r="D1892" s="28">
        <v>1</v>
      </c>
      <c r="E1892">
        <f t="shared" ref="E1892:E1901" si="118">10/9*30</f>
        <v>33.333333333333336</v>
      </c>
      <c r="F1892" t="s">
        <v>320</v>
      </c>
      <c r="G1892" t="s">
        <v>885</v>
      </c>
      <c r="H1892" s="9" t="s">
        <v>1071</v>
      </c>
      <c r="I1892">
        <f t="shared" si="117"/>
        <v>100</v>
      </c>
      <c r="J1892">
        <f t="shared" si="114"/>
        <v>45.359237</v>
      </c>
      <c r="K1892">
        <v>0.52500000000000002</v>
      </c>
      <c r="L1892">
        <f t="shared" si="115"/>
        <v>23.813599425</v>
      </c>
    </row>
    <row r="1893" spans="1:12" x14ac:dyDescent="0.2">
      <c r="A1893" s="4">
        <v>43435</v>
      </c>
      <c r="B1893" t="s">
        <v>48</v>
      </c>
      <c r="C1893" s="28">
        <v>1</v>
      </c>
      <c r="D1893" s="28">
        <v>1</v>
      </c>
      <c r="E1893">
        <f t="shared" si="118"/>
        <v>33.333333333333336</v>
      </c>
      <c r="F1893" t="s">
        <v>321</v>
      </c>
      <c r="G1893" t="s">
        <v>885</v>
      </c>
      <c r="H1893" s="9" t="s">
        <v>1071</v>
      </c>
      <c r="I1893">
        <f t="shared" si="117"/>
        <v>33.333333333333336</v>
      </c>
      <c r="J1893">
        <f t="shared" si="114"/>
        <v>15.119745666666669</v>
      </c>
      <c r="K1893">
        <v>0.52500000000000002</v>
      </c>
      <c r="L1893">
        <f t="shared" si="115"/>
        <v>7.9378664750000016</v>
      </c>
    </row>
    <row r="1894" spans="1:12" x14ac:dyDescent="0.2">
      <c r="A1894" s="4">
        <v>43437</v>
      </c>
      <c r="B1894" t="s">
        <v>48</v>
      </c>
      <c r="C1894" s="28">
        <v>1</v>
      </c>
      <c r="D1894" s="28">
        <v>1</v>
      </c>
      <c r="E1894">
        <f t="shared" si="118"/>
        <v>33.333333333333336</v>
      </c>
      <c r="F1894" t="s">
        <v>320</v>
      </c>
      <c r="G1894" t="s">
        <v>885</v>
      </c>
      <c r="H1894" s="9" t="s">
        <v>1071</v>
      </c>
      <c r="I1894">
        <f t="shared" si="117"/>
        <v>33.333333333333336</v>
      </c>
      <c r="J1894">
        <f t="shared" si="114"/>
        <v>15.119745666666669</v>
      </c>
      <c r="K1894">
        <v>0.52500000000000002</v>
      </c>
      <c r="L1894">
        <f t="shared" si="115"/>
        <v>7.9378664750000016</v>
      </c>
    </row>
    <row r="1895" spans="1:12" x14ac:dyDescent="0.2">
      <c r="A1895" s="4">
        <v>43437</v>
      </c>
      <c r="B1895" t="s">
        <v>48</v>
      </c>
      <c r="C1895" s="28">
        <v>2</v>
      </c>
      <c r="D1895" s="28">
        <v>1</v>
      </c>
      <c r="E1895">
        <f t="shared" si="118"/>
        <v>33.333333333333336</v>
      </c>
      <c r="F1895" t="s">
        <v>321</v>
      </c>
      <c r="G1895" t="s">
        <v>885</v>
      </c>
      <c r="H1895" s="9" t="s">
        <v>1071</v>
      </c>
      <c r="I1895">
        <f t="shared" si="117"/>
        <v>66.666666666666671</v>
      </c>
      <c r="J1895">
        <f t="shared" si="114"/>
        <v>30.239491333333337</v>
      </c>
      <c r="K1895">
        <v>0.52500000000000002</v>
      </c>
      <c r="L1895">
        <f t="shared" si="115"/>
        <v>15.875732950000003</v>
      </c>
    </row>
    <row r="1896" spans="1:12" x14ac:dyDescent="0.2">
      <c r="A1896" s="4">
        <v>43438</v>
      </c>
      <c r="B1896" t="s">
        <v>48</v>
      </c>
      <c r="C1896" s="28">
        <v>2</v>
      </c>
      <c r="D1896" s="28">
        <v>1</v>
      </c>
      <c r="E1896">
        <f t="shared" si="118"/>
        <v>33.333333333333336</v>
      </c>
      <c r="F1896" t="s">
        <v>320</v>
      </c>
      <c r="G1896" t="s">
        <v>885</v>
      </c>
      <c r="H1896" s="9" t="s">
        <v>1071</v>
      </c>
      <c r="I1896">
        <f t="shared" si="117"/>
        <v>66.666666666666671</v>
      </c>
      <c r="J1896">
        <f t="shared" si="114"/>
        <v>30.239491333333337</v>
      </c>
      <c r="K1896">
        <v>0.52500000000000002</v>
      </c>
      <c r="L1896">
        <f t="shared" si="115"/>
        <v>15.875732950000003</v>
      </c>
    </row>
    <row r="1897" spans="1:12" x14ac:dyDescent="0.2">
      <c r="A1897" s="4">
        <v>43438</v>
      </c>
      <c r="B1897" t="s">
        <v>48</v>
      </c>
      <c r="C1897" s="28">
        <v>1</v>
      </c>
      <c r="D1897" s="28">
        <v>1</v>
      </c>
      <c r="E1897">
        <f t="shared" si="118"/>
        <v>33.333333333333336</v>
      </c>
      <c r="F1897" t="s">
        <v>321</v>
      </c>
      <c r="G1897" t="s">
        <v>885</v>
      </c>
      <c r="H1897" s="9" t="s">
        <v>1071</v>
      </c>
      <c r="I1897">
        <f t="shared" si="117"/>
        <v>33.333333333333336</v>
      </c>
      <c r="J1897">
        <f t="shared" si="114"/>
        <v>15.119745666666669</v>
      </c>
      <c r="K1897">
        <v>0.52500000000000002</v>
      </c>
      <c r="L1897">
        <f t="shared" si="115"/>
        <v>7.9378664750000016</v>
      </c>
    </row>
    <row r="1898" spans="1:12" x14ac:dyDescent="0.2">
      <c r="A1898" s="4">
        <v>43439</v>
      </c>
      <c r="B1898" t="s">
        <v>48</v>
      </c>
      <c r="C1898" s="28">
        <v>1</v>
      </c>
      <c r="D1898" s="28">
        <v>1</v>
      </c>
      <c r="E1898">
        <f t="shared" si="118"/>
        <v>33.333333333333336</v>
      </c>
      <c r="F1898" t="s">
        <v>320</v>
      </c>
      <c r="G1898" t="s">
        <v>885</v>
      </c>
      <c r="H1898" s="9" t="s">
        <v>1071</v>
      </c>
      <c r="I1898">
        <f t="shared" si="117"/>
        <v>33.333333333333336</v>
      </c>
      <c r="J1898">
        <f t="shared" si="114"/>
        <v>15.119745666666669</v>
      </c>
      <c r="K1898">
        <v>0.52500000000000002</v>
      </c>
      <c r="L1898">
        <f t="shared" si="115"/>
        <v>7.9378664750000016</v>
      </c>
    </row>
    <row r="1899" spans="1:12" x14ac:dyDescent="0.2">
      <c r="A1899" s="4">
        <v>43439</v>
      </c>
      <c r="B1899" t="s">
        <v>48</v>
      </c>
      <c r="C1899" s="28">
        <v>2</v>
      </c>
      <c r="D1899" s="28">
        <v>1</v>
      </c>
      <c r="E1899">
        <f t="shared" si="118"/>
        <v>33.333333333333336</v>
      </c>
      <c r="F1899" t="s">
        <v>321</v>
      </c>
      <c r="G1899" t="s">
        <v>885</v>
      </c>
      <c r="H1899" s="9" t="s">
        <v>1071</v>
      </c>
      <c r="I1899">
        <f t="shared" si="117"/>
        <v>66.666666666666671</v>
      </c>
      <c r="J1899">
        <f t="shared" si="114"/>
        <v>30.239491333333337</v>
      </c>
      <c r="K1899">
        <v>0.52500000000000002</v>
      </c>
      <c r="L1899">
        <f t="shared" si="115"/>
        <v>15.875732950000003</v>
      </c>
    </row>
    <row r="1900" spans="1:12" x14ac:dyDescent="0.2">
      <c r="A1900" s="4">
        <v>43440</v>
      </c>
      <c r="B1900" t="s">
        <v>48</v>
      </c>
      <c r="C1900" s="28">
        <v>1</v>
      </c>
      <c r="D1900" s="28">
        <v>1</v>
      </c>
      <c r="E1900">
        <f t="shared" si="118"/>
        <v>33.333333333333336</v>
      </c>
      <c r="F1900" t="s">
        <v>320</v>
      </c>
      <c r="G1900" t="s">
        <v>885</v>
      </c>
      <c r="H1900" s="9" t="s">
        <v>1071</v>
      </c>
      <c r="I1900">
        <f t="shared" si="117"/>
        <v>33.333333333333336</v>
      </c>
      <c r="J1900">
        <f t="shared" si="114"/>
        <v>15.119745666666669</v>
      </c>
      <c r="K1900">
        <v>0.52500000000000002</v>
      </c>
      <c r="L1900">
        <f t="shared" si="115"/>
        <v>7.9378664750000016</v>
      </c>
    </row>
    <row r="1901" spans="1:12" x14ac:dyDescent="0.2">
      <c r="A1901" s="4">
        <v>43440</v>
      </c>
      <c r="B1901" t="s">
        <v>48</v>
      </c>
      <c r="C1901" s="28">
        <v>2</v>
      </c>
      <c r="D1901" s="28">
        <v>1</v>
      </c>
      <c r="E1901">
        <f t="shared" si="118"/>
        <v>33.333333333333336</v>
      </c>
      <c r="F1901" t="s">
        <v>321</v>
      </c>
      <c r="G1901" t="s">
        <v>885</v>
      </c>
      <c r="H1901" s="9" t="s">
        <v>1071</v>
      </c>
      <c r="I1901">
        <f t="shared" si="117"/>
        <v>66.666666666666671</v>
      </c>
      <c r="J1901">
        <f t="shared" si="114"/>
        <v>30.239491333333337</v>
      </c>
      <c r="K1901">
        <v>0.52500000000000002</v>
      </c>
      <c r="L1901">
        <f t="shared" si="115"/>
        <v>15.875732950000003</v>
      </c>
    </row>
    <row r="1902" spans="1:12" x14ac:dyDescent="0.2">
      <c r="A1902" s="4">
        <v>43440</v>
      </c>
      <c r="B1902" t="s">
        <v>48</v>
      </c>
      <c r="C1902" s="28">
        <v>1</v>
      </c>
      <c r="D1902" s="28">
        <v>1</v>
      </c>
      <c r="E1902">
        <v>20</v>
      </c>
      <c r="F1902" t="s">
        <v>514</v>
      </c>
      <c r="G1902" t="s">
        <v>887</v>
      </c>
      <c r="H1902" s="9" t="s">
        <v>1071</v>
      </c>
      <c r="I1902">
        <f t="shared" si="117"/>
        <v>20</v>
      </c>
      <c r="J1902">
        <f t="shared" si="114"/>
        <v>9.0718474000000011</v>
      </c>
      <c r="K1902">
        <v>0.52500000000000002</v>
      </c>
      <c r="L1902">
        <f t="shared" si="115"/>
        <v>4.762719885000001</v>
      </c>
    </row>
    <row r="1903" spans="1:12" x14ac:dyDescent="0.2">
      <c r="A1903" s="4">
        <v>43434</v>
      </c>
      <c r="B1903" t="s">
        <v>538</v>
      </c>
      <c r="C1903">
        <v>1</v>
      </c>
      <c r="D1903">
        <v>3</v>
      </c>
      <c r="E1903">
        <v>5</v>
      </c>
      <c r="F1903" t="s">
        <v>556</v>
      </c>
      <c r="G1903" t="s">
        <v>909</v>
      </c>
      <c r="H1903" s="9" t="s">
        <v>1071</v>
      </c>
      <c r="I1903">
        <f t="shared" si="117"/>
        <v>15</v>
      </c>
      <c r="J1903">
        <f t="shared" si="114"/>
        <v>6.8038855500000004</v>
      </c>
      <c r="K1903">
        <v>0.87</v>
      </c>
      <c r="L1903">
        <f t="shared" si="115"/>
        <v>5.9193804285000002</v>
      </c>
    </row>
    <row r="1904" spans="1:12" x14ac:dyDescent="0.2">
      <c r="A1904" s="4">
        <v>43439</v>
      </c>
      <c r="B1904" t="s">
        <v>538</v>
      </c>
      <c r="C1904">
        <v>1</v>
      </c>
      <c r="D1904">
        <v>3</v>
      </c>
      <c r="E1904">
        <v>5</v>
      </c>
      <c r="F1904" t="s">
        <v>556</v>
      </c>
      <c r="G1904" t="s">
        <v>909</v>
      </c>
      <c r="H1904" s="9" t="s">
        <v>1071</v>
      </c>
      <c r="I1904">
        <f t="shared" si="117"/>
        <v>15</v>
      </c>
      <c r="J1904">
        <f t="shared" si="114"/>
        <v>6.8038855500000004</v>
      </c>
      <c r="K1904">
        <v>0.87</v>
      </c>
      <c r="L1904">
        <f t="shared" si="115"/>
        <v>5.9193804285000002</v>
      </c>
    </row>
    <row r="1905" spans="1:12" x14ac:dyDescent="0.2">
      <c r="A1905" s="4">
        <v>43434</v>
      </c>
      <c r="B1905" t="s">
        <v>48</v>
      </c>
      <c r="C1905" s="28">
        <v>1</v>
      </c>
      <c r="D1905" s="28">
        <v>1</v>
      </c>
      <c r="E1905">
        <f>10/9*30</f>
        <v>33.333333333333336</v>
      </c>
      <c r="F1905" t="s">
        <v>320</v>
      </c>
      <c r="G1905" t="s">
        <v>827</v>
      </c>
      <c r="H1905" s="9" t="s">
        <v>1071</v>
      </c>
      <c r="I1905">
        <f t="shared" si="117"/>
        <v>33.333333333333336</v>
      </c>
      <c r="J1905">
        <f t="shared" si="114"/>
        <v>15.119745666666669</v>
      </c>
      <c r="K1905">
        <v>0.52500000000000002</v>
      </c>
      <c r="L1905">
        <f t="shared" si="115"/>
        <v>7.9378664750000016</v>
      </c>
    </row>
    <row r="1906" spans="1:12" x14ac:dyDescent="0.2">
      <c r="A1906" s="4">
        <v>43434</v>
      </c>
      <c r="B1906" t="s">
        <v>538</v>
      </c>
      <c r="C1906">
        <v>2</v>
      </c>
      <c r="D1906">
        <v>12</v>
      </c>
      <c r="E1906">
        <f>27/16</f>
        <v>1.6875</v>
      </c>
      <c r="F1906" t="s">
        <v>555</v>
      </c>
      <c r="G1906" t="s">
        <v>908</v>
      </c>
      <c r="H1906" s="9" t="s">
        <v>1071</v>
      </c>
      <c r="I1906">
        <f t="shared" si="117"/>
        <v>40.5</v>
      </c>
      <c r="J1906">
        <f t="shared" si="114"/>
        <v>18.370490985</v>
      </c>
      <c r="K1906">
        <v>0.79900000000000004</v>
      </c>
      <c r="L1906">
        <f t="shared" si="115"/>
        <v>14.678022297015001</v>
      </c>
    </row>
    <row r="1907" spans="1:12" x14ac:dyDescent="0.2">
      <c r="A1907" s="4">
        <v>43434</v>
      </c>
      <c r="B1907" t="s">
        <v>538</v>
      </c>
      <c r="C1907">
        <v>2</v>
      </c>
      <c r="D1907">
        <v>12</v>
      </c>
      <c r="E1907">
        <f>7/16</f>
        <v>0.4375</v>
      </c>
      <c r="F1907" t="s">
        <v>448</v>
      </c>
      <c r="G1907" t="s">
        <v>908</v>
      </c>
      <c r="H1907" s="9" t="s">
        <v>1071</v>
      </c>
      <c r="I1907">
        <f t="shared" si="117"/>
        <v>10.5</v>
      </c>
      <c r="J1907">
        <f t="shared" si="114"/>
        <v>4.7627198850000001</v>
      </c>
      <c r="K1907">
        <v>0.79900000000000004</v>
      </c>
      <c r="L1907">
        <f t="shared" si="115"/>
        <v>3.8054131881150002</v>
      </c>
    </row>
    <row r="1908" spans="1:12" x14ac:dyDescent="0.2">
      <c r="A1908" s="4">
        <v>43439</v>
      </c>
      <c r="B1908" t="s">
        <v>538</v>
      </c>
      <c r="C1908">
        <v>1</v>
      </c>
      <c r="D1908">
        <v>4</v>
      </c>
      <c r="E1908">
        <v>8.35</v>
      </c>
      <c r="F1908" t="s">
        <v>541</v>
      </c>
      <c r="G1908" t="s">
        <v>908</v>
      </c>
      <c r="H1908" s="9" t="s">
        <v>1071</v>
      </c>
      <c r="I1908">
        <f t="shared" si="117"/>
        <v>33.4</v>
      </c>
      <c r="J1908">
        <f t="shared" si="114"/>
        <v>15.149985158</v>
      </c>
      <c r="K1908">
        <v>0.79900000000000004</v>
      </c>
      <c r="L1908">
        <f t="shared" si="115"/>
        <v>12.104838141242</v>
      </c>
    </row>
    <row r="1909" spans="1:12" x14ac:dyDescent="0.2">
      <c r="A1909" s="4">
        <v>43434</v>
      </c>
      <c r="B1909" t="s">
        <v>538</v>
      </c>
      <c r="C1909">
        <v>1</v>
      </c>
      <c r="D1909">
        <v>4</v>
      </c>
      <c r="E1909">
        <v>8.35</v>
      </c>
      <c r="F1909" t="s">
        <v>541</v>
      </c>
      <c r="G1909" t="s">
        <v>937</v>
      </c>
      <c r="H1909" s="9" t="s">
        <v>1071</v>
      </c>
      <c r="I1909">
        <f t="shared" si="117"/>
        <v>33.4</v>
      </c>
      <c r="J1909">
        <f t="shared" si="114"/>
        <v>15.149985158</v>
      </c>
      <c r="K1909">
        <v>0.79900000000000004</v>
      </c>
      <c r="L1909">
        <f t="shared" si="115"/>
        <v>12.104838141242</v>
      </c>
    </row>
    <row r="1910" spans="1:12" x14ac:dyDescent="0.2">
      <c r="A1910" s="4">
        <v>43434</v>
      </c>
      <c r="B1910" t="s">
        <v>48</v>
      </c>
      <c r="C1910" s="28">
        <v>6</v>
      </c>
      <c r="D1910" s="28">
        <v>1</v>
      </c>
      <c r="E1910">
        <f>10*2</f>
        <v>20</v>
      </c>
      <c r="F1910" t="s">
        <v>341</v>
      </c>
      <c r="G1910" t="s">
        <v>793</v>
      </c>
      <c r="H1910" s="9" t="s">
        <v>1071</v>
      </c>
      <c r="I1910">
        <f t="shared" si="117"/>
        <v>120</v>
      </c>
      <c r="J1910">
        <f t="shared" si="114"/>
        <v>54.431084400000003</v>
      </c>
      <c r="K1910">
        <v>0.91400000000000003</v>
      </c>
      <c r="L1910">
        <f t="shared" si="115"/>
        <v>49.750011141600005</v>
      </c>
    </row>
    <row r="1911" spans="1:12" x14ac:dyDescent="0.2">
      <c r="A1911" s="4">
        <v>43435</v>
      </c>
      <c r="B1911" t="s">
        <v>48</v>
      </c>
      <c r="C1911" s="28">
        <v>6</v>
      </c>
      <c r="D1911" s="28">
        <v>1</v>
      </c>
      <c r="E1911">
        <f>10*2</f>
        <v>20</v>
      </c>
      <c r="F1911" t="s">
        <v>341</v>
      </c>
      <c r="G1911" t="s">
        <v>793</v>
      </c>
      <c r="H1911" s="9" t="s">
        <v>1071</v>
      </c>
      <c r="I1911">
        <f t="shared" si="117"/>
        <v>120</v>
      </c>
      <c r="J1911">
        <f t="shared" si="114"/>
        <v>54.431084400000003</v>
      </c>
      <c r="K1911">
        <v>0.91400000000000003</v>
      </c>
      <c r="L1911">
        <f t="shared" si="115"/>
        <v>49.750011141600005</v>
      </c>
    </row>
    <row r="1912" spans="1:12" x14ac:dyDescent="0.2">
      <c r="A1912" s="4">
        <v>43437</v>
      </c>
      <c r="B1912" t="s">
        <v>48</v>
      </c>
      <c r="C1912" s="28">
        <v>6</v>
      </c>
      <c r="D1912" s="28">
        <v>1</v>
      </c>
      <c r="E1912">
        <f>10*2</f>
        <v>20</v>
      </c>
      <c r="F1912" t="s">
        <v>341</v>
      </c>
      <c r="G1912" t="s">
        <v>793</v>
      </c>
      <c r="H1912" s="9" t="s">
        <v>1071</v>
      </c>
      <c r="I1912">
        <f t="shared" si="117"/>
        <v>120</v>
      </c>
      <c r="J1912">
        <f t="shared" si="114"/>
        <v>54.431084400000003</v>
      </c>
      <c r="K1912">
        <v>0.91400000000000003</v>
      </c>
      <c r="L1912">
        <f t="shared" si="115"/>
        <v>49.750011141600005</v>
      </c>
    </row>
    <row r="1913" spans="1:12" x14ac:dyDescent="0.2">
      <c r="A1913" s="4">
        <v>43440</v>
      </c>
      <c r="B1913" t="s">
        <v>48</v>
      </c>
      <c r="C1913" s="28">
        <v>4</v>
      </c>
      <c r="D1913" s="28">
        <v>1</v>
      </c>
      <c r="E1913">
        <f>10*2</f>
        <v>20</v>
      </c>
      <c r="F1913" t="s">
        <v>510</v>
      </c>
      <c r="G1913" t="s">
        <v>758</v>
      </c>
      <c r="H1913" s="9" t="s">
        <v>1071</v>
      </c>
      <c r="I1913">
        <f t="shared" si="117"/>
        <v>80</v>
      </c>
      <c r="J1913">
        <f t="shared" si="114"/>
        <v>36.287389600000004</v>
      </c>
      <c r="K1913">
        <v>0.91400000000000003</v>
      </c>
      <c r="L1913">
        <f t="shared" si="115"/>
        <v>33.166674094400008</v>
      </c>
    </row>
    <row r="1914" spans="1:12" x14ac:dyDescent="0.2">
      <c r="A1914" s="4">
        <v>43399</v>
      </c>
      <c r="B1914" t="s">
        <v>13</v>
      </c>
      <c r="C1914" s="37">
        <v>1</v>
      </c>
      <c r="D1914" s="37">
        <v>1</v>
      </c>
      <c r="E1914">
        <v>100</v>
      </c>
      <c r="F1914" t="s">
        <v>19</v>
      </c>
      <c r="G1914" t="s">
        <v>15</v>
      </c>
      <c r="H1914" s="9" t="s">
        <v>1072</v>
      </c>
      <c r="I1914">
        <f t="shared" si="117"/>
        <v>100</v>
      </c>
      <c r="J1914">
        <f t="shared" si="114"/>
        <v>45.359237</v>
      </c>
      <c r="K1914">
        <v>5.56</v>
      </c>
      <c r="L1914">
        <f t="shared" si="115"/>
        <v>252.19735771999999</v>
      </c>
    </row>
    <row r="1915" spans="1:12" x14ac:dyDescent="0.2">
      <c r="A1915" s="4">
        <v>43399</v>
      </c>
      <c r="B1915" t="s">
        <v>13</v>
      </c>
      <c r="C1915" s="37">
        <v>1</v>
      </c>
      <c r="D1915" s="37">
        <v>1</v>
      </c>
      <c r="E1915">
        <v>40</v>
      </c>
      <c r="F1915" t="s">
        <v>14</v>
      </c>
      <c r="G1915" t="s">
        <v>15</v>
      </c>
      <c r="H1915" s="9" t="s">
        <v>1072</v>
      </c>
      <c r="I1915">
        <f t="shared" si="117"/>
        <v>40</v>
      </c>
      <c r="J1915">
        <f t="shared" si="114"/>
        <v>18.143694800000002</v>
      </c>
      <c r="K1915">
        <v>5.56</v>
      </c>
      <c r="L1915">
        <f t="shared" si="115"/>
        <v>100.878943088</v>
      </c>
    </row>
    <row r="1916" spans="1:12" x14ac:dyDescent="0.2">
      <c r="A1916" s="4">
        <v>43399</v>
      </c>
      <c r="B1916" t="s">
        <v>13</v>
      </c>
      <c r="C1916" s="37">
        <v>1</v>
      </c>
      <c r="D1916" s="37">
        <v>1</v>
      </c>
      <c r="E1916">
        <v>100</v>
      </c>
      <c r="F1916" t="s">
        <v>20</v>
      </c>
      <c r="G1916" t="s">
        <v>15</v>
      </c>
      <c r="H1916" s="9" t="s">
        <v>1072</v>
      </c>
      <c r="I1916">
        <f t="shared" si="117"/>
        <v>100</v>
      </c>
      <c r="J1916">
        <f t="shared" si="114"/>
        <v>45.359237</v>
      </c>
      <c r="K1916">
        <v>5.56</v>
      </c>
      <c r="L1916">
        <f t="shared" si="115"/>
        <v>252.19735771999999</v>
      </c>
    </row>
    <row r="1917" spans="1:12" x14ac:dyDescent="0.2">
      <c r="A1917" s="4">
        <v>43399</v>
      </c>
      <c r="B1917" t="s">
        <v>13</v>
      </c>
      <c r="C1917" s="37">
        <v>1</v>
      </c>
      <c r="D1917" s="37">
        <v>1</v>
      </c>
      <c r="E1917">
        <v>40</v>
      </c>
      <c r="F1917" t="s">
        <v>285</v>
      </c>
      <c r="G1917" t="s">
        <v>15</v>
      </c>
      <c r="H1917" s="9" t="s">
        <v>1072</v>
      </c>
      <c r="I1917">
        <f t="shared" si="117"/>
        <v>40</v>
      </c>
      <c r="J1917">
        <f t="shared" si="114"/>
        <v>18.143694800000002</v>
      </c>
      <c r="K1917">
        <v>5.56</v>
      </c>
      <c r="L1917">
        <f t="shared" si="115"/>
        <v>100.878943088</v>
      </c>
    </row>
    <row r="1918" spans="1:12" x14ac:dyDescent="0.2">
      <c r="A1918" s="4">
        <v>43399</v>
      </c>
      <c r="B1918" t="s">
        <v>13</v>
      </c>
      <c r="C1918" s="37">
        <v>1</v>
      </c>
      <c r="D1918" s="37">
        <v>1</v>
      </c>
      <c r="E1918">
        <v>303.95</v>
      </c>
      <c r="F1918" t="s">
        <v>286</v>
      </c>
      <c r="G1918" t="s">
        <v>15</v>
      </c>
      <c r="H1918" s="9" t="s">
        <v>1072</v>
      </c>
      <c r="I1918">
        <f t="shared" si="117"/>
        <v>303.95</v>
      </c>
      <c r="J1918">
        <f t="shared" si="114"/>
        <v>137.8694008615</v>
      </c>
      <c r="K1918">
        <v>5.56</v>
      </c>
      <c r="L1918">
        <f t="shared" si="115"/>
        <v>766.55386878993988</v>
      </c>
    </row>
    <row r="1919" spans="1:12" x14ac:dyDescent="0.2">
      <c r="A1919" s="4">
        <v>43399</v>
      </c>
      <c r="B1919" t="s">
        <v>13</v>
      </c>
      <c r="C1919" s="37">
        <v>1</v>
      </c>
      <c r="D1919" s="37">
        <v>1</v>
      </c>
      <c r="E1919">
        <v>307.60000000000002</v>
      </c>
      <c r="F1919" t="s">
        <v>287</v>
      </c>
      <c r="G1919" t="s">
        <v>15</v>
      </c>
      <c r="H1919" s="9" t="s">
        <v>1072</v>
      </c>
      <c r="I1919">
        <f t="shared" si="117"/>
        <v>307.60000000000002</v>
      </c>
      <c r="J1919">
        <f t="shared" si="114"/>
        <v>139.52501301200002</v>
      </c>
      <c r="K1919">
        <v>5.56</v>
      </c>
      <c r="L1919">
        <f t="shared" si="115"/>
        <v>775.75907234672002</v>
      </c>
    </row>
    <row r="1920" spans="1:12" x14ac:dyDescent="0.2">
      <c r="A1920" s="4">
        <v>43399</v>
      </c>
      <c r="B1920" t="s">
        <v>13</v>
      </c>
      <c r="C1920" s="37">
        <v>1</v>
      </c>
      <c r="D1920" s="37">
        <v>1</v>
      </c>
      <c r="E1920">
        <v>60</v>
      </c>
      <c r="F1920" t="s">
        <v>288</v>
      </c>
      <c r="G1920" t="s">
        <v>15</v>
      </c>
      <c r="H1920" s="9" t="s">
        <v>1072</v>
      </c>
      <c r="I1920">
        <f t="shared" si="117"/>
        <v>60</v>
      </c>
      <c r="J1920">
        <f t="shared" si="114"/>
        <v>27.215542200000002</v>
      </c>
      <c r="K1920">
        <v>5.56</v>
      </c>
      <c r="L1920">
        <f t="shared" si="115"/>
        <v>151.31841463199999</v>
      </c>
    </row>
    <row r="1921" spans="1:12" x14ac:dyDescent="0.2">
      <c r="A1921" s="4">
        <v>43399</v>
      </c>
      <c r="B1921" t="s">
        <v>13</v>
      </c>
      <c r="C1921" s="37">
        <v>1</v>
      </c>
      <c r="D1921" s="37">
        <v>1</v>
      </c>
      <c r="E1921">
        <v>20</v>
      </c>
      <c r="F1921" t="s">
        <v>18</v>
      </c>
      <c r="G1921" t="s">
        <v>15</v>
      </c>
      <c r="H1921" s="9" t="s">
        <v>1072</v>
      </c>
      <c r="I1921">
        <f t="shared" si="117"/>
        <v>20</v>
      </c>
      <c r="J1921">
        <f t="shared" si="114"/>
        <v>9.0718474000000011</v>
      </c>
      <c r="K1921">
        <v>5.56</v>
      </c>
      <c r="L1921">
        <f t="shared" si="115"/>
        <v>50.439471544</v>
      </c>
    </row>
    <row r="1922" spans="1:12" x14ac:dyDescent="0.2">
      <c r="A1922" s="4">
        <v>43434</v>
      </c>
      <c r="B1922" t="s">
        <v>525</v>
      </c>
      <c r="C1922">
        <v>1</v>
      </c>
      <c r="D1922">
        <v>1</v>
      </c>
      <c r="E1922">
        <v>89.1</v>
      </c>
      <c r="F1922" t="s">
        <v>396</v>
      </c>
      <c r="G1922" t="s">
        <v>15</v>
      </c>
      <c r="H1922" s="9" t="s">
        <v>1072</v>
      </c>
      <c r="I1922">
        <f t="shared" si="117"/>
        <v>89.1</v>
      </c>
      <c r="J1922">
        <f t="shared" si="114"/>
        <v>40.415080166999999</v>
      </c>
      <c r="K1922">
        <v>5.56</v>
      </c>
      <c r="L1922">
        <f t="shared" si="115"/>
        <v>224.70784572851997</v>
      </c>
    </row>
    <row r="1923" spans="1:12" x14ac:dyDescent="0.2">
      <c r="A1923" s="4">
        <v>43439</v>
      </c>
      <c r="B1923" t="s">
        <v>525</v>
      </c>
      <c r="C1923">
        <v>1</v>
      </c>
      <c r="D1923">
        <v>1</v>
      </c>
      <c r="E1923">
        <v>29.8</v>
      </c>
      <c r="F1923" t="s">
        <v>396</v>
      </c>
      <c r="G1923" t="s">
        <v>15</v>
      </c>
      <c r="H1923" s="9" t="s">
        <v>1072</v>
      </c>
      <c r="I1923">
        <f t="shared" si="117"/>
        <v>29.8</v>
      </c>
      <c r="J1923">
        <f t="shared" ref="J1923:J1986" si="119">CONVERT(I1923,"lbm","kg")</f>
        <v>13.517052626000002</v>
      </c>
      <c r="K1923">
        <v>5.56</v>
      </c>
      <c r="L1923">
        <f t="shared" ref="L1923:L1986" si="120">J1923*K1923</f>
        <v>75.154812600560007</v>
      </c>
    </row>
    <row r="1924" spans="1:12" x14ac:dyDescent="0.2">
      <c r="A1924" s="4">
        <v>43434</v>
      </c>
      <c r="B1924" t="s">
        <v>48</v>
      </c>
      <c r="C1924" s="28">
        <v>2</v>
      </c>
      <c r="D1924">
        <v>1</v>
      </c>
      <c r="E1924">
        <v>50</v>
      </c>
      <c r="F1924" t="s">
        <v>343</v>
      </c>
      <c r="G1924" t="s">
        <v>343</v>
      </c>
      <c r="H1924" s="9" t="s">
        <v>1071</v>
      </c>
      <c r="I1924">
        <f t="shared" si="117"/>
        <v>100</v>
      </c>
      <c r="J1924">
        <f t="shared" si="119"/>
        <v>45.359237</v>
      </c>
      <c r="K1924">
        <v>0.217</v>
      </c>
      <c r="L1924">
        <f t="shared" si="120"/>
        <v>9.8429544290000006</v>
      </c>
    </row>
    <row r="1925" spans="1:12" x14ac:dyDescent="0.2">
      <c r="A1925" s="4">
        <v>43434</v>
      </c>
      <c r="B1925" t="s">
        <v>48</v>
      </c>
      <c r="C1925" s="28">
        <v>6</v>
      </c>
      <c r="D1925">
        <v>1</v>
      </c>
      <c r="E1925">
        <v>40</v>
      </c>
      <c r="F1925" t="s">
        <v>343</v>
      </c>
      <c r="G1925" t="s">
        <v>343</v>
      </c>
      <c r="H1925" s="9" t="s">
        <v>1071</v>
      </c>
      <c r="I1925">
        <f t="shared" si="117"/>
        <v>240</v>
      </c>
      <c r="J1925">
        <f t="shared" si="119"/>
        <v>108.86216880000001</v>
      </c>
      <c r="K1925">
        <v>0.217</v>
      </c>
      <c r="L1925">
        <f t="shared" si="120"/>
        <v>23.6230906296</v>
      </c>
    </row>
    <row r="1926" spans="1:12" x14ac:dyDescent="0.2">
      <c r="A1926" s="4">
        <v>43434</v>
      </c>
      <c r="B1926" t="s">
        <v>48</v>
      </c>
      <c r="C1926" s="28">
        <v>4</v>
      </c>
      <c r="D1926">
        <v>1</v>
      </c>
      <c r="E1926">
        <v>50</v>
      </c>
      <c r="F1926" t="s">
        <v>343</v>
      </c>
      <c r="G1926" t="s">
        <v>343</v>
      </c>
      <c r="H1926" s="9" t="s">
        <v>1071</v>
      </c>
      <c r="I1926">
        <f t="shared" si="117"/>
        <v>200</v>
      </c>
      <c r="J1926">
        <f t="shared" si="119"/>
        <v>90.718474000000001</v>
      </c>
      <c r="K1926">
        <v>0.217</v>
      </c>
      <c r="L1926">
        <f t="shared" si="120"/>
        <v>19.685908858000001</v>
      </c>
    </row>
    <row r="1927" spans="1:12" x14ac:dyDescent="0.2">
      <c r="A1927" s="4">
        <v>43435</v>
      </c>
      <c r="B1927" t="s">
        <v>48</v>
      </c>
      <c r="C1927" s="28">
        <v>2</v>
      </c>
      <c r="D1927">
        <v>1</v>
      </c>
      <c r="E1927">
        <v>50</v>
      </c>
      <c r="F1927" t="s">
        <v>342</v>
      </c>
      <c r="G1927" t="s">
        <v>343</v>
      </c>
      <c r="H1927" s="9" t="s">
        <v>1071</v>
      </c>
      <c r="I1927">
        <f t="shared" si="117"/>
        <v>100</v>
      </c>
      <c r="J1927">
        <f t="shared" si="119"/>
        <v>45.359237</v>
      </c>
      <c r="K1927">
        <v>0.217</v>
      </c>
      <c r="L1927">
        <f t="shared" si="120"/>
        <v>9.8429544290000006</v>
      </c>
    </row>
    <row r="1928" spans="1:12" x14ac:dyDescent="0.2">
      <c r="A1928" s="4">
        <v>43435</v>
      </c>
      <c r="B1928" t="s">
        <v>48</v>
      </c>
      <c r="C1928" s="28">
        <v>2</v>
      </c>
      <c r="D1928">
        <v>1</v>
      </c>
      <c r="E1928">
        <v>50</v>
      </c>
      <c r="F1928" t="s">
        <v>343</v>
      </c>
      <c r="G1928" t="s">
        <v>343</v>
      </c>
      <c r="H1928" s="9" t="s">
        <v>1071</v>
      </c>
      <c r="I1928">
        <f t="shared" si="117"/>
        <v>100</v>
      </c>
      <c r="J1928">
        <f t="shared" si="119"/>
        <v>45.359237</v>
      </c>
      <c r="K1928">
        <v>0.217</v>
      </c>
      <c r="L1928">
        <f t="shared" si="120"/>
        <v>9.8429544290000006</v>
      </c>
    </row>
    <row r="1929" spans="1:12" x14ac:dyDescent="0.2">
      <c r="A1929" s="4">
        <v>43439</v>
      </c>
      <c r="B1929" t="s">
        <v>48</v>
      </c>
      <c r="C1929" s="28">
        <v>4</v>
      </c>
      <c r="D1929">
        <v>1</v>
      </c>
      <c r="E1929">
        <v>50</v>
      </c>
      <c r="F1929" t="s">
        <v>342</v>
      </c>
      <c r="G1929" t="s">
        <v>343</v>
      </c>
      <c r="H1929" s="9" t="s">
        <v>1071</v>
      </c>
      <c r="I1929">
        <f t="shared" si="117"/>
        <v>200</v>
      </c>
      <c r="J1929">
        <f t="shared" si="119"/>
        <v>90.718474000000001</v>
      </c>
      <c r="K1929">
        <v>0.217</v>
      </c>
      <c r="L1929">
        <f t="shared" si="120"/>
        <v>19.685908858000001</v>
      </c>
    </row>
    <row r="1930" spans="1:12" x14ac:dyDescent="0.2">
      <c r="A1930" s="4">
        <v>43440</v>
      </c>
      <c r="B1930" t="s">
        <v>48</v>
      </c>
      <c r="C1930" s="28">
        <v>4</v>
      </c>
      <c r="D1930">
        <v>1</v>
      </c>
      <c r="E1930">
        <v>50</v>
      </c>
      <c r="F1930" t="s">
        <v>511</v>
      </c>
      <c r="G1930" t="s">
        <v>759</v>
      </c>
      <c r="H1930" s="9" t="s">
        <v>1071</v>
      </c>
      <c r="I1930">
        <f t="shared" si="117"/>
        <v>200</v>
      </c>
      <c r="J1930">
        <f t="shared" si="119"/>
        <v>90.718474000000001</v>
      </c>
      <c r="K1930">
        <v>0.217</v>
      </c>
      <c r="L1930">
        <f t="shared" si="120"/>
        <v>19.685908858000001</v>
      </c>
    </row>
    <row r="1931" spans="1:12" x14ac:dyDescent="0.2">
      <c r="A1931" s="4">
        <v>43440</v>
      </c>
      <c r="B1931" t="s">
        <v>48</v>
      </c>
      <c r="C1931" s="28">
        <v>4</v>
      </c>
      <c r="D1931">
        <v>1</v>
      </c>
      <c r="E1931">
        <v>50</v>
      </c>
      <c r="F1931" t="s">
        <v>212</v>
      </c>
      <c r="G1931" t="s">
        <v>759</v>
      </c>
      <c r="H1931" s="9" t="s">
        <v>1071</v>
      </c>
      <c r="I1931">
        <f t="shared" si="117"/>
        <v>200</v>
      </c>
      <c r="J1931">
        <f t="shared" si="119"/>
        <v>90.718474000000001</v>
      </c>
      <c r="K1931">
        <v>0.217</v>
      </c>
      <c r="L1931">
        <f t="shared" si="120"/>
        <v>19.685908858000001</v>
      </c>
    </row>
    <row r="1932" spans="1:12" x14ac:dyDescent="0.2">
      <c r="A1932" s="4">
        <v>43434</v>
      </c>
      <c r="B1932" t="s">
        <v>531</v>
      </c>
      <c r="C1932">
        <v>4</v>
      </c>
      <c r="D1932">
        <v>6</v>
      </c>
      <c r="E1932">
        <v>6</v>
      </c>
      <c r="F1932" t="s">
        <v>533</v>
      </c>
      <c r="G1932" t="s">
        <v>854</v>
      </c>
      <c r="H1932" s="9" t="s">
        <v>1071</v>
      </c>
      <c r="I1932">
        <f t="shared" si="117"/>
        <v>144</v>
      </c>
      <c r="J1932">
        <f t="shared" si="119"/>
        <v>65.317301279999995</v>
      </c>
      <c r="K1932">
        <v>0.217</v>
      </c>
      <c r="L1932">
        <f t="shared" si="120"/>
        <v>14.17385437776</v>
      </c>
    </row>
    <row r="1933" spans="1:12" x14ac:dyDescent="0.2">
      <c r="A1933" s="4">
        <v>43434</v>
      </c>
      <c r="B1933" t="s">
        <v>531</v>
      </c>
      <c r="C1933">
        <v>4</v>
      </c>
      <c r="D1933">
        <v>6</v>
      </c>
      <c r="E1933">
        <v>3</v>
      </c>
      <c r="F1933" t="s">
        <v>404</v>
      </c>
      <c r="G1933" t="s">
        <v>854</v>
      </c>
      <c r="H1933" s="9" t="s">
        <v>1071</v>
      </c>
      <c r="I1933">
        <f t="shared" si="117"/>
        <v>72</v>
      </c>
      <c r="J1933">
        <f t="shared" si="119"/>
        <v>32.658650639999998</v>
      </c>
      <c r="K1933">
        <v>0.217</v>
      </c>
      <c r="L1933">
        <f t="shared" si="120"/>
        <v>7.0869271888799998</v>
      </c>
    </row>
    <row r="1934" spans="1:12" x14ac:dyDescent="0.2">
      <c r="A1934" s="4">
        <v>43434</v>
      </c>
      <c r="B1934" t="s">
        <v>531</v>
      </c>
      <c r="C1934">
        <v>6</v>
      </c>
      <c r="D1934">
        <v>6</v>
      </c>
      <c r="E1934">
        <v>5</v>
      </c>
      <c r="F1934" t="s">
        <v>419</v>
      </c>
      <c r="G1934" t="s">
        <v>854</v>
      </c>
      <c r="H1934" s="9" t="s">
        <v>1071</v>
      </c>
      <c r="I1934">
        <f t="shared" si="117"/>
        <v>180</v>
      </c>
      <c r="J1934">
        <f t="shared" si="119"/>
        <v>81.646626600000005</v>
      </c>
      <c r="K1934">
        <v>0.217</v>
      </c>
      <c r="L1934">
        <f t="shared" si="120"/>
        <v>17.7173179722</v>
      </c>
    </row>
    <row r="1935" spans="1:12" x14ac:dyDescent="0.2">
      <c r="A1935" s="4">
        <v>43437</v>
      </c>
      <c r="B1935" t="s">
        <v>531</v>
      </c>
      <c r="C1935">
        <v>4</v>
      </c>
      <c r="D1935">
        <v>6</v>
      </c>
      <c r="E1935">
        <v>6</v>
      </c>
      <c r="F1935" t="s">
        <v>533</v>
      </c>
      <c r="G1935" t="s">
        <v>854</v>
      </c>
      <c r="H1935" s="9" t="s">
        <v>1071</v>
      </c>
      <c r="I1935">
        <f t="shared" ref="I1935:I1998" si="121">C1935*D1935*E1935</f>
        <v>144</v>
      </c>
      <c r="J1935">
        <f t="shared" si="119"/>
        <v>65.317301279999995</v>
      </c>
      <c r="K1935">
        <v>0.217</v>
      </c>
      <c r="L1935">
        <f t="shared" si="120"/>
        <v>14.17385437776</v>
      </c>
    </row>
    <row r="1936" spans="1:12" x14ac:dyDescent="0.2">
      <c r="A1936" s="4">
        <v>43437</v>
      </c>
      <c r="B1936" t="s">
        <v>531</v>
      </c>
      <c r="C1936">
        <v>4</v>
      </c>
      <c r="D1936">
        <v>6</v>
      </c>
      <c r="E1936">
        <v>3</v>
      </c>
      <c r="F1936" t="s">
        <v>404</v>
      </c>
      <c r="G1936" t="s">
        <v>854</v>
      </c>
      <c r="H1936" s="9" t="s">
        <v>1071</v>
      </c>
      <c r="I1936">
        <f t="shared" si="121"/>
        <v>72</v>
      </c>
      <c r="J1936">
        <f t="shared" si="119"/>
        <v>32.658650639999998</v>
      </c>
      <c r="K1936">
        <v>0.217</v>
      </c>
      <c r="L1936">
        <f t="shared" si="120"/>
        <v>7.0869271888799998</v>
      </c>
    </row>
    <row r="1937" spans="1:12" x14ac:dyDescent="0.2">
      <c r="A1937" s="4">
        <v>43437</v>
      </c>
      <c r="B1937" t="s">
        <v>531</v>
      </c>
      <c r="C1937">
        <v>4</v>
      </c>
      <c r="D1937">
        <v>6</v>
      </c>
      <c r="E1937">
        <v>5</v>
      </c>
      <c r="F1937" t="s">
        <v>406</v>
      </c>
      <c r="G1937" t="s">
        <v>854</v>
      </c>
      <c r="H1937" s="9" t="s">
        <v>1071</v>
      </c>
      <c r="I1937">
        <f t="shared" si="121"/>
        <v>120</v>
      </c>
      <c r="J1937">
        <f t="shared" si="119"/>
        <v>54.431084400000003</v>
      </c>
      <c r="K1937">
        <v>0.217</v>
      </c>
      <c r="L1937">
        <f t="shared" si="120"/>
        <v>11.8115453148</v>
      </c>
    </row>
    <row r="1938" spans="1:12" x14ac:dyDescent="0.2">
      <c r="A1938" s="4">
        <v>43439</v>
      </c>
      <c r="B1938" t="s">
        <v>531</v>
      </c>
      <c r="C1938">
        <v>4</v>
      </c>
      <c r="D1938">
        <v>6</v>
      </c>
      <c r="E1938">
        <v>5</v>
      </c>
      <c r="F1938" t="s">
        <v>403</v>
      </c>
      <c r="G1938" t="s">
        <v>854</v>
      </c>
      <c r="H1938" s="9" t="s">
        <v>1071</v>
      </c>
      <c r="I1938">
        <f t="shared" si="121"/>
        <v>120</v>
      </c>
      <c r="J1938">
        <f t="shared" si="119"/>
        <v>54.431084400000003</v>
      </c>
      <c r="K1938">
        <v>0.217</v>
      </c>
      <c r="L1938">
        <f t="shared" si="120"/>
        <v>11.8115453148</v>
      </c>
    </row>
    <row r="1939" spans="1:12" x14ac:dyDescent="0.2">
      <c r="A1939" s="4">
        <v>43439</v>
      </c>
      <c r="B1939" t="s">
        <v>531</v>
      </c>
      <c r="C1939">
        <v>4</v>
      </c>
      <c r="D1939">
        <v>6</v>
      </c>
      <c r="E1939">
        <v>5</v>
      </c>
      <c r="F1939" t="s">
        <v>406</v>
      </c>
      <c r="G1939" t="s">
        <v>854</v>
      </c>
      <c r="H1939" s="9" t="s">
        <v>1071</v>
      </c>
      <c r="I1939">
        <f t="shared" si="121"/>
        <v>120</v>
      </c>
      <c r="J1939">
        <f t="shared" si="119"/>
        <v>54.431084400000003</v>
      </c>
      <c r="K1939">
        <v>0.217</v>
      </c>
      <c r="L1939">
        <f t="shared" si="120"/>
        <v>11.8115453148</v>
      </c>
    </row>
    <row r="1940" spans="1:12" x14ac:dyDescent="0.2">
      <c r="A1940" s="4">
        <v>43439</v>
      </c>
      <c r="B1940" t="s">
        <v>531</v>
      </c>
      <c r="C1940">
        <v>8</v>
      </c>
      <c r="D1940">
        <v>6</v>
      </c>
      <c r="E1940">
        <v>5</v>
      </c>
      <c r="F1940" t="s">
        <v>419</v>
      </c>
      <c r="G1940" t="s">
        <v>854</v>
      </c>
      <c r="H1940" s="9" t="s">
        <v>1071</v>
      </c>
      <c r="I1940">
        <f t="shared" si="121"/>
        <v>240</v>
      </c>
      <c r="J1940">
        <f t="shared" si="119"/>
        <v>108.86216880000001</v>
      </c>
      <c r="K1940">
        <v>0.217</v>
      </c>
      <c r="L1940">
        <f t="shared" si="120"/>
        <v>23.6230906296</v>
      </c>
    </row>
    <row r="1941" spans="1:12" x14ac:dyDescent="0.2">
      <c r="A1941" s="4">
        <v>43437</v>
      </c>
      <c r="B1941" t="s">
        <v>531</v>
      </c>
      <c r="C1941">
        <v>4</v>
      </c>
      <c r="D1941">
        <v>6</v>
      </c>
      <c r="E1941">
        <v>5</v>
      </c>
      <c r="F1941" t="s">
        <v>412</v>
      </c>
      <c r="G1941" t="s">
        <v>914</v>
      </c>
      <c r="H1941" s="9" t="s">
        <v>1071</v>
      </c>
      <c r="I1941">
        <f t="shared" si="121"/>
        <v>120</v>
      </c>
      <c r="J1941">
        <f t="shared" si="119"/>
        <v>54.431084400000003</v>
      </c>
      <c r="K1941">
        <v>1.5449999999999999</v>
      </c>
      <c r="L1941">
        <f t="shared" si="120"/>
        <v>84.096025397999995</v>
      </c>
    </row>
    <row r="1942" spans="1:12" x14ac:dyDescent="0.2">
      <c r="A1942" s="4">
        <v>43439</v>
      </c>
      <c r="B1942" t="s">
        <v>538</v>
      </c>
      <c r="C1942">
        <v>1</v>
      </c>
      <c r="D1942">
        <v>24</v>
      </c>
      <c r="E1942">
        <f>15/16</f>
        <v>0.9375</v>
      </c>
      <c r="F1942" t="s">
        <v>590</v>
      </c>
      <c r="G1942" t="s">
        <v>882</v>
      </c>
      <c r="H1942" s="9" t="s">
        <v>1071</v>
      </c>
      <c r="I1942">
        <f t="shared" si="121"/>
        <v>22.5</v>
      </c>
      <c r="J1942">
        <f t="shared" si="119"/>
        <v>10.205828325000001</v>
      </c>
      <c r="K1942">
        <v>0.68400000000000005</v>
      </c>
      <c r="L1942">
        <f t="shared" si="120"/>
        <v>6.9807865743000006</v>
      </c>
    </row>
    <row r="1943" spans="1:12" x14ac:dyDescent="0.2">
      <c r="A1943" s="4">
        <v>43439</v>
      </c>
      <c r="B1943" t="s">
        <v>538</v>
      </c>
      <c r="C1943">
        <v>1</v>
      </c>
      <c r="D1943">
        <v>1</v>
      </c>
      <c r="E1943">
        <v>30</v>
      </c>
      <c r="F1943" t="s">
        <v>593</v>
      </c>
      <c r="G1943" t="s">
        <v>882</v>
      </c>
      <c r="H1943" s="9" t="s">
        <v>1071</v>
      </c>
      <c r="I1943">
        <f t="shared" si="121"/>
        <v>30</v>
      </c>
      <c r="J1943">
        <f t="shared" si="119"/>
        <v>13.607771100000001</v>
      </c>
      <c r="K1943">
        <v>0.68400000000000005</v>
      </c>
      <c r="L1943">
        <f t="shared" si="120"/>
        <v>9.307715432400002</v>
      </c>
    </row>
    <row r="1944" spans="1:12" x14ac:dyDescent="0.2">
      <c r="A1944" s="4">
        <v>43434</v>
      </c>
      <c r="B1944" t="s">
        <v>538</v>
      </c>
      <c r="C1944">
        <v>8</v>
      </c>
      <c r="D1944">
        <v>1</v>
      </c>
      <c r="E1944">
        <v>25</v>
      </c>
      <c r="F1944" t="s">
        <v>424</v>
      </c>
      <c r="G1944" t="s">
        <v>859</v>
      </c>
      <c r="H1944" s="9" t="s">
        <v>1071</v>
      </c>
      <c r="I1944">
        <f t="shared" si="121"/>
        <v>200</v>
      </c>
      <c r="J1944">
        <f t="shared" si="119"/>
        <v>90.718474000000001</v>
      </c>
      <c r="K1944">
        <v>1.5409999999999999</v>
      </c>
      <c r="L1944">
        <f t="shared" si="120"/>
        <v>139.79716843399999</v>
      </c>
    </row>
    <row r="1945" spans="1:12" x14ac:dyDescent="0.2">
      <c r="A1945" s="4">
        <v>43434</v>
      </c>
      <c r="B1945" t="s">
        <v>538</v>
      </c>
      <c r="C1945">
        <v>4</v>
      </c>
      <c r="D1945">
        <v>2</v>
      </c>
      <c r="E1945">
        <v>5</v>
      </c>
      <c r="F1945" t="s">
        <v>429</v>
      </c>
      <c r="G1945" t="s">
        <v>859</v>
      </c>
      <c r="H1945" s="9" t="s">
        <v>1071</v>
      </c>
      <c r="I1945">
        <f t="shared" si="121"/>
        <v>40</v>
      </c>
      <c r="J1945">
        <f t="shared" si="119"/>
        <v>18.143694800000002</v>
      </c>
      <c r="K1945">
        <v>1.5409999999999999</v>
      </c>
      <c r="L1945">
        <f t="shared" si="120"/>
        <v>27.959433686800001</v>
      </c>
    </row>
    <row r="1946" spans="1:12" x14ac:dyDescent="0.2">
      <c r="A1946" s="4">
        <v>43434</v>
      </c>
      <c r="B1946" t="s">
        <v>538</v>
      </c>
      <c r="C1946">
        <v>4</v>
      </c>
      <c r="D1946">
        <v>1</v>
      </c>
      <c r="E1946">
        <v>25</v>
      </c>
      <c r="F1946" t="s">
        <v>452</v>
      </c>
      <c r="G1946" t="s">
        <v>859</v>
      </c>
      <c r="H1946" s="9" t="s">
        <v>1071</v>
      </c>
      <c r="I1946">
        <f t="shared" si="121"/>
        <v>100</v>
      </c>
      <c r="J1946">
        <f t="shared" si="119"/>
        <v>45.359237</v>
      </c>
      <c r="K1946">
        <v>1.5409999999999999</v>
      </c>
      <c r="L1946">
        <f t="shared" si="120"/>
        <v>69.898584216999993</v>
      </c>
    </row>
    <row r="1947" spans="1:12" x14ac:dyDescent="0.2">
      <c r="A1947" s="4">
        <v>43434</v>
      </c>
      <c r="B1947" t="s">
        <v>538</v>
      </c>
      <c r="C1947">
        <v>4</v>
      </c>
      <c r="D1947">
        <v>2</v>
      </c>
      <c r="E1947">
        <v>5</v>
      </c>
      <c r="F1947" t="s">
        <v>564</v>
      </c>
      <c r="G1947" t="s">
        <v>859</v>
      </c>
      <c r="H1947" s="9" t="s">
        <v>1071</v>
      </c>
      <c r="I1947">
        <f t="shared" si="121"/>
        <v>40</v>
      </c>
      <c r="J1947">
        <f t="shared" si="119"/>
        <v>18.143694800000002</v>
      </c>
      <c r="K1947">
        <v>1.5409999999999999</v>
      </c>
      <c r="L1947">
        <f t="shared" si="120"/>
        <v>27.959433686800001</v>
      </c>
    </row>
    <row r="1948" spans="1:12" x14ac:dyDescent="0.2">
      <c r="A1948" s="4">
        <v>43437</v>
      </c>
      <c r="B1948" t="s">
        <v>538</v>
      </c>
      <c r="C1948">
        <v>3</v>
      </c>
      <c r="D1948">
        <v>1</v>
      </c>
      <c r="E1948">
        <v>25</v>
      </c>
      <c r="F1948" t="s">
        <v>424</v>
      </c>
      <c r="G1948" t="s">
        <v>859</v>
      </c>
      <c r="H1948" s="9" t="s">
        <v>1071</v>
      </c>
      <c r="I1948">
        <f t="shared" si="121"/>
        <v>75</v>
      </c>
      <c r="J1948">
        <f t="shared" si="119"/>
        <v>34.019427750000006</v>
      </c>
      <c r="K1948">
        <v>1.5409999999999999</v>
      </c>
      <c r="L1948">
        <f t="shared" si="120"/>
        <v>52.423938162750005</v>
      </c>
    </row>
    <row r="1949" spans="1:12" x14ac:dyDescent="0.2">
      <c r="A1949" s="4">
        <v>43437</v>
      </c>
      <c r="B1949" t="s">
        <v>538</v>
      </c>
      <c r="C1949">
        <v>3</v>
      </c>
      <c r="D1949">
        <v>2</v>
      </c>
      <c r="E1949">
        <v>5</v>
      </c>
      <c r="F1949" t="s">
        <v>429</v>
      </c>
      <c r="G1949" t="s">
        <v>859</v>
      </c>
      <c r="H1949" s="9" t="s">
        <v>1071</v>
      </c>
      <c r="I1949">
        <f t="shared" si="121"/>
        <v>30</v>
      </c>
      <c r="J1949">
        <f t="shared" si="119"/>
        <v>13.607771100000001</v>
      </c>
      <c r="K1949">
        <v>1.5409999999999999</v>
      </c>
      <c r="L1949">
        <f t="shared" si="120"/>
        <v>20.969575265100001</v>
      </c>
    </row>
    <row r="1950" spans="1:12" x14ac:dyDescent="0.2">
      <c r="A1950" s="4">
        <v>43437</v>
      </c>
      <c r="B1950" t="s">
        <v>538</v>
      </c>
      <c r="C1950">
        <v>2</v>
      </c>
      <c r="D1950">
        <v>1</v>
      </c>
      <c r="E1950">
        <v>25</v>
      </c>
      <c r="F1950" t="s">
        <v>452</v>
      </c>
      <c r="G1950" t="s">
        <v>859</v>
      </c>
      <c r="H1950" s="9" t="s">
        <v>1071</v>
      </c>
      <c r="I1950">
        <f t="shared" si="121"/>
        <v>50</v>
      </c>
      <c r="J1950">
        <f t="shared" si="119"/>
        <v>22.6796185</v>
      </c>
      <c r="K1950">
        <v>1.5409999999999999</v>
      </c>
      <c r="L1950">
        <f t="shared" si="120"/>
        <v>34.949292108499996</v>
      </c>
    </row>
    <row r="1951" spans="1:12" x14ac:dyDescent="0.2">
      <c r="A1951" s="4">
        <v>43437</v>
      </c>
      <c r="B1951" t="s">
        <v>538</v>
      </c>
      <c r="C1951">
        <v>1</v>
      </c>
      <c r="D1951">
        <v>1</v>
      </c>
      <c r="E1951">
        <v>50</v>
      </c>
      <c r="F1951" t="s">
        <v>459</v>
      </c>
      <c r="G1951" t="s">
        <v>859</v>
      </c>
      <c r="H1951" s="9" t="s">
        <v>1071</v>
      </c>
      <c r="I1951">
        <f t="shared" si="121"/>
        <v>50</v>
      </c>
      <c r="J1951">
        <f t="shared" si="119"/>
        <v>22.6796185</v>
      </c>
      <c r="K1951">
        <v>1.5409999999999999</v>
      </c>
      <c r="L1951">
        <f t="shared" si="120"/>
        <v>34.949292108499996</v>
      </c>
    </row>
    <row r="1952" spans="1:12" x14ac:dyDescent="0.2">
      <c r="A1952" s="4">
        <v>43439</v>
      </c>
      <c r="B1952" t="s">
        <v>538</v>
      </c>
      <c r="C1952">
        <v>4</v>
      </c>
      <c r="D1952">
        <v>1</v>
      </c>
      <c r="E1952">
        <v>25</v>
      </c>
      <c r="F1952" t="s">
        <v>424</v>
      </c>
      <c r="G1952" t="s">
        <v>859</v>
      </c>
      <c r="H1952" s="9" t="s">
        <v>1071</v>
      </c>
      <c r="I1952">
        <f t="shared" si="121"/>
        <v>100</v>
      </c>
      <c r="J1952">
        <f t="shared" si="119"/>
        <v>45.359237</v>
      </c>
      <c r="K1952">
        <v>1.5409999999999999</v>
      </c>
      <c r="L1952">
        <f t="shared" si="120"/>
        <v>69.898584216999993</v>
      </c>
    </row>
    <row r="1953" spans="1:12" x14ac:dyDescent="0.2">
      <c r="A1953" s="4">
        <v>43439</v>
      </c>
      <c r="B1953" t="s">
        <v>538</v>
      </c>
      <c r="C1953">
        <v>3</v>
      </c>
      <c r="D1953">
        <v>1</v>
      </c>
      <c r="E1953">
        <v>25</v>
      </c>
      <c r="F1953" t="s">
        <v>452</v>
      </c>
      <c r="G1953" t="s">
        <v>859</v>
      </c>
      <c r="H1953" s="9" t="s">
        <v>1071</v>
      </c>
      <c r="I1953">
        <f t="shared" si="121"/>
        <v>75</v>
      </c>
      <c r="J1953">
        <f t="shared" si="119"/>
        <v>34.019427750000006</v>
      </c>
      <c r="K1953">
        <v>1.5409999999999999</v>
      </c>
      <c r="L1953">
        <f t="shared" si="120"/>
        <v>52.423938162750005</v>
      </c>
    </row>
    <row r="1954" spans="1:12" x14ac:dyDescent="0.2">
      <c r="A1954" s="4">
        <v>43439</v>
      </c>
      <c r="B1954" t="s">
        <v>538</v>
      </c>
      <c r="C1954">
        <v>1</v>
      </c>
      <c r="D1954">
        <v>1</v>
      </c>
      <c r="E1954">
        <v>50</v>
      </c>
      <c r="F1954" t="s">
        <v>459</v>
      </c>
      <c r="G1954" t="s">
        <v>859</v>
      </c>
      <c r="H1954" s="9" t="s">
        <v>1071</v>
      </c>
      <c r="I1954">
        <f t="shared" si="121"/>
        <v>50</v>
      </c>
      <c r="J1954">
        <f t="shared" si="119"/>
        <v>22.6796185</v>
      </c>
      <c r="K1954">
        <v>1.5409999999999999</v>
      </c>
      <c r="L1954">
        <f t="shared" si="120"/>
        <v>34.949292108499996</v>
      </c>
    </row>
    <row r="1955" spans="1:12" x14ac:dyDescent="0.2">
      <c r="A1955" s="4">
        <v>43434</v>
      </c>
      <c r="B1955" t="s">
        <v>48</v>
      </c>
      <c r="C1955" s="28">
        <v>1</v>
      </c>
      <c r="D1955" s="28">
        <v>1</v>
      </c>
      <c r="E1955">
        <f>48*1</f>
        <v>48</v>
      </c>
      <c r="F1955" t="s">
        <v>345</v>
      </c>
      <c r="G1955" t="s">
        <v>795</v>
      </c>
      <c r="H1955" s="9" t="s">
        <v>1071</v>
      </c>
      <c r="I1955">
        <f t="shared" si="121"/>
        <v>48</v>
      </c>
      <c r="J1955">
        <f t="shared" si="119"/>
        <v>21.772433760000002</v>
      </c>
      <c r="K1955">
        <v>0.158</v>
      </c>
      <c r="L1955">
        <f t="shared" si="120"/>
        <v>3.4400445340800005</v>
      </c>
    </row>
    <row r="1956" spans="1:12" x14ac:dyDescent="0.2">
      <c r="A1956" s="4">
        <v>43434</v>
      </c>
      <c r="B1956" t="s">
        <v>538</v>
      </c>
      <c r="C1956">
        <v>1</v>
      </c>
      <c r="D1956">
        <v>4</v>
      </c>
      <c r="E1956">
        <v>7.9</v>
      </c>
      <c r="F1956" t="s">
        <v>550</v>
      </c>
      <c r="G1956" t="s">
        <v>906</v>
      </c>
      <c r="H1956" s="9" t="s">
        <v>1071</v>
      </c>
      <c r="I1956">
        <f t="shared" si="121"/>
        <v>31.6</v>
      </c>
      <c r="J1956">
        <f t="shared" si="119"/>
        <v>14.333518892000003</v>
      </c>
      <c r="K1956">
        <v>2.3340000000000001</v>
      </c>
      <c r="L1956">
        <f t="shared" si="120"/>
        <v>33.45443309392801</v>
      </c>
    </row>
    <row r="1957" spans="1:12" x14ac:dyDescent="0.2">
      <c r="A1957" s="4">
        <v>43437</v>
      </c>
      <c r="B1957" t="s">
        <v>48</v>
      </c>
      <c r="C1957" s="28">
        <v>1</v>
      </c>
      <c r="D1957" s="28">
        <v>1</v>
      </c>
      <c r="E1957">
        <f>4*4.54</f>
        <v>18.16</v>
      </c>
      <c r="F1957" t="s">
        <v>492</v>
      </c>
      <c r="G1957" t="s">
        <v>838</v>
      </c>
      <c r="H1957" s="9" t="s">
        <v>1071</v>
      </c>
      <c r="I1957">
        <f t="shared" si="121"/>
        <v>18.16</v>
      </c>
      <c r="J1957">
        <f t="shared" si="119"/>
        <v>8.2372374392000012</v>
      </c>
      <c r="K1957">
        <v>0.27500000000000002</v>
      </c>
      <c r="L1957">
        <f t="shared" si="120"/>
        <v>2.2652402957800004</v>
      </c>
    </row>
    <row r="1958" spans="1:12" x14ac:dyDescent="0.2">
      <c r="A1958" s="4">
        <v>43438</v>
      </c>
      <c r="B1958" t="s">
        <v>48</v>
      </c>
      <c r="C1958" s="28">
        <v>1</v>
      </c>
      <c r="D1958" s="28">
        <v>1</v>
      </c>
      <c r="E1958">
        <v>20</v>
      </c>
      <c r="F1958" t="s">
        <v>501</v>
      </c>
      <c r="G1958" t="s">
        <v>840</v>
      </c>
      <c r="H1958" s="9" t="s">
        <v>1071</v>
      </c>
      <c r="I1958">
        <f t="shared" si="121"/>
        <v>20</v>
      </c>
      <c r="J1958">
        <f t="shared" si="119"/>
        <v>9.0718474000000011</v>
      </c>
      <c r="K1958">
        <f>(0.092*0.219)/2</f>
        <v>1.0074E-2</v>
      </c>
      <c r="L1958">
        <f t="shared" si="120"/>
        <v>9.1389790707600005E-2</v>
      </c>
    </row>
    <row r="1959" spans="1:12" x14ac:dyDescent="0.2">
      <c r="A1959" s="10">
        <v>43404</v>
      </c>
      <c r="B1959" s="9" t="s">
        <v>946</v>
      </c>
      <c r="C1959" s="37">
        <v>1</v>
      </c>
      <c r="D1959" s="37">
        <v>1</v>
      </c>
      <c r="E1959" s="9">
        <v>100</v>
      </c>
      <c r="F1959" s="36" t="s">
        <v>1006</v>
      </c>
      <c r="G1959" s="9" t="s">
        <v>951</v>
      </c>
      <c r="H1959" s="9" t="s">
        <v>1071</v>
      </c>
      <c r="I1959">
        <f t="shared" si="121"/>
        <v>100</v>
      </c>
      <c r="J1959">
        <f t="shared" si="119"/>
        <v>45.359237</v>
      </c>
      <c r="K1959" s="9">
        <v>0.63900000000000001</v>
      </c>
      <c r="L1959">
        <f t="shared" si="120"/>
        <v>28.984552443000002</v>
      </c>
    </row>
    <row r="1960" spans="1:12" x14ac:dyDescent="0.2">
      <c r="A1960" s="4">
        <v>43434</v>
      </c>
      <c r="B1960" t="s">
        <v>517</v>
      </c>
      <c r="C1960">
        <v>3</v>
      </c>
      <c r="D1960">
        <v>1</v>
      </c>
      <c r="E1960">
        <f>2.5*8.6</f>
        <v>21.5</v>
      </c>
      <c r="F1960" t="s">
        <v>463</v>
      </c>
      <c r="G1960" t="s">
        <v>933</v>
      </c>
      <c r="H1960" s="9" t="s">
        <v>1071</v>
      </c>
      <c r="I1960">
        <f t="shared" si="121"/>
        <v>64.5</v>
      </c>
      <c r="J1960">
        <f t="shared" si="119"/>
        <v>29.256707864999999</v>
      </c>
      <c r="K1960">
        <v>0.25800000000000001</v>
      </c>
      <c r="L1960">
        <f t="shared" si="120"/>
        <v>7.5482306291699999</v>
      </c>
    </row>
    <row r="1961" spans="1:12" x14ac:dyDescent="0.2">
      <c r="A1961" s="4">
        <v>43434</v>
      </c>
      <c r="B1961" t="s">
        <v>517</v>
      </c>
      <c r="C1961">
        <v>3</v>
      </c>
      <c r="D1961">
        <v>1</v>
      </c>
      <c r="E1961">
        <f>2.5*8.6</f>
        <v>21.5</v>
      </c>
      <c r="F1961" t="s">
        <v>464</v>
      </c>
      <c r="G1961" t="s">
        <v>933</v>
      </c>
      <c r="H1961" s="9" t="s">
        <v>1071</v>
      </c>
      <c r="I1961">
        <f t="shared" si="121"/>
        <v>64.5</v>
      </c>
      <c r="J1961">
        <f t="shared" si="119"/>
        <v>29.256707864999999</v>
      </c>
      <c r="K1961">
        <v>0.25800000000000001</v>
      </c>
      <c r="L1961">
        <f t="shared" si="120"/>
        <v>7.5482306291699999</v>
      </c>
    </row>
    <row r="1962" spans="1:12" x14ac:dyDescent="0.2">
      <c r="A1962" s="4">
        <v>43434</v>
      </c>
      <c r="B1962" t="s">
        <v>517</v>
      </c>
      <c r="C1962">
        <v>1</v>
      </c>
      <c r="D1962">
        <v>12</v>
      </c>
      <c r="E1962">
        <f>2</f>
        <v>2</v>
      </c>
      <c r="F1962" t="s">
        <v>520</v>
      </c>
      <c r="G1962" t="s">
        <v>933</v>
      </c>
      <c r="H1962" s="9" t="s">
        <v>1071</v>
      </c>
      <c r="I1962">
        <f t="shared" si="121"/>
        <v>24</v>
      </c>
      <c r="J1962">
        <f t="shared" si="119"/>
        <v>10.886216880000001</v>
      </c>
      <c r="K1962">
        <v>0.25800000000000001</v>
      </c>
      <c r="L1962">
        <f t="shared" si="120"/>
        <v>2.8086439550400004</v>
      </c>
    </row>
    <row r="1963" spans="1:12" x14ac:dyDescent="0.2">
      <c r="A1963" s="4">
        <v>43437</v>
      </c>
      <c r="B1963" t="s">
        <v>517</v>
      </c>
      <c r="C1963">
        <v>2</v>
      </c>
      <c r="D1963">
        <v>1</v>
      </c>
      <c r="E1963">
        <f>2.5*8.6</f>
        <v>21.5</v>
      </c>
      <c r="F1963" t="s">
        <v>463</v>
      </c>
      <c r="G1963" t="s">
        <v>933</v>
      </c>
      <c r="H1963" s="9" t="s">
        <v>1071</v>
      </c>
      <c r="I1963">
        <f t="shared" si="121"/>
        <v>43</v>
      </c>
      <c r="J1963">
        <f t="shared" si="119"/>
        <v>19.504471909999999</v>
      </c>
      <c r="K1963">
        <v>0.25800000000000001</v>
      </c>
      <c r="L1963">
        <f t="shared" si="120"/>
        <v>5.0321537527800002</v>
      </c>
    </row>
    <row r="1964" spans="1:12" x14ac:dyDescent="0.2">
      <c r="A1964" s="4">
        <v>43437</v>
      </c>
      <c r="B1964" t="s">
        <v>517</v>
      </c>
      <c r="C1964">
        <v>1</v>
      </c>
      <c r="D1964">
        <v>1</v>
      </c>
      <c r="E1964">
        <f>2.5*8.6</f>
        <v>21.5</v>
      </c>
      <c r="F1964" t="s">
        <v>464</v>
      </c>
      <c r="G1964" t="s">
        <v>933</v>
      </c>
      <c r="H1964" s="9" t="s">
        <v>1071</v>
      </c>
      <c r="I1964">
        <f t="shared" si="121"/>
        <v>21.5</v>
      </c>
      <c r="J1964">
        <f t="shared" si="119"/>
        <v>9.7522359549999997</v>
      </c>
      <c r="K1964">
        <v>0.25800000000000001</v>
      </c>
      <c r="L1964">
        <f t="shared" si="120"/>
        <v>2.5160768763900001</v>
      </c>
    </row>
    <row r="1965" spans="1:12" x14ac:dyDescent="0.2">
      <c r="A1965" s="4">
        <v>43439</v>
      </c>
      <c r="B1965" t="s">
        <v>517</v>
      </c>
      <c r="C1965">
        <v>2</v>
      </c>
      <c r="D1965">
        <v>1</v>
      </c>
      <c r="E1965">
        <f>2.5*8.6</f>
        <v>21.5</v>
      </c>
      <c r="F1965" t="s">
        <v>463</v>
      </c>
      <c r="G1965" t="s">
        <v>933</v>
      </c>
      <c r="H1965" s="9" t="s">
        <v>1071</v>
      </c>
      <c r="I1965">
        <f t="shared" si="121"/>
        <v>43</v>
      </c>
      <c r="J1965">
        <f t="shared" si="119"/>
        <v>19.504471909999999</v>
      </c>
      <c r="K1965">
        <v>0.25800000000000001</v>
      </c>
      <c r="L1965">
        <f t="shared" si="120"/>
        <v>5.0321537527800002</v>
      </c>
    </row>
    <row r="1966" spans="1:12" x14ac:dyDescent="0.2">
      <c r="A1966" s="4">
        <v>43439</v>
      </c>
      <c r="B1966" t="s">
        <v>517</v>
      </c>
      <c r="C1966">
        <v>2</v>
      </c>
      <c r="D1966">
        <v>1</v>
      </c>
      <c r="E1966">
        <f>2.5*8.6</f>
        <v>21.5</v>
      </c>
      <c r="F1966" t="s">
        <v>464</v>
      </c>
      <c r="G1966" t="s">
        <v>933</v>
      </c>
      <c r="H1966" s="9" t="s">
        <v>1071</v>
      </c>
      <c r="I1966">
        <f t="shared" si="121"/>
        <v>43</v>
      </c>
      <c r="J1966">
        <f t="shared" si="119"/>
        <v>19.504471909999999</v>
      </c>
      <c r="K1966">
        <v>0.25800000000000001</v>
      </c>
      <c r="L1966">
        <f t="shared" si="120"/>
        <v>5.0321537527800002</v>
      </c>
    </row>
    <row r="1967" spans="1:12" x14ac:dyDescent="0.2">
      <c r="A1967" s="4">
        <v>43437</v>
      </c>
      <c r="B1967" t="s">
        <v>538</v>
      </c>
      <c r="C1967">
        <v>3</v>
      </c>
      <c r="D1967">
        <v>6</v>
      </c>
      <c r="E1967">
        <f>14/16</f>
        <v>0.875</v>
      </c>
      <c r="F1967" t="s">
        <v>581</v>
      </c>
      <c r="G1967" t="s">
        <v>869</v>
      </c>
      <c r="H1967" s="9" t="s">
        <v>1071</v>
      </c>
      <c r="I1967">
        <f t="shared" si="121"/>
        <v>15.75</v>
      </c>
      <c r="J1967">
        <f t="shared" si="119"/>
        <v>7.1440798275000006</v>
      </c>
      <c r="K1967">
        <v>0.87</v>
      </c>
      <c r="L1967">
        <f t="shared" si="120"/>
        <v>6.2153494499250002</v>
      </c>
    </row>
    <row r="1968" spans="1:12" x14ac:dyDescent="0.2">
      <c r="A1968" s="4">
        <v>43437</v>
      </c>
      <c r="B1968" t="s">
        <v>538</v>
      </c>
      <c r="C1968">
        <v>3</v>
      </c>
      <c r="D1968">
        <v>6</v>
      </c>
      <c r="E1968">
        <v>1</v>
      </c>
      <c r="F1968" t="s">
        <v>582</v>
      </c>
      <c r="G1968" t="s">
        <v>869</v>
      </c>
      <c r="H1968" s="9" t="s">
        <v>1071</v>
      </c>
      <c r="I1968">
        <f t="shared" si="121"/>
        <v>18</v>
      </c>
      <c r="J1968">
        <f t="shared" si="119"/>
        <v>8.1646626599999994</v>
      </c>
      <c r="K1968">
        <v>0.87</v>
      </c>
      <c r="L1968">
        <f t="shared" si="120"/>
        <v>7.103256514199999</v>
      </c>
    </row>
    <row r="1969" spans="1:12" x14ac:dyDescent="0.2">
      <c r="A1969" s="4">
        <v>43439</v>
      </c>
      <c r="B1969" t="s">
        <v>538</v>
      </c>
      <c r="C1969">
        <v>3</v>
      </c>
      <c r="D1969">
        <v>6</v>
      </c>
      <c r="E1969">
        <f>18/16</f>
        <v>1.125</v>
      </c>
      <c r="F1969" t="s">
        <v>597</v>
      </c>
      <c r="G1969" t="s">
        <v>869</v>
      </c>
      <c r="H1969" s="9" t="s">
        <v>1071</v>
      </c>
      <c r="I1969">
        <f t="shared" si="121"/>
        <v>20.25</v>
      </c>
      <c r="J1969">
        <f t="shared" si="119"/>
        <v>9.1852454925</v>
      </c>
      <c r="K1969">
        <v>0.87</v>
      </c>
      <c r="L1969">
        <f t="shared" si="120"/>
        <v>7.9911635784749997</v>
      </c>
    </row>
    <row r="1970" spans="1:12" x14ac:dyDescent="0.2">
      <c r="A1970" s="4">
        <v>43439</v>
      </c>
      <c r="B1970" t="s">
        <v>538</v>
      </c>
      <c r="C1970">
        <v>3</v>
      </c>
      <c r="D1970">
        <v>6</v>
      </c>
      <c r="E1970">
        <f>14/16</f>
        <v>0.875</v>
      </c>
      <c r="F1970" t="s">
        <v>581</v>
      </c>
      <c r="G1970" t="s">
        <v>869</v>
      </c>
      <c r="H1970" s="9" t="s">
        <v>1071</v>
      </c>
      <c r="I1970">
        <f t="shared" si="121"/>
        <v>15.75</v>
      </c>
      <c r="J1970">
        <f t="shared" si="119"/>
        <v>7.1440798275000006</v>
      </c>
      <c r="K1970">
        <v>0.87</v>
      </c>
      <c r="L1970">
        <f t="shared" si="120"/>
        <v>6.2153494499250002</v>
      </c>
    </row>
    <row r="1971" spans="1:12" x14ac:dyDescent="0.2">
      <c r="A1971" s="4">
        <v>43439</v>
      </c>
      <c r="B1971" t="s">
        <v>538</v>
      </c>
      <c r="C1971">
        <v>1</v>
      </c>
      <c r="D1971">
        <v>3</v>
      </c>
      <c r="E1971">
        <v>7.25</v>
      </c>
      <c r="F1971" t="s">
        <v>554</v>
      </c>
      <c r="G1971" t="s">
        <v>869</v>
      </c>
      <c r="H1971" s="9" t="s">
        <v>1071</v>
      </c>
      <c r="I1971">
        <f t="shared" si="121"/>
        <v>21.75</v>
      </c>
      <c r="J1971">
        <f t="shared" si="119"/>
        <v>9.8656340475000004</v>
      </c>
      <c r="K1971">
        <v>0.87</v>
      </c>
      <c r="L1971">
        <f t="shared" si="120"/>
        <v>8.5831016213249995</v>
      </c>
    </row>
    <row r="1972" spans="1:12" x14ac:dyDescent="0.2">
      <c r="A1972" s="4">
        <v>43439</v>
      </c>
      <c r="B1972" t="s">
        <v>538</v>
      </c>
      <c r="C1972">
        <v>3</v>
      </c>
      <c r="D1972">
        <v>6</v>
      </c>
      <c r="E1972">
        <f>20/16</f>
        <v>1.25</v>
      </c>
      <c r="F1972" t="s">
        <v>598</v>
      </c>
      <c r="G1972" t="s">
        <v>869</v>
      </c>
      <c r="H1972" s="9" t="s">
        <v>1071</v>
      </c>
      <c r="I1972">
        <f t="shared" si="121"/>
        <v>22.5</v>
      </c>
      <c r="J1972">
        <f t="shared" si="119"/>
        <v>10.205828325000001</v>
      </c>
      <c r="K1972">
        <v>0.87</v>
      </c>
      <c r="L1972">
        <f t="shared" si="120"/>
        <v>8.8790706427500012</v>
      </c>
    </row>
    <row r="1973" spans="1:12" x14ac:dyDescent="0.2">
      <c r="A1973" s="4">
        <v>43434</v>
      </c>
      <c r="B1973" t="s">
        <v>538</v>
      </c>
      <c r="C1973">
        <v>2</v>
      </c>
      <c r="D1973">
        <v>6</v>
      </c>
      <c r="E1973">
        <f>18/16</f>
        <v>1.125</v>
      </c>
      <c r="F1973" t="s">
        <v>552</v>
      </c>
      <c r="G1973" t="s">
        <v>907</v>
      </c>
      <c r="H1973" s="9" t="s">
        <v>1071</v>
      </c>
      <c r="I1973">
        <f t="shared" si="121"/>
        <v>13.5</v>
      </c>
      <c r="J1973">
        <f t="shared" si="119"/>
        <v>6.1234969950000009</v>
      </c>
      <c r="K1973">
        <v>0.87</v>
      </c>
      <c r="L1973">
        <f t="shared" si="120"/>
        <v>5.3274423856500004</v>
      </c>
    </row>
    <row r="1974" spans="1:12" x14ac:dyDescent="0.2">
      <c r="A1974" s="4">
        <v>43434</v>
      </c>
      <c r="B1974" t="s">
        <v>538</v>
      </c>
      <c r="C1974">
        <v>1</v>
      </c>
      <c r="D1974">
        <v>6</v>
      </c>
      <c r="E1974">
        <v>1</v>
      </c>
      <c r="F1974" t="s">
        <v>553</v>
      </c>
      <c r="G1974" t="s">
        <v>907</v>
      </c>
      <c r="H1974" s="9" t="s">
        <v>1071</v>
      </c>
      <c r="I1974">
        <f t="shared" si="121"/>
        <v>6</v>
      </c>
      <c r="J1974">
        <f t="shared" si="119"/>
        <v>2.7215542200000002</v>
      </c>
      <c r="K1974">
        <v>0.87</v>
      </c>
      <c r="L1974">
        <f t="shared" si="120"/>
        <v>2.3677521714000003</v>
      </c>
    </row>
    <row r="1975" spans="1:12" x14ac:dyDescent="0.2">
      <c r="A1975" s="4">
        <v>43434</v>
      </c>
      <c r="B1975" t="s">
        <v>538</v>
      </c>
      <c r="C1975">
        <v>1</v>
      </c>
      <c r="D1975">
        <v>3</v>
      </c>
      <c r="E1975">
        <v>7.25</v>
      </c>
      <c r="F1975" t="s">
        <v>554</v>
      </c>
      <c r="G1975" t="s">
        <v>907</v>
      </c>
      <c r="H1975" s="9" t="s">
        <v>1071</v>
      </c>
      <c r="I1975">
        <f t="shared" si="121"/>
        <v>21.75</v>
      </c>
      <c r="J1975">
        <f t="shared" si="119"/>
        <v>9.8656340475000004</v>
      </c>
      <c r="K1975">
        <v>0.87</v>
      </c>
      <c r="L1975">
        <f t="shared" si="120"/>
        <v>8.5831016213249995</v>
      </c>
    </row>
    <row r="1976" spans="1:12" x14ac:dyDescent="0.2">
      <c r="A1976" s="4">
        <v>43434</v>
      </c>
      <c r="B1976" t="s">
        <v>538</v>
      </c>
      <c r="C1976">
        <v>1</v>
      </c>
      <c r="D1976">
        <v>12</v>
      </c>
      <c r="E1976">
        <v>3</v>
      </c>
      <c r="F1976" t="s">
        <v>451</v>
      </c>
      <c r="G1976" t="s">
        <v>907</v>
      </c>
      <c r="H1976" s="9" t="s">
        <v>1071</v>
      </c>
      <c r="I1976">
        <f t="shared" si="121"/>
        <v>36</v>
      </c>
      <c r="J1976">
        <f t="shared" si="119"/>
        <v>16.329325319999999</v>
      </c>
      <c r="K1976">
        <v>0.87</v>
      </c>
      <c r="L1976">
        <f t="shared" si="120"/>
        <v>14.206513028399998</v>
      </c>
    </row>
    <row r="1977" spans="1:12" x14ac:dyDescent="0.2">
      <c r="A1977" s="4">
        <v>43434</v>
      </c>
      <c r="B1977" t="s">
        <v>538</v>
      </c>
      <c r="C1977">
        <v>2</v>
      </c>
      <c r="D1977">
        <v>6</v>
      </c>
      <c r="E1977">
        <f>24/16</f>
        <v>1.5</v>
      </c>
      <c r="F1977" t="s">
        <v>562</v>
      </c>
      <c r="G1977" t="s">
        <v>907</v>
      </c>
      <c r="H1977" s="9" t="s">
        <v>1071</v>
      </c>
      <c r="I1977">
        <f t="shared" si="121"/>
        <v>18</v>
      </c>
      <c r="J1977">
        <f t="shared" si="119"/>
        <v>8.1646626599999994</v>
      </c>
      <c r="K1977">
        <v>0.87</v>
      </c>
      <c r="L1977">
        <f t="shared" si="120"/>
        <v>7.103256514199999</v>
      </c>
    </row>
    <row r="1978" spans="1:12" x14ac:dyDescent="0.2">
      <c r="A1978" s="4">
        <v>43434</v>
      </c>
      <c r="B1978" t="s">
        <v>538</v>
      </c>
      <c r="C1978">
        <v>1</v>
      </c>
      <c r="D1978">
        <v>6</v>
      </c>
      <c r="E1978">
        <f>6.25/16</f>
        <v>0.390625</v>
      </c>
      <c r="F1978" t="s">
        <v>567</v>
      </c>
      <c r="G1978" t="s">
        <v>907</v>
      </c>
      <c r="H1978" s="9" t="s">
        <v>1071</v>
      </c>
      <c r="I1978">
        <f t="shared" si="121"/>
        <v>2.34375</v>
      </c>
      <c r="J1978">
        <f t="shared" si="119"/>
        <v>1.0631071171875002</v>
      </c>
      <c r="K1978">
        <v>0.87</v>
      </c>
      <c r="L1978">
        <f t="shared" si="120"/>
        <v>0.92490319195312509</v>
      </c>
    </row>
    <row r="1979" spans="1:12" x14ac:dyDescent="0.2">
      <c r="A1979" s="4">
        <v>43437</v>
      </c>
      <c r="B1979" t="s">
        <v>538</v>
      </c>
      <c r="C1979">
        <v>2</v>
      </c>
      <c r="D1979">
        <v>6</v>
      </c>
      <c r="E1979">
        <f>18/16</f>
        <v>1.125</v>
      </c>
      <c r="F1979" t="s">
        <v>583</v>
      </c>
      <c r="G1979" t="s">
        <v>907</v>
      </c>
      <c r="H1979" s="9" t="s">
        <v>1071</v>
      </c>
      <c r="I1979">
        <f t="shared" si="121"/>
        <v>13.5</v>
      </c>
      <c r="J1979">
        <f t="shared" si="119"/>
        <v>6.1234969950000009</v>
      </c>
      <c r="K1979">
        <v>0.87</v>
      </c>
      <c r="L1979">
        <f t="shared" si="120"/>
        <v>5.3274423856500004</v>
      </c>
    </row>
    <row r="1980" spans="1:12" x14ac:dyDescent="0.2">
      <c r="A1980" s="4">
        <v>43437</v>
      </c>
      <c r="B1980" t="s">
        <v>538</v>
      </c>
      <c r="C1980">
        <v>1</v>
      </c>
      <c r="D1980">
        <v>12</v>
      </c>
      <c r="E1980">
        <v>3</v>
      </c>
      <c r="F1980" t="s">
        <v>451</v>
      </c>
      <c r="G1980" t="s">
        <v>907</v>
      </c>
      <c r="H1980" s="9" t="s">
        <v>1071</v>
      </c>
      <c r="I1980">
        <f t="shared" si="121"/>
        <v>36</v>
      </c>
      <c r="J1980">
        <f t="shared" si="119"/>
        <v>16.329325319999999</v>
      </c>
      <c r="K1980">
        <v>0.87</v>
      </c>
      <c r="L1980">
        <f t="shared" si="120"/>
        <v>14.206513028399998</v>
      </c>
    </row>
    <row r="1981" spans="1:12" x14ac:dyDescent="0.2">
      <c r="A1981" s="4">
        <v>43439</v>
      </c>
      <c r="B1981" t="s">
        <v>538</v>
      </c>
      <c r="C1981">
        <v>2</v>
      </c>
      <c r="D1981">
        <v>12</v>
      </c>
      <c r="E1981">
        <v>3</v>
      </c>
      <c r="F1981" t="s">
        <v>451</v>
      </c>
      <c r="G1981" t="s">
        <v>907</v>
      </c>
      <c r="H1981" s="9" t="s">
        <v>1071</v>
      </c>
      <c r="I1981">
        <f t="shared" si="121"/>
        <v>72</v>
      </c>
      <c r="J1981">
        <f t="shared" si="119"/>
        <v>32.658650639999998</v>
      </c>
      <c r="K1981">
        <v>0.87</v>
      </c>
      <c r="L1981">
        <f t="shared" si="120"/>
        <v>28.413026056799996</v>
      </c>
    </row>
    <row r="1982" spans="1:12" x14ac:dyDescent="0.2">
      <c r="A1982" s="4">
        <v>43435</v>
      </c>
      <c r="B1982" t="s">
        <v>48</v>
      </c>
      <c r="C1982" s="28">
        <v>7</v>
      </c>
      <c r="D1982" s="28">
        <v>1</v>
      </c>
      <c r="E1982">
        <f>4*2.5</f>
        <v>10</v>
      </c>
      <c r="F1982" t="s">
        <v>330</v>
      </c>
      <c r="G1982" t="s">
        <v>815</v>
      </c>
      <c r="H1982" s="9" t="s">
        <v>1071</v>
      </c>
      <c r="I1982">
        <f t="shared" si="121"/>
        <v>70</v>
      </c>
      <c r="J1982">
        <f t="shared" si="119"/>
        <v>31.751465900000003</v>
      </c>
      <c r="K1982">
        <v>0.307</v>
      </c>
      <c r="L1982">
        <f t="shared" si="120"/>
        <v>9.7477000313000008</v>
      </c>
    </row>
    <row r="1983" spans="1:12" x14ac:dyDescent="0.2">
      <c r="A1983" s="4">
        <v>43437</v>
      </c>
      <c r="B1983" t="s">
        <v>48</v>
      </c>
      <c r="C1983" s="28">
        <v>6</v>
      </c>
      <c r="D1983" s="28">
        <v>1</v>
      </c>
      <c r="E1983">
        <f>4*2.5</f>
        <v>10</v>
      </c>
      <c r="F1983" t="s">
        <v>330</v>
      </c>
      <c r="G1983" t="s">
        <v>815</v>
      </c>
      <c r="H1983" s="9" t="s">
        <v>1071</v>
      </c>
      <c r="I1983">
        <f t="shared" si="121"/>
        <v>60</v>
      </c>
      <c r="J1983">
        <f t="shared" si="119"/>
        <v>27.215542200000002</v>
      </c>
      <c r="K1983">
        <v>0.307</v>
      </c>
      <c r="L1983">
        <f t="shared" si="120"/>
        <v>8.3551714554000007</v>
      </c>
    </row>
    <row r="1984" spans="1:12" x14ac:dyDescent="0.2">
      <c r="A1984" s="4">
        <v>43438</v>
      </c>
      <c r="B1984" t="s">
        <v>48</v>
      </c>
      <c r="C1984" s="28">
        <v>7</v>
      </c>
      <c r="D1984" s="28">
        <v>1</v>
      </c>
      <c r="E1984">
        <f>4*2.5</f>
        <v>10</v>
      </c>
      <c r="F1984" t="s">
        <v>330</v>
      </c>
      <c r="G1984" t="s">
        <v>815</v>
      </c>
      <c r="H1984" s="9" t="s">
        <v>1071</v>
      </c>
      <c r="I1984">
        <f t="shared" si="121"/>
        <v>70</v>
      </c>
      <c r="J1984">
        <f t="shared" si="119"/>
        <v>31.751465900000003</v>
      </c>
      <c r="K1984">
        <v>0.307</v>
      </c>
      <c r="L1984">
        <f t="shared" si="120"/>
        <v>9.7477000313000008</v>
      </c>
    </row>
    <row r="1985" spans="1:12" x14ac:dyDescent="0.2">
      <c r="A1985" s="4">
        <v>43439</v>
      </c>
      <c r="B1985" t="s">
        <v>48</v>
      </c>
      <c r="C1985" s="28">
        <v>3</v>
      </c>
      <c r="D1985" s="28">
        <v>1</v>
      </c>
      <c r="E1985">
        <f>4*2.5</f>
        <v>10</v>
      </c>
      <c r="F1985" t="s">
        <v>330</v>
      </c>
      <c r="G1985" t="s">
        <v>815</v>
      </c>
      <c r="H1985" s="9" t="s">
        <v>1071</v>
      </c>
      <c r="I1985">
        <f t="shared" si="121"/>
        <v>30</v>
      </c>
      <c r="J1985">
        <f t="shared" si="119"/>
        <v>13.607771100000001</v>
      </c>
      <c r="K1985">
        <v>0.307</v>
      </c>
      <c r="L1985">
        <f t="shared" si="120"/>
        <v>4.1775857277000004</v>
      </c>
    </row>
    <row r="1986" spans="1:12" x14ac:dyDescent="0.2">
      <c r="A1986" s="4">
        <v>43440</v>
      </c>
      <c r="B1986" t="s">
        <v>48</v>
      </c>
      <c r="C1986" s="28">
        <v>3</v>
      </c>
      <c r="D1986" s="28">
        <v>1</v>
      </c>
      <c r="E1986">
        <v>10</v>
      </c>
      <c r="F1986" t="s">
        <v>515</v>
      </c>
      <c r="G1986" t="s">
        <v>763</v>
      </c>
      <c r="H1986" s="9" t="s">
        <v>1071</v>
      </c>
      <c r="I1986">
        <f t="shared" si="121"/>
        <v>30</v>
      </c>
      <c r="J1986">
        <f t="shared" si="119"/>
        <v>13.607771100000001</v>
      </c>
      <c r="K1986">
        <v>0.307</v>
      </c>
      <c r="L1986">
        <f t="shared" si="120"/>
        <v>4.1775857277000004</v>
      </c>
    </row>
    <row r="1987" spans="1:12" x14ac:dyDescent="0.2">
      <c r="A1987" s="4">
        <v>43434</v>
      </c>
      <c r="B1987" t="s">
        <v>48</v>
      </c>
      <c r="C1987" s="28">
        <v>3</v>
      </c>
      <c r="D1987" s="28">
        <v>1</v>
      </c>
      <c r="E1987">
        <v>20</v>
      </c>
      <c r="F1987" t="s">
        <v>486</v>
      </c>
      <c r="G1987" t="s">
        <v>796</v>
      </c>
      <c r="H1987" s="9" t="s">
        <v>1071</v>
      </c>
      <c r="I1987">
        <f t="shared" si="121"/>
        <v>60</v>
      </c>
      <c r="J1987">
        <f t="shared" ref="J1987:J2050" si="122">CONVERT(I1987,"lbm","kg")</f>
        <v>27.215542200000002</v>
      </c>
      <c r="K1987">
        <v>1.2290000000000001</v>
      </c>
      <c r="L1987">
        <f t="shared" ref="L1987:L2050" si="123">J1987*K1987</f>
        <v>33.447901363800007</v>
      </c>
    </row>
    <row r="1988" spans="1:12" x14ac:dyDescent="0.2">
      <c r="A1988" s="4">
        <v>43434</v>
      </c>
      <c r="B1988" t="s">
        <v>48</v>
      </c>
      <c r="C1988" s="28">
        <v>3</v>
      </c>
      <c r="D1988" s="28">
        <v>1</v>
      </c>
      <c r="E1988">
        <f>3/4*44</f>
        <v>33</v>
      </c>
      <c r="F1988" t="s">
        <v>331</v>
      </c>
      <c r="G1988" t="s">
        <v>796</v>
      </c>
      <c r="H1988" s="9" t="s">
        <v>1071</v>
      </c>
      <c r="I1988">
        <f t="shared" si="121"/>
        <v>99</v>
      </c>
      <c r="J1988">
        <f t="shared" si="122"/>
        <v>44.905644630000005</v>
      </c>
      <c r="K1988">
        <v>1.2290000000000001</v>
      </c>
      <c r="L1988">
        <f t="shared" si="123"/>
        <v>55.189037250270012</v>
      </c>
    </row>
    <row r="1989" spans="1:12" x14ac:dyDescent="0.2">
      <c r="A1989" s="4">
        <v>43434</v>
      </c>
      <c r="B1989" t="s">
        <v>48</v>
      </c>
      <c r="C1989" s="28">
        <v>2</v>
      </c>
      <c r="D1989" s="28">
        <v>1</v>
      </c>
      <c r="E1989">
        <f>1/2*44</f>
        <v>22</v>
      </c>
      <c r="F1989" t="s">
        <v>332</v>
      </c>
      <c r="G1989" t="s">
        <v>796</v>
      </c>
      <c r="H1989" s="9" t="s">
        <v>1071</v>
      </c>
      <c r="I1989">
        <f t="shared" si="121"/>
        <v>44</v>
      </c>
      <c r="J1989">
        <f t="shared" si="122"/>
        <v>19.958064280000002</v>
      </c>
      <c r="K1989">
        <v>1.2290000000000001</v>
      </c>
      <c r="L1989">
        <f t="shared" si="123"/>
        <v>24.528461000120004</v>
      </c>
    </row>
    <row r="1990" spans="1:12" x14ac:dyDescent="0.2">
      <c r="A1990" s="4">
        <v>43435</v>
      </c>
      <c r="B1990" t="s">
        <v>48</v>
      </c>
      <c r="C1990" s="28">
        <v>4</v>
      </c>
      <c r="D1990" s="28">
        <v>1</v>
      </c>
      <c r="E1990">
        <f>3/4*44</f>
        <v>33</v>
      </c>
      <c r="F1990" t="s">
        <v>331</v>
      </c>
      <c r="G1990" t="s">
        <v>796</v>
      </c>
      <c r="H1990" s="9" t="s">
        <v>1071</v>
      </c>
      <c r="I1990">
        <f t="shared" si="121"/>
        <v>132</v>
      </c>
      <c r="J1990">
        <f t="shared" si="122"/>
        <v>59.874192840000006</v>
      </c>
      <c r="K1990">
        <v>1.2290000000000001</v>
      </c>
      <c r="L1990">
        <f t="shared" si="123"/>
        <v>73.585383000360011</v>
      </c>
    </row>
    <row r="1991" spans="1:12" x14ac:dyDescent="0.2">
      <c r="A1991" s="4">
        <v>43435</v>
      </c>
      <c r="B1991" t="s">
        <v>48</v>
      </c>
      <c r="C1991" s="28">
        <v>5</v>
      </c>
      <c r="D1991" s="28">
        <v>1</v>
      </c>
      <c r="E1991">
        <f>1/2*44</f>
        <v>22</v>
      </c>
      <c r="F1991" t="s">
        <v>332</v>
      </c>
      <c r="G1991" t="s">
        <v>796</v>
      </c>
      <c r="H1991" s="9" t="s">
        <v>1071</v>
      </c>
      <c r="I1991">
        <f t="shared" si="121"/>
        <v>110</v>
      </c>
      <c r="J1991">
        <f t="shared" si="122"/>
        <v>49.895160699999998</v>
      </c>
      <c r="K1991">
        <v>1.2290000000000001</v>
      </c>
      <c r="L1991">
        <f t="shared" si="123"/>
        <v>61.321152500300002</v>
      </c>
    </row>
    <row r="1992" spans="1:12" x14ac:dyDescent="0.2">
      <c r="A1992" s="4">
        <v>43437</v>
      </c>
      <c r="B1992" t="s">
        <v>48</v>
      </c>
      <c r="C1992" s="28">
        <v>3</v>
      </c>
      <c r="D1992" s="28">
        <v>1</v>
      </c>
      <c r="E1992">
        <v>20</v>
      </c>
      <c r="F1992" t="s">
        <v>349</v>
      </c>
      <c r="G1992" t="s">
        <v>796</v>
      </c>
      <c r="H1992" s="9" t="s">
        <v>1071</v>
      </c>
      <c r="I1992">
        <f t="shared" si="121"/>
        <v>60</v>
      </c>
      <c r="J1992">
        <f t="shared" si="122"/>
        <v>27.215542200000002</v>
      </c>
      <c r="K1992">
        <v>1.2290000000000001</v>
      </c>
      <c r="L1992">
        <f t="shared" si="123"/>
        <v>33.447901363800007</v>
      </c>
    </row>
    <row r="1993" spans="1:12" x14ac:dyDescent="0.2">
      <c r="A1993" s="4">
        <v>43437</v>
      </c>
      <c r="B1993" t="s">
        <v>48</v>
      </c>
      <c r="C1993" s="28">
        <v>3</v>
      </c>
      <c r="D1993" s="28">
        <v>1</v>
      </c>
      <c r="E1993">
        <v>20</v>
      </c>
      <c r="F1993" t="s">
        <v>491</v>
      </c>
      <c r="G1993" t="s">
        <v>796</v>
      </c>
      <c r="H1993" s="9" t="s">
        <v>1071</v>
      </c>
      <c r="I1993">
        <f t="shared" si="121"/>
        <v>60</v>
      </c>
      <c r="J1993">
        <f t="shared" si="122"/>
        <v>27.215542200000002</v>
      </c>
      <c r="K1993">
        <v>1.2290000000000001</v>
      </c>
      <c r="L1993">
        <f t="shared" si="123"/>
        <v>33.447901363800007</v>
      </c>
    </row>
    <row r="1994" spans="1:12" x14ac:dyDescent="0.2">
      <c r="A1994" s="4">
        <v>43438</v>
      </c>
      <c r="B1994" t="s">
        <v>48</v>
      </c>
      <c r="C1994" s="28">
        <v>2</v>
      </c>
      <c r="D1994" s="28">
        <v>1</v>
      </c>
      <c r="E1994">
        <v>20</v>
      </c>
      <c r="F1994" t="s">
        <v>502</v>
      </c>
      <c r="G1994" t="s">
        <v>796</v>
      </c>
      <c r="H1994" s="9" t="s">
        <v>1071</v>
      </c>
      <c r="I1994">
        <f t="shared" si="121"/>
        <v>40</v>
      </c>
      <c r="J1994">
        <f t="shared" si="122"/>
        <v>18.143694800000002</v>
      </c>
      <c r="K1994">
        <v>1.2290000000000001</v>
      </c>
      <c r="L1994">
        <f t="shared" si="123"/>
        <v>22.298600909200005</v>
      </c>
    </row>
    <row r="1995" spans="1:12" x14ac:dyDescent="0.2">
      <c r="A1995" s="4">
        <v>43438</v>
      </c>
      <c r="B1995" t="s">
        <v>48</v>
      </c>
      <c r="C1995" s="28">
        <v>2</v>
      </c>
      <c r="D1995" s="28">
        <v>1</v>
      </c>
      <c r="E1995">
        <f>3/4*44</f>
        <v>33</v>
      </c>
      <c r="F1995" t="s">
        <v>331</v>
      </c>
      <c r="G1995" t="s">
        <v>796</v>
      </c>
      <c r="H1995" s="9" t="s">
        <v>1071</v>
      </c>
      <c r="I1995">
        <f t="shared" si="121"/>
        <v>66</v>
      </c>
      <c r="J1995">
        <f t="shared" si="122"/>
        <v>29.937096420000003</v>
      </c>
      <c r="K1995">
        <v>1.2290000000000001</v>
      </c>
      <c r="L1995">
        <f t="shared" si="123"/>
        <v>36.792691500180005</v>
      </c>
    </row>
    <row r="1996" spans="1:12" x14ac:dyDescent="0.2">
      <c r="A1996" s="4">
        <v>43438</v>
      </c>
      <c r="B1996" t="s">
        <v>48</v>
      </c>
      <c r="C1996" s="28">
        <v>4</v>
      </c>
      <c r="D1996" s="28">
        <v>1</v>
      </c>
      <c r="E1996">
        <f>1/2*44</f>
        <v>22</v>
      </c>
      <c r="F1996" t="s">
        <v>332</v>
      </c>
      <c r="G1996" t="s">
        <v>796</v>
      </c>
      <c r="H1996" s="9" t="s">
        <v>1071</v>
      </c>
      <c r="I1996">
        <f t="shared" si="121"/>
        <v>88</v>
      </c>
      <c r="J1996">
        <f t="shared" si="122"/>
        <v>39.916128560000004</v>
      </c>
      <c r="K1996">
        <v>1.2290000000000001</v>
      </c>
      <c r="L1996">
        <f t="shared" si="123"/>
        <v>49.056922000240007</v>
      </c>
    </row>
    <row r="1997" spans="1:12" x14ac:dyDescent="0.2">
      <c r="A1997" s="4">
        <v>43439</v>
      </c>
      <c r="B1997" t="s">
        <v>48</v>
      </c>
      <c r="C1997" s="28">
        <v>2</v>
      </c>
      <c r="D1997" s="28">
        <v>1</v>
      </c>
      <c r="E1997">
        <f>1/2*44</f>
        <v>22</v>
      </c>
      <c r="F1997" t="s">
        <v>332</v>
      </c>
      <c r="G1997" t="s">
        <v>796</v>
      </c>
      <c r="H1997" s="9" t="s">
        <v>1071</v>
      </c>
      <c r="I1997">
        <f t="shared" si="121"/>
        <v>44</v>
      </c>
      <c r="J1997">
        <f t="shared" si="122"/>
        <v>19.958064280000002</v>
      </c>
      <c r="K1997">
        <v>1.2290000000000001</v>
      </c>
      <c r="L1997">
        <f t="shared" si="123"/>
        <v>24.528461000120004</v>
      </c>
    </row>
    <row r="1998" spans="1:12" x14ac:dyDescent="0.2">
      <c r="A1998" s="4">
        <v>43440</v>
      </c>
      <c r="B1998" t="s">
        <v>48</v>
      </c>
      <c r="C1998" s="28">
        <v>3</v>
      </c>
      <c r="D1998" s="28">
        <v>1</v>
      </c>
      <c r="E1998">
        <v>33</v>
      </c>
      <c r="F1998" t="s">
        <v>331</v>
      </c>
      <c r="G1998" t="s">
        <v>796</v>
      </c>
      <c r="H1998" s="9" t="s">
        <v>1071</v>
      </c>
      <c r="I1998">
        <f t="shared" si="121"/>
        <v>99</v>
      </c>
      <c r="J1998">
        <f t="shared" si="122"/>
        <v>44.905644630000005</v>
      </c>
      <c r="K1998">
        <v>1.2290000000000001</v>
      </c>
      <c r="L1998">
        <f t="shared" si="123"/>
        <v>55.189037250270012</v>
      </c>
    </row>
    <row r="1999" spans="1:12" x14ac:dyDescent="0.2">
      <c r="A1999" s="13">
        <v>43440</v>
      </c>
      <c r="B1999" s="6" t="s">
        <v>48</v>
      </c>
      <c r="C1999" s="37">
        <v>4</v>
      </c>
      <c r="D1999" s="37">
        <v>1</v>
      </c>
      <c r="E1999" s="9">
        <v>22</v>
      </c>
      <c r="F1999" s="9" t="s">
        <v>100</v>
      </c>
      <c r="G1999" s="9" t="s">
        <v>765</v>
      </c>
      <c r="H1999" s="9" t="s">
        <v>1071</v>
      </c>
      <c r="I1999">
        <f t="shared" ref="I1999:I2062" si="124">C1999*D1999*E1999</f>
        <v>88</v>
      </c>
      <c r="J1999">
        <f t="shared" si="122"/>
        <v>39.916128560000004</v>
      </c>
      <c r="K1999" s="9">
        <v>1.2290000000000001</v>
      </c>
      <c r="L1999">
        <f t="shared" si="123"/>
        <v>49.056922000240007</v>
      </c>
    </row>
    <row r="2000" spans="1:12" x14ac:dyDescent="0.2">
      <c r="A2000" s="4">
        <v>43434</v>
      </c>
      <c r="B2000" t="s">
        <v>48</v>
      </c>
      <c r="C2000" s="28">
        <v>8</v>
      </c>
      <c r="D2000" s="28">
        <v>1</v>
      </c>
      <c r="E2000">
        <v>8</v>
      </c>
      <c r="F2000" t="s">
        <v>333</v>
      </c>
      <c r="G2000" t="s">
        <v>797</v>
      </c>
      <c r="H2000" s="9" t="s">
        <v>1071</v>
      </c>
      <c r="I2000">
        <f t="shared" si="124"/>
        <v>64</v>
      </c>
      <c r="J2000">
        <f t="shared" si="122"/>
        <v>29.029911680000001</v>
      </c>
      <c r="K2000">
        <v>0.61399999999999999</v>
      </c>
      <c r="L2000">
        <f t="shared" si="123"/>
        <v>17.82436577152</v>
      </c>
    </row>
    <row r="2001" spans="1:12" x14ac:dyDescent="0.2">
      <c r="A2001" s="4">
        <v>43435</v>
      </c>
      <c r="B2001" t="s">
        <v>48</v>
      </c>
      <c r="C2001" s="28">
        <v>7</v>
      </c>
      <c r="D2001" s="28">
        <v>1</v>
      </c>
      <c r="E2001">
        <v>8</v>
      </c>
      <c r="F2001" t="s">
        <v>333</v>
      </c>
      <c r="G2001" t="s">
        <v>797</v>
      </c>
      <c r="H2001" s="9" t="s">
        <v>1071</v>
      </c>
      <c r="I2001">
        <f t="shared" si="124"/>
        <v>56</v>
      </c>
      <c r="J2001">
        <f t="shared" si="122"/>
        <v>25.401172720000002</v>
      </c>
      <c r="K2001">
        <v>0.61399999999999999</v>
      </c>
      <c r="L2001">
        <f t="shared" si="123"/>
        <v>15.596320050080001</v>
      </c>
    </row>
    <row r="2002" spans="1:12" x14ac:dyDescent="0.2">
      <c r="A2002" s="4">
        <v>43437</v>
      </c>
      <c r="B2002" t="s">
        <v>48</v>
      </c>
      <c r="C2002" s="28">
        <v>8</v>
      </c>
      <c r="D2002" s="28">
        <v>1</v>
      </c>
      <c r="E2002">
        <v>8</v>
      </c>
      <c r="F2002" t="s">
        <v>333</v>
      </c>
      <c r="G2002" t="s">
        <v>797</v>
      </c>
      <c r="H2002" s="9" t="s">
        <v>1071</v>
      </c>
      <c r="I2002">
        <f t="shared" si="124"/>
        <v>64</v>
      </c>
      <c r="J2002">
        <f t="shared" si="122"/>
        <v>29.029911680000001</v>
      </c>
      <c r="K2002">
        <v>0.61399999999999999</v>
      </c>
      <c r="L2002">
        <f t="shared" si="123"/>
        <v>17.82436577152</v>
      </c>
    </row>
    <row r="2003" spans="1:12" x14ac:dyDescent="0.2">
      <c r="A2003" s="4">
        <v>43439</v>
      </c>
      <c r="B2003" t="s">
        <v>48</v>
      </c>
      <c r="C2003" s="28">
        <v>8</v>
      </c>
      <c r="D2003" s="28">
        <v>1</v>
      </c>
      <c r="E2003">
        <v>8</v>
      </c>
      <c r="F2003" t="s">
        <v>333</v>
      </c>
      <c r="G2003" t="s">
        <v>797</v>
      </c>
      <c r="H2003" s="9" t="s">
        <v>1071</v>
      </c>
      <c r="I2003">
        <f t="shared" si="124"/>
        <v>64</v>
      </c>
      <c r="J2003">
        <f t="shared" si="122"/>
        <v>29.029911680000001</v>
      </c>
      <c r="K2003">
        <v>0.61399999999999999</v>
      </c>
      <c r="L2003">
        <f t="shared" si="123"/>
        <v>17.82436577152</v>
      </c>
    </row>
    <row r="2004" spans="1:12" x14ac:dyDescent="0.2">
      <c r="A2004" s="4">
        <v>43434</v>
      </c>
      <c r="B2004" t="s">
        <v>538</v>
      </c>
      <c r="C2004">
        <v>1</v>
      </c>
      <c r="D2004">
        <v>1</v>
      </c>
      <c r="E2004">
        <v>50</v>
      </c>
      <c r="F2004" t="s">
        <v>425</v>
      </c>
      <c r="G2004" t="s">
        <v>860</v>
      </c>
      <c r="H2004" s="9" t="s">
        <v>1071</v>
      </c>
      <c r="I2004">
        <f t="shared" si="124"/>
        <v>50</v>
      </c>
      <c r="J2004">
        <f t="shared" si="122"/>
        <v>22.6796185</v>
      </c>
      <c r="K2004">
        <v>0.7</v>
      </c>
      <c r="L2004">
        <f t="shared" si="123"/>
        <v>15.87573295</v>
      </c>
    </row>
    <row r="2005" spans="1:12" x14ac:dyDescent="0.2">
      <c r="A2005" s="4">
        <v>43434</v>
      </c>
      <c r="B2005" t="s">
        <v>538</v>
      </c>
      <c r="C2005">
        <v>2</v>
      </c>
      <c r="D2005">
        <v>1</v>
      </c>
      <c r="E2005">
        <v>25</v>
      </c>
      <c r="F2005" t="s">
        <v>443</v>
      </c>
      <c r="G2005" t="s">
        <v>860</v>
      </c>
      <c r="H2005" s="9" t="s">
        <v>1071</v>
      </c>
      <c r="I2005">
        <f t="shared" si="124"/>
        <v>50</v>
      </c>
      <c r="J2005">
        <f t="shared" si="122"/>
        <v>22.6796185</v>
      </c>
      <c r="K2005">
        <v>0.7</v>
      </c>
      <c r="L2005">
        <f t="shared" si="123"/>
        <v>15.87573295</v>
      </c>
    </row>
    <row r="2006" spans="1:12" x14ac:dyDescent="0.2">
      <c r="A2006" s="4">
        <v>43437</v>
      </c>
      <c r="B2006" t="s">
        <v>538</v>
      </c>
      <c r="C2006">
        <v>1</v>
      </c>
      <c r="D2006">
        <v>1</v>
      </c>
      <c r="E2006">
        <v>50</v>
      </c>
      <c r="F2006" t="s">
        <v>434</v>
      </c>
      <c r="G2006" t="s">
        <v>860</v>
      </c>
      <c r="H2006" s="9" t="s">
        <v>1071</v>
      </c>
      <c r="I2006">
        <f t="shared" si="124"/>
        <v>50</v>
      </c>
      <c r="J2006">
        <f t="shared" si="122"/>
        <v>22.6796185</v>
      </c>
      <c r="K2006">
        <v>0.7</v>
      </c>
      <c r="L2006">
        <f t="shared" si="123"/>
        <v>15.87573295</v>
      </c>
    </row>
    <row r="2007" spans="1:12" x14ac:dyDescent="0.2">
      <c r="A2007" s="4">
        <v>43439</v>
      </c>
      <c r="B2007" t="s">
        <v>538</v>
      </c>
      <c r="C2007">
        <v>1</v>
      </c>
      <c r="D2007">
        <v>1</v>
      </c>
      <c r="E2007">
        <v>50</v>
      </c>
      <c r="F2007" t="s">
        <v>434</v>
      </c>
      <c r="G2007" t="s">
        <v>860</v>
      </c>
      <c r="H2007" s="9" t="s">
        <v>1071</v>
      </c>
      <c r="I2007">
        <f t="shared" si="124"/>
        <v>50</v>
      </c>
      <c r="J2007">
        <f t="shared" si="122"/>
        <v>22.6796185</v>
      </c>
      <c r="K2007">
        <v>0.7</v>
      </c>
      <c r="L2007">
        <f t="shared" si="123"/>
        <v>15.87573295</v>
      </c>
    </row>
    <row r="2008" spans="1:12" x14ac:dyDescent="0.2">
      <c r="A2008" s="4">
        <v>43399</v>
      </c>
      <c r="B2008" t="s">
        <v>22</v>
      </c>
      <c r="C2008" s="37">
        <v>1</v>
      </c>
      <c r="D2008" s="37">
        <v>1</v>
      </c>
      <c r="E2008">
        <v>120</v>
      </c>
      <c r="F2008" t="s">
        <v>24</v>
      </c>
      <c r="G2008" t="s">
        <v>512</v>
      </c>
      <c r="H2008" s="9" t="s">
        <v>1071</v>
      </c>
      <c r="I2008">
        <f t="shared" si="124"/>
        <v>120</v>
      </c>
      <c r="J2008">
        <f t="shared" si="122"/>
        <v>54.431084400000003</v>
      </c>
      <c r="K2008">
        <v>0.30199999999999999</v>
      </c>
      <c r="L2008">
        <f t="shared" si="123"/>
        <v>16.438187488800001</v>
      </c>
    </row>
    <row r="2009" spans="1:12" x14ac:dyDescent="0.2">
      <c r="A2009" s="4">
        <v>43403</v>
      </c>
      <c r="B2009" t="s">
        <v>22</v>
      </c>
      <c r="C2009" s="37">
        <v>1</v>
      </c>
      <c r="D2009" s="37">
        <v>1</v>
      </c>
      <c r="E2009">
        <v>120</v>
      </c>
      <c r="F2009" t="s">
        <v>24</v>
      </c>
      <c r="G2009" t="s">
        <v>512</v>
      </c>
      <c r="H2009" s="9" t="s">
        <v>1071</v>
      </c>
      <c r="I2009">
        <f t="shared" si="124"/>
        <v>120</v>
      </c>
      <c r="J2009">
        <f t="shared" si="122"/>
        <v>54.431084400000003</v>
      </c>
      <c r="K2009">
        <v>0.30199999999999999</v>
      </c>
      <c r="L2009">
        <f t="shared" si="123"/>
        <v>16.438187488800001</v>
      </c>
    </row>
    <row r="2010" spans="1:12" x14ac:dyDescent="0.2">
      <c r="A2010" s="4">
        <v>43440</v>
      </c>
      <c r="B2010" t="s">
        <v>48</v>
      </c>
      <c r="C2010" s="28">
        <v>4</v>
      </c>
      <c r="D2010" s="28">
        <v>1</v>
      </c>
      <c r="E2010">
        <v>40</v>
      </c>
      <c r="F2010" t="s">
        <v>512</v>
      </c>
      <c r="G2010" t="s">
        <v>512</v>
      </c>
      <c r="H2010" s="9" t="s">
        <v>1071</v>
      </c>
      <c r="I2010">
        <f t="shared" si="124"/>
        <v>160</v>
      </c>
      <c r="J2010">
        <f t="shared" si="122"/>
        <v>72.574779200000009</v>
      </c>
      <c r="K2010">
        <v>0.30199999999999999</v>
      </c>
      <c r="L2010">
        <f t="shared" si="123"/>
        <v>21.917583318400002</v>
      </c>
    </row>
    <row r="2011" spans="1:12" x14ac:dyDescent="0.2">
      <c r="A2011" s="4">
        <v>43437</v>
      </c>
      <c r="B2011" t="s">
        <v>531</v>
      </c>
      <c r="C2011">
        <v>4</v>
      </c>
      <c r="D2011">
        <v>5</v>
      </c>
      <c r="E2011">
        <v>3</v>
      </c>
      <c r="F2011" t="s">
        <v>416</v>
      </c>
      <c r="G2011" t="s">
        <v>915</v>
      </c>
      <c r="H2011" s="9" t="s">
        <v>1071</v>
      </c>
      <c r="I2011">
        <f t="shared" si="124"/>
        <v>60</v>
      </c>
      <c r="J2011">
        <f t="shared" si="122"/>
        <v>27.215542200000002</v>
      </c>
      <c r="K2011">
        <v>0.30199999999999999</v>
      </c>
      <c r="L2011">
        <f t="shared" si="123"/>
        <v>8.2190937444000003</v>
      </c>
    </row>
    <row r="2012" spans="1:12" x14ac:dyDescent="0.2">
      <c r="A2012" s="4">
        <v>43434</v>
      </c>
      <c r="B2012" t="s">
        <v>48</v>
      </c>
      <c r="C2012" s="28">
        <v>2</v>
      </c>
      <c r="D2012" s="28">
        <v>1</v>
      </c>
      <c r="E2012">
        <v>12</v>
      </c>
      <c r="F2012" t="s">
        <v>480</v>
      </c>
      <c r="G2012" t="s">
        <v>777</v>
      </c>
      <c r="H2012" s="9" t="s">
        <v>1071</v>
      </c>
      <c r="I2012">
        <f t="shared" si="124"/>
        <v>24</v>
      </c>
      <c r="J2012">
        <f t="shared" si="122"/>
        <v>10.886216880000001</v>
      </c>
      <c r="K2012">
        <v>0.19600000000000001</v>
      </c>
      <c r="L2012">
        <f t="shared" si="123"/>
        <v>2.1336985084800002</v>
      </c>
    </row>
    <row r="2013" spans="1:12" x14ac:dyDescent="0.2">
      <c r="A2013" s="4">
        <v>43438</v>
      </c>
      <c r="B2013" t="s">
        <v>48</v>
      </c>
      <c r="C2013" s="28">
        <v>1</v>
      </c>
      <c r="D2013" s="28">
        <v>1</v>
      </c>
      <c r="E2013">
        <v>12</v>
      </c>
      <c r="F2013" t="s">
        <v>496</v>
      </c>
      <c r="G2013" t="s">
        <v>777</v>
      </c>
      <c r="H2013" s="9" t="s">
        <v>1071</v>
      </c>
      <c r="I2013">
        <f t="shared" si="124"/>
        <v>12</v>
      </c>
      <c r="J2013">
        <f t="shared" si="122"/>
        <v>5.4431084400000005</v>
      </c>
      <c r="K2013">
        <v>0.19600000000000001</v>
      </c>
      <c r="L2013">
        <f t="shared" si="123"/>
        <v>1.0668492542400001</v>
      </c>
    </row>
    <row r="2014" spans="1:12" x14ac:dyDescent="0.2">
      <c r="A2014" s="4">
        <v>43439</v>
      </c>
      <c r="B2014" t="s">
        <v>48</v>
      </c>
      <c r="C2014" s="28">
        <v>2</v>
      </c>
      <c r="D2014" s="28">
        <v>1</v>
      </c>
      <c r="E2014">
        <v>12</v>
      </c>
      <c r="F2014" t="s">
        <v>504</v>
      </c>
      <c r="G2014" t="s">
        <v>777</v>
      </c>
      <c r="H2014" s="9" t="s">
        <v>1071</v>
      </c>
      <c r="I2014">
        <f t="shared" si="124"/>
        <v>24</v>
      </c>
      <c r="J2014">
        <f t="shared" si="122"/>
        <v>10.886216880000001</v>
      </c>
      <c r="K2014">
        <v>0.19600000000000001</v>
      </c>
      <c r="L2014">
        <f t="shared" si="123"/>
        <v>2.1336985084800002</v>
      </c>
    </row>
    <row r="2015" spans="1:12" x14ac:dyDescent="0.2">
      <c r="A2015" s="4">
        <v>43437</v>
      </c>
      <c r="B2015" t="s">
        <v>538</v>
      </c>
      <c r="C2015">
        <v>2</v>
      </c>
      <c r="D2015">
        <v>4</v>
      </c>
      <c r="E2015">
        <v>11.01</v>
      </c>
      <c r="F2015" t="s">
        <v>435</v>
      </c>
      <c r="G2015" s="6" t="s">
        <v>864</v>
      </c>
      <c r="H2015" s="9" t="s">
        <v>1071</v>
      </c>
      <c r="I2015">
        <f t="shared" si="124"/>
        <v>88.08</v>
      </c>
      <c r="J2015">
        <f t="shared" si="122"/>
        <v>39.952415949600002</v>
      </c>
      <c r="K2015">
        <v>6.7539999999999996</v>
      </c>
      <c r="L2015">
        <f t="shared" si="123"/>
        <v>269.83861732359838</v>
      </c>
    </row>
    <row r="2016" spans="1:12" x14ac:dyDescent="0.2">
      <c r="A2016" s="4">
        <v>43434</v>
      </c>
      <c r="B2016" t="s">
        <v>538</v>
      </c>
      <c r="C2016">
        <v>1</v>
      </c>
      <c r="D2016">
        <v>4</v>
      </c>
      <c r="E2016">
        <v>11.01</v>
      </c>
      <c r="F2016" t="s">
        <v>435</v>
      </c>
      <c r="G2016" t="s">
        <v>902</v>
      </c>
      <c r="H2016" s="9" t="s">
        <v>1071</v>
      </c>
      <c r="I2016">
        <f t="shared" si="124"/>
        <v>44.04</v>
      </c>
      <c r="J2016">
        <f t="shared" si="122"/>
        <v>19.976207974800001</v>
      </c>
      <c r="K2016">
        <v>6.7539999999999996</v>
      </c>
      <c r="L2016">
        <f t="shared" si="123"/>
        <v>134.91930866179919</v>
      </c>
    </row>
    <row r="2017" spans="1:12" x14ac:dyDescent="0.2">
      <c r="A2017" s="4">
        <v>43434</v>
      </c>
      <c r="B2017" t="s">
        <v>48</v>
      </c>
      <c r="C2017" s="28">
        <v>8</v>
      </c>
      <c r="D2017" s="28">
        <v>1</v>
      </c>
      <c r="E2017">
        <v>4.1719999999999997</v>
      </c>
      <c r="F2017" t="s">
        <v>278</v>
      </c>
      <c r="G2017" t="s">
        <v>798</v>
      </c>
      <c r="H2017" s="9" t="s">
        <v>1071</v>
      </c>
      <c r="I2017">
        <f t="shared" si="124"/>
        <v>33.375999999999998</v>
      </c>
      <c r="J2017">
        <f t="shared" si="122"/>
        <v>15.139098941119999</v>
      </c>
      <c r="K2017">
        <v>1.6639999999999999</v>
      </c>
      <c r="L2017">
        <f t="shared" si="123"/>
        <v>25.191460638023678</v>
      </c>
    </row>
    <row r="2018" spans="1:12" x14ac:dyDescent="0.2">
      <c r="A2018" s="4">
        <v>43435</v>
      </c>
      <c r="B2018" t="s">
        <v>48</v>
      </c>
      <c r="C2018" s="28">
        <v>3</v>
      </c>
      <c r="D2018" s="28">
        <v>1</v>
      </c>
      <c r="E2018">
        <v>4.1719999999999997</v>
      </c>
      <c r="F2018" t="s">
        <v>278</v>
      </c>
      <c r="G2018" t="s">
        <v>798</v>
      </c>
      <c r="H2018" s="9" t="s">
        <v>1071</v>
      </c>
      <c r="I2018">
        <f t="shared" si="124"/>
        <v>12.515999999999998</v>
      </c>
      <c r="J2018">
        <f t="shared" si="122"/>
        <v>5.6771621029199997</v>
      </c>
      <c r="K2018">
        <v>1.6639999999999999</v>
      </c>
      <c r="L2018">
        <f t="shared" si="123"/>
        <v>9.4467977392588782</v>
      </c>
    </row>
    <row r="2019" spans="1:12" x14ac:dyDescent="0.2">
      <c r="A2019" s="4">
        <v>43438</v>
      </c>
      <c r="B2019" t="s">
        <v>48</v>
      </c>
      <c r="C2019" s="28">
        <v>4</v>
      </c>
      <c r="D2019" s="28">
        <v>1</v>
      </c>
      <c r="E2019">
        <v>4.1719999999999997</v>
      </c>
      <c r="F2019" t="s">
        <v>278</v>
      </c>
      <c r="G2019" t="s">
        <v>798</v>
      </c>
      <c r="H2019" s="9" t="s">
        <v>1071</v>
      </c>
      <c r="I2019">
        <f t="shared" si="124"/>
        <v>16.687999999999999</v>
      </c>
      <c r="J2019">
        <f t="shared" si="122"/>
        <v>7.5695494705599993</v>
      </c>
      <c r="K2019">
        <v>1.6639999999999999</v>
      </c>
      <c r="L2019">
        <f t="shared" si="123"/>
        <v>12.595730319011839</v>
      </c>
    </row>
    <row r="2020" spans="1:12" x14ac:dyDescent="0.2">
      <c r="A2020" s="4">
        <v>43439</v>
      </c>
      <c r="B2020" t="s">
        <v>48</v>
      </c>
      <c r="C2020" s="28">
        <v>4</v>
      </c>
      <c r="D2020" s="28">
        <v>1</v>
      </c>
      <c r="E2020">
        <v>4.1719999999999997</v>
      </c>
      <c r="F2020" t="s">
        <v>278</v>
      </c>
      <c r="G2020" t="s">
        <v>798</v>
      </c>
      <c r="H2020" s="9" t="s">
        <v>1071</v>
      </c>
      <c r="I2020">
        <f t="shared" si="124"/>
        <v>16.687999999999999</v>
      </c>
      <c r="J2020">
        <f t="shared" si="122"/>
        <v>7.5695494705599993</v>
      </c>
      <c r="K2020">
        <v>1.6639999999999999</v>
      </c>
      <c r="L2020">
        <f t="shared" si="123"/>
        <v>12.595730319011839</v>
      </c>
    </row>
    <row r="2021" spans="1:12" x14ac:dyDescent="0.2">
      <c r="A2021" s="4">
        <v>43440</v>
      </c>
      <c r="B2021" t="s">
        <v>48</v>
      </c>
      <c r="C2021" s="28">
        <v>4</v>
      </c>
      <c r="D2021" s="28">
        <v>1</v>
      </c>
      <c r="E2021">
        <v>4.1719999999999997</v>
      </c>
      <c r="F2021" t="s">
        <v>378</v>
      </c>
      <c r="G2021" t="s">
        <v>193</v>
      </c>
      <c r="H2021" s="9" t="s">
        <v>1071</v>
      </c>
      <c r="I2021">
        <f t="shared" si="124"/>
        <v>16.687999999999999</v>
      </c>
      <c r="J2021">
        <f t="shared" si="122"/>
        <v>7.5695494705599993</v>
      </c>
      <c r="K2021">
        <v>1.6639999999999999</v>
      </c>
      <c r="L2021">
        <f t="shared" si="123"/>
        <v>12.595730319011839</v>
      </c>
    </row>
    <row r="2022" spans="1:12" x14ac:dyDescent="0.2">
      <c r="A2022" s="4">
        <v>43434</v>
      </c>
      <c r="B2022" t="s">
        <v>48</v>
      </c>
      <c r="C2022" s="28">
        <v>3</v>
      </c>
      <c r="D2022" s="28">
        <v>1</v>
      </c>
      <c r="E2022">
        <v>10</v>
      </c>
      <c r="F2022" t="s">
        <v>328</v>
      </c>
      <c r="G2022" t="s">
        <v>334</v>
      </c>
      <c r="H2022" s="9" t="s">
        <v>1071</v>
      </c>
      <c r="I2022">
        <f t="shared" si="124"/>
        <v>30</v>
      </c>
      <c r="J2022">
        <f t="shared" si="122"/>
        <v>13.607771100000001</v>
      </c>
      <c r="K2022">
        <v>0.47</v>
      </c>
      <c r="L2022">
        <f t="shared" si="123"/>
        <v>6.395652417</v>
      </c>
    </row>
    <row r="2023" spans="1:12" x14ac:dyDescent="0.2">
      <c r="A2023" s="4">
        <v>43434</v>
      </c>
      <c r="B2023" t="s">
        <v>48</v>
      </c>
      <c r="C2023" s="28">
        <v>2</v>
      </c>
      <c r="D2023" s="28">
        <v>1</v>
      </c>
      <c r="E2023">
        <v>25</v>
      </c>
      <c r="F2023" t="s">
        <v>334</v>
      </c>
      <c r="G2023" t="s">
        <v>334</v>
      </c>
      <c r="H2023" s="9" t="s">
        <v>1071</v>
      </c>
      <c r="I2023">
        <f t="shared" si="124"/>
        <v>50</v>
      </c>
      <c r="J2023">
        <f t="shared" si="122"/>
        <v>22.6796185</v>
      </c>
      <c r="K2023">
        <v>0.47</v>
      </c>
      <c r="L2023">
        <f t="shared" si="123"/>
        <v>10.659420695</v>
      </c>
    </row>
    <row r="2024" spans="1:12" x14ac:dyDescent="0.2">
      <c r="A2024" s="4">
        <v>43434</v>
      </c>
      <c r="B2024" t="s">
        <v>48</v>
      </c>
      <c r="C2024" s="28">
        <v>10</v>
      </c>
      <c r="D2024" s="28">
        <v>1</v>
      </c>
      <c r="E2024">
        <v>10</v>
      </c>
      <c r="F2024" t="s">
        <v>335</v>
      </c>
      <c r="G2024" t="s">
        <v>334</v>
      </c>
      <c r="H2024" s="9" t="s">
        <v>1071</v>
      </c>
      <c r="I2024">
        <f t="shared" si="124"/>
        <v>100</v>
      </c>
      <c r="J2024">
        <f t="shared" si="122"/>
        <v>45.359237</v>
      </c>
      <c r="K2024">
        <v>0.47</v>
      </c>
      <c r="L2024">
        <f t="shared" si="123"/>
        <v>21.318841389999999</v>
      </c>
    </row>
    <row r="2025" spans="1:12" x14ac:dyDescent="0.2">
      <c r="A2025" s="4">
        <v>43435</v>
      </c>
      <c r="B2025" t="s">
        <v>48</v>
      </c>
      <c r="C2025" s="28">
        <v>2</v>
      </c>
      <c r="D2025" s="28">
        <v>1</v>
      </c>
      <c r="E2025">
        <v>10</v>
      </c>
      <c r="F2025" t="s">
        <v>328</v>
      </c>
      <c r="G2025" t="s">
        <v>334</v>
      </c>
      <c r="H2025" s="9" t="s">
        <v>1071</v>
      </c>
      <c r="I2025">
        <f t="shared" si="124"/>
        <v>20</v>
      </c>
      <c r="J2025">
        <f t="shared" si="122"/>
        <v>9.0718474000000011</v>
      </c>
      <c r="K2025">
        <v>0.47</v>
      </c>
      <c r="L2025">
        <f t="shared" si="123"/>
        <v>4.2637682780000006</v>
      </c>
    </row>
    <row r="2026" spans="1:12" x14ac:dyDescent="0.2">
      <c r="A2026" s="4">
        <v>43435</v>
      </c>
      <c r="B2026" t="s">
        <v>48</v>
      </c>
      <c r="C2026" s="28">
        <v>2</v>
      </c>
      <c r="D2026" s="28">
        <v>1</v>
      </c>
      <c r="E2026">
        <v>25</v>
      </c>
      <c r="F2026" t="s">
        <v>334</v>
      </c>
      <c r="G2026" t="s">
        <v>334</v>
      </c>
      <c r="H2026" s="9" t="s">
        <v>1071</v>
      </c>
      <c r="I2026">
        <f t="shared" si="124"/>
        <v>50</v>
      </c>
      <c r="J2026">
        <f t="shared" si="122"/>
        <v>22.6796185</v>
      </c>
      <c r="K2026">
        <v>0.47</v>
      </c>
      <c r="L2026">
        <f t="shared" si="123"/>
        <v>10.659420695</v>
      </c>
    </row>
    <row r="2027" spans="1:12" x14ac:dyDescent="0.2">
      <c r="A2027" s="4">
        <v>43435</v>
      </c>
      <c r="B2027" t="s">
        <v>48</v>
      </c>
      <c r="C2027" s="28">
        <v>6</v>
      </c>
      <c r="D2027" s="28">
        <v>1</v>
      </c>
      <c r="E2027">
        <v>12</v>
      </c>
      <c r="F2027" t="s">
        <v>77</v>
      </c>
      <c r="G2027" t="s">
        <v>194</v>
      </c>
      <c r="H2027" s="9" t="s">
        <v>1071</v>
      </c>
      <c r="I2027">
        <f t="shared" si="124"/>
        <v>72</v>
      </c>
      <c r="J2027">
        <f t="shared" si="122"/>
        <v>32.658650639999998</v>
      </c>
      <c r="K2027">
        <v>0.47</v>
      </c>
      <c r="L2027">
        <f t="shared" si="123"/>
        <v>15.349565800799999</v>
      </c>
    </row>
    <row r="2028" spans="1:12" x14ac:dyDescent="0.2">
      <c r="A2028" s="4">
        <v>43435</v>
      </c>
      <c r="B2028" t="s">
        <v>48</v>
      </c>
      <c r="C2028" s="28">
        <v>2</v>
      </c>
      <c r="D2028" s="28">
        <v>1</v>
      </c>
      <c r="E2028">
        <v>10</v>
      </c>
      <c r="F2028" t="s">
        <v>489</v>
      </c>
      <c r="G2028" t="s">
        <v>194</v>
      </c>
      <c r="H2028" s="9" t="s">
        <v>1071</v>
      </c>
      <c r="I2028">
        <f t="shared" si="124"/>
        <v>20</v>
      </c>
      <c r="J2028">
        <f t="shared" si="122"/>
        <v>9.0718474000000011</v>
      </c>
      <c r="K2028">
        <v>0.47</v>
      </c>
      <c r="L2028">
        <f t="shared" si="123"/>
        <v>4.2637682780000006</v>
      </c>
    </row>
    <row r="2029" spans="1:12" x14ac:dyDescent="0.2">
      <c r="A2029" s="4">
        <v>43437</v>
      </c>
      <c r="B2029" t="s">
        <v>48</v>
      </c>
      <c r="C2029" s="28">
        <v>3</v>
      </c>
      <c r="D2029" s="28">
        <v>1</v>
      </c>
      <c r="E2029">
        <v>10</v>
      </c>
      <c r="F2029" t="s">
        <v>328</v>
      </c>
      <c r="G2029" t="s">
        <v>334</v>
      </c>
      <c r="H2029" s="9" t="s">
        <v>1071</v>
      </c>
      <c r="I2029">
        <f t="shared" si="124"/>
        <v>30</v>
      </c>
      <c r="J2029">
        <f t="shared" si="122"/>
        <v>13.607771100000001</v>
      </c>
      <c r="K2029">
        <v>0.47</v>
      </c>
      <c r="L2029">
        <f t="shared" si="123"/>
        <v>6.395652417</v>
      </c>
    </row>
    <row r="2030" spans="1:12" x14ac:dyDescent="0.2">
      <c r="A2030" s="4">
        <v>43437</v>
      </c>
      <c r="B2030" t="s">
        <v>48</v>
      </c>
      <c r="C2030" s="28">
        <v>1</v>
      </c>
      <c r="D2030" s="28">
        <v>1</v>
      </c>
      <c r="E2030">
        <v>25</v>
      </c>
      <c r="F2030" t="s">
        <v>334</v>
      </c>
      <c r="G2030" t="s">
        <v>334</v>
      </c>
      <c r="H2030" s="9" t="s">
        <v>1071</v>
      </c>
      <c r="I2030">
        <f t="shared" si="124"/>
        <v>25</v>
      </c>
      <c r="J2030">
        <f t="shared" si="122"/>
        <v>11.33980925</v>
      </c>
      <c r="K2030">
        <v>0.47</v>
      </c>
      <c r="L2030">
        <f t="shared" si="123"/>
        <v>5.3297103474999998</v>
      </c>
    </row>
    <row r="2031" spans="1:12" x14ac:dyDescent="0.2">
      <c r="A2031" s="4">
        <v>43437</v>
      </c>
      <c r="B2031" t="s">
        <v>48</v>
      </c>
      <c r="C2031" s="28">
        <v>8</v>
      </c>
      <c r="D2031" s="28">
        <v>1</v>
      </c>
      <c r="E2031">
        <v>10</v>
      </c>
      <c r="F2031" t="s">
        <v>335</v>
      </c>
      <c r="G2031" t="s">
        <v>334</v>
      </c>
      <c r="H2031" s="9" t="s">
        <v>1071</v>
      </c>
      <c r="I2031">
        <f t="shared" si="124"/>
        <v>80</v>
      </c>
      <c r="J2031">
        <f t="shared" si="122"/>
        <v>36.287389600000004</v>
      </c>
      <c r="K2031">
        <v>0.47</v>
      </c>
      <c r="L2031">
        <f t="shared" si="123"/>
        <v>17.055073112000002</v>
      </c>
    </row>
    <row r="2032" spans="1:12" x14ac:dyDescent="0.2">
      <c r="A2032" s="4">
        <v>43438</v>
      </c>
      <c r="B2032" t="s">
        <v>48</v>
      </c>
      <c r="C2032" s="28">
        <v>2</v>
      </c>
      <c r="D2032" s="28">
        <v>1</v>
      </c>
      <c r="E2032">
        <v>10</v>
      </c>
      <c r="F2032" t="s">
        <v>328</v>
      </c>
      <c r="G2032" t="s">
        <v>334</v>
      </c>
      <c r="H2032" s="9" t="s">
        <v>1071</v>
      </c>
      <c r="I2032">
        <f t="shared" si="124"/>
        <v>20</v>
      </c>
      <c r="J2032">
        <f t="shared" si="122"/>
        <v>9.0718474000000011</v>
      </c>
      <c r="K2032">
        <v>0.47</v>
      </c>
      <c r="L2032">
        <f t="shared" si="123"/>
        <v>4.2637682780000006</v>
      </c>
    </row>
    <row r="2033" spans="1:12" x14ac:dyDescent="0.2">
      <c r="A2033" s="4">
        <v>43438</v>
      </c>
      <c r="B2033" t="s">
        <v>48</v>
      </c>
      <c r="C2033" s="28">
        <v>7</v>
      </c>
      <c r="D2033" s="28">
        <v>1</v>
      </c>
      <c r="E2033">
        <v>10</v>
      </c>
      <c r="F2033" t="s">
        <v>335</v>
      </c>
      <c r="G2033" t="s">
        <v>334</v>
      </c>
      <c r="H2033" s="9" t="s">
        <v>1071</v>
      </c>
      <c r="I2033">
        <f t="shared" si="124"/>
        <v>70</v>
      </c>
      <c r="J2033">
        <f t="shared" si="122"/>
        <v>31.751465900000003</v>
      </c>
      <c r="K2033">
        <v>0.47</v>
      </c>
      <c r="L2033">
        <f t="shared" si="123"/>
        <v>14.923188973</v>
      </c>
    </row>
    <row r="2034" spans="1:12" x14ac:dyDescent="0.2">
      <c r="A2034" s="4">
        <v>43439</v>
      </c>
      <c r="B2034" t="s">
        <v>48</v>
      </c>
      <c r="C2034" s="28">
        <v>3</v>
      </c>
      <c r="D2034" s="28">
        <v>1</v>
      </c>
      <c r="E2034">
        <v>25</v>
      </c>
      <c r="F2034" t="s">
        <v>334</v>
      </c>
      <c r="G2034" t="s">
        <v>334</v>
      </c>
      <c r="H2034" s="9" t="s">
        <v>1071</v>
      </c>
      <c r="I2034">
        <f t="shared" si="124"/>
        <v>75</v>
      </c>
      <c r="J2034">
        <f t="shared" si="122"/>
        <v>34.019427750000006</v>
      </c>
      <c r="K2034">
        <v>0.47</v>
      </c>
      <c r="L2034">
        <f t="shared" si="123"/>
        <v>15.989131042500002</v>
      </c>
    </row>
    <row r="2035" spans="1:12" x14ac:dyDescent="0.2">
      <c r="A2035" s="4">
        <v>43439</v>
      </c>
      <c r="B2035" t="s">
        <v>48</v>
      </c>
      <c r="C2035" s="28">
        <v>8</v>
      </c>
      <c r="D2035" s="28">
        <v>1</v>
      </c>
      <c r="E2035">
        <v>10</v>
      </c>
      <c r="F2035" t="s">
        <v>335</v>
      </c>
      <c r="G2035" t="s">
        <v>334</v>
      </c>
      <c r="H2035" s="9" t="s">
        <v>1071</v>
      </c>
      <c r="I2035">
        <f t="shared" si="124"/>
        <v>80</v>
      </c>
      <c r="J2035">
        <f t="shared" si="122"/>
        <v>36.287389600000004</v>
      </c>
      <c r="K2035">
        <v>0.47</v>
      </c>
      <c r="L2035">
        <f t="shared" si="123"/>
        <v>17.055073112000002</v>
      </c>
    </row>
    <row r="2036" spans="1:12" x14ac:dyDescent="0.2">
      <c r="A2036" s="4">
        <v>43440</v>
      </c>
      <c r="B2036" t="s">
        <v>48</v>
      </c>
      <c r="C2036" s="28">
        <v>3</v>
      </c>
      <c r="D2036" s="28">
        <v>1</v>
      </c>
      <c r="E2036">
        <v>10</v>
      </c>
      <c r="F2036" t="s">
        <v>70</v>
      </c>
      <c r="G2036" t="s">
        <v>194</v>
      </c>
      <c r="H2036" s="9" t="s">
        <v>1071</v>
      </c>
      <c r="I2036">
        <f t="shared" si="124"/>
        <v>30</v>
      </c>
      <c r="J2036">
        <f t="shared" si="122"/>
        <v>13.607771100000001</v>
      </c>
      <c r="K2036">
        <v>0.47</v>
      </c>
      <c r="L2036">
        <f t="shared" si="123"/>
        <v>6.395652417</v>
      </c>
    </row>
    <row r="2037" spans="1:12" x14ac:dyDescent="0.2">
      <c r="A2037" s="4">
        <v>43440</v>
      </c>
      <c r="B2037" t="s">
        <v>48</v>
      </c>
      <c r="C2037" s="28">
        <v>5</v>
      </c>
      <c r="D2037" s="28">
        <v>1</v>
      </c>
      <c r="E2037">
        <v>10</v>
      </c>
      <c r="F2037" t="s">
        <v>77</v>
      </c>
      <c r="G2037" t="s">
        <v>194</v>
      </c>
      <c r="H2037" s="9" t="s">
        <v>1071</v>
      </c>
      <c r="I2037">
        <f t="shared" si="124"/>
        <v>50</v>
      </c>
      <c r="J2037">
        <f t="shared" si="122"/>
        <v>22.6796185</v>
      </c>
      <c r="K2037">
        <v>0.47</v>
      </c>
      <c r="L2037">
        <f t="shared" si="123"/>
        <v>10.659420695</v>
      </c>
    </row>
    <row r="2038" spans="1:12" x14ac:dyDescent="0.2">
      <c r="A2038" s="4">
        <v>43434</v>
      </c>
      <c r="B2038" t="s">
        <v>538</v>
      </c>
      <c r="C2038">
        <v>4</v>
      </c>
      <c r="D2038">
        <v>6</v>
      </c>
      <c r="E2038">
        <v>10</v>
      </c>
      <c r="F2038" t="s">
        <v>544</v>
      </c>
      <c r="G2038" t="s">
        <v>857</v>
      </c>
      <c r="H2038" s="9" t="s">
        <v>1071</v>
      </c>
      <c r="I2038">
        <f t="shared" si="124"/>
        <v>240</v>
      </c>
      <c r="J2038">
        <f t="shared" si="122"/>
        <v>108.86216880000001</v>
      </c>
      <c r="K2038">
        <v>0.47</v>
      </c>
      <c r="L2038">
        <f t="shared" si="123"/>
        <v>51.165219336</v>
      </c>
    </row>
    <row r="2039" spans="1:12" x14ac:dyDescent="0.2">
      <c r="A2039" s="4">
        <v>43434</v>
      </c>
      <c r="B2039" t="s">
        <v>538</v>
      </c>
      <c r="C2039">
        <v>4</v>
      </c>
      <c r="D2039">
        <v>6</v>
      </c>
      <c r="E2039">
        <v>10</v>
      </c>
      <c r="F2039" t="s">
        <v>432</v>
      </c>
      <c r="G2039" t="s">
        <v>857</v>
      </c>
      <c r="H2039" s="9" t="s">
        <v>1071</v>
      </c>
      <c r="I2039">
        <f t="shared" si="124"/>
        <v>240</v>
      </c>
      <c r="J2039">
        <f t="shared" si="122"/>
        <v>108.86216880000001</v>
      </c>
      <c r="K2039">
        <v>0.47</v>
      </c>
      <c r="L2039">
        <f t="shared" si="123"/>
        <v>51.165219336</v>
      </c>
    </row>
    <row r="2040" spans="1:12" x14ac:dyDescent="0.2">
      <c r="A2040" s="4">
        <v>43434</v>
      </c>
      <c r="B2040" t="s">
        <v>538</v>
      </c>
      <c r="C2040">
        <v>8</v>
      </c>
      <c r="D2040">
        <v>6</v>
      </c>
      <c r="E2040">
        <v>10</v>
      </c>
      <c r="F2040" t="s">
        <v>546</v>
      </c>
      <c r="G2040" t="s">
        <v>857</v>
      </c>
      <c r="H2040" s="9" t="s">
        <v>1071</v>
      </c>
      <c r="I2040">
        <f t="shared" si="124"/>
        <v>480</v>
      </c>
      <c r="J2040">
        <f t="shared" si="122"/>
        <v>217.72433760000001</v>
      </c>
      <c r="K2040">
        <v>0.47</v>
      </c>
      <c r="L2040">
        <f t="shared" si="123"/>
        <v>102.330438672</v>
      </c>
    </row>
    <row r="2041" spans="1:12" x14ac:dyDescent="0.2">
      <c r="A2041" s="4">
        <v>43437</v>
      </c>
      <c r="B2041" t="s">
        <v>538</v>
      </c>
      <c r="C2041">
        <v>2</v>
      </c>
      <c r="D2041">
        <v>6</v>
      </c>
      <c r="E2041">
        <v>10</v>
      </c>
      <c r="F2041" t="s">
        <v>432</v>
      </c>
      <c r="G2041" t="s">
        <v>857</v>
      </c>
      <c r="H2041" s="9" t="s">
        <v>1071</v>
      </c>
      <c r="I2041">
        <f t="shared" si="124"/>
        <v>120</v>
      </c>
      <c r="J2041">
        <f t="shared" si="122"/>
        <v>54.431084400000003</v>
      </c>
      <c r="K2041">
        <v>0.47</v>
      </c>
      <c r="L2041">
        <f t="shared" si="123"/>
        <v>25.582609668</v>
      </c>
    </row>
    <row r="2042" spans="1:12" x14ac:dyDescent="0.2">
      <c r="A2042" s="4">
        <v>43439</v>
      </c>
      <c r="B2042" t="s">
        <v>538</v>
      </c>
      <c r="C2042">
        <v>6</v>
      </c>
      <c r="D2042">
        <v>6</v>
      </c>
      <c r="E2042">
        <v>10</v>
      </c>
      <c r="F2042" t="s">
        <v>432</v>
      </c>
      <c r="G2042" t="s">
        <v>857</v>
      </c>
      <c r="H2042" s="9" t="s">
        <v>1071</v>
      </c>
      <c r="I2042">
        <f t="shared" si="124"/>
        <v>360</v>
      </c>
      <c r="J2042">
        <f t="shared" si="122"/>
        <v>163.29325320000001</v>
      </c>
      <c r="K2042">
        <v>0.47</v>
      </c>
      <c r="L2042">
        <f t="shared" si="123"/>
        <v>76.747829003999996</v>
      </c>
    </row>
    <row r="2043" spans="1:12" x14ac:dyDescent="0.2">
      <c r="A2043" s="4">
        <v>43439</v>
      </c>
      <c r="B2043" t="s">
        <v>538</v>
      </c>
      <c r="C2043">
        <v>1</v>
      </c>
      <c r="D2043">
        <v>6</v>
      </c>
      <c r="E2043">
        <v>10</v>
      </c>
      <c r="F2043" t="s">
        <v>546</v>
      </c>
      <c r="G2043" t="s">
        <v>857</v>
      </c>
      <c r="H2043" s="9" t="s">
        <v>1071</v>
      </c>
      <c r="I2043">
        <f t="shared" si="124"/>
        <v>60</v>
      </c>
      <c r="J2043">
        <f t="shared" si="122"/>
        <v>27.215542200000002</v>
      </c>
      <c r="K2043">
        <v>0.47</v>
      </c>
      <c r="L2043">
        <f t="shared" si="123"/>
        <v>12.791304834</v>
      </c>
    </row>
    <row r="2044" spans="1:12" x14ac:dyDescent="0.2">
      <c r="A2044" s="4">
        <v>43437</v>
      </c>
      <c r="B2044" t="s">
        <v>538</v>
      </c>
      <c r="C2044">
        <v>1</v>
      </c>
      <c r="D2044">
        <v>6</v>
      </c>
      <c r="E2044">
        <v>10</v>
      </c>
      <c r="F2044" t="s">
        <v>574</v>
      </c>
      <c r="G2044" s="6" t="s">
        <v>917</v>
      </c>
      <c r="H2044" s="9" t="s">
        <v>1071</v>
      </c>
      <c r="I2044">
        <f t="shared" si="124"/>
        <v>60</v>
      </c>
      <c r="J2044">
        <f t="shared" si="122"/>
        <v>27.215542200000002</v>
      </c>
      <c r="K2044">
        <v>0.11799999999999999</v>
      </c>
      <c r="L2044">
        <f t="shared" si="123"/>
        <v>3.2114339796000002</v>
      </c>
    </row>
    <row r="2045" spans="1:12" x14ac:dyDescent="0.2">
      <c r="A2045" s="4">
        <v>43434</v>
      </c>
      <c r="B2045" t="s">
        <v>531</v>
      </c>
      <c r="C2045">
        <v>2</v>
      </c>
      <c r="D2045">
        <v>12</v>
      </c>
      <c r="E2045">
        <f>60*0.0661387</f>
        <v>3.9683219999999997</v>
      </c>
      <c r="F2045" t="s">
        <v>534</v>
      </c>
      <c r="G2045" s="6" t="s">
        <v>892</v>
      </c>
      <c r="H2045" s="9" t="s">
        <v>1071</v>
      </c>
      <c r="I2045">
        <f t="shared" si="124"/>
        <v>95.239727999999985</v>
      </c>
      <c r="J2045">
        <f t="shared" si="122"/>
        <v>43.200013941675351</v>
      </c>
      <c r="K2045">
        <v>1.28</v>
      </c>
      <c r="L2045">
        <f t="shared" si="123"/>
        <v>55.296017845344451</v>
      </c>
    </row>
    <row r="2046" spans="1:12" x14ac:dyDescent="0.2">
      <c r="A2046" s="4">
        <v>43434</v>
      </c>
      <c r="B2046" t="s">
        <v>531</v>
      </c>
      <c r="C2046">
        <v>2</v>
      </c>
      <c r="D2046">
        <v>6</v>
      </c>
      <c r="E2046">
        <f>12*0.0661387</f>
        <v>0.79366439999999994</v>
      </c>
      <c r="F2046" t="s">
        <v>414</v>
      </c>
      <c r="G2046" s="6" t="s">
        <v>894</v>
      </c>
      <c r="H2046" s="9" t="s">
        <v>1071</v>
      </c>
      <c r="I2046">
        <f t="shared" si="124"/>
        <v>9.5239727999999992</v>
      </c>
      <c r="J2046">
        <f t="shared" si="122"/>
        <v>4.3200013941675364</v>
      </c>
      <c r="K2046">
        <v>1.28</v>
      </c>
      <c r="L2046">
        <f t="shared" si="123"/>
        <v>5.5296017845344467</v>
      </c>
    </row>
    <row r="2047" spans="1:12" x14ac:dyDescent="0.2">
      <c r="A2047" s="4">
        <v>43434</v>
      </c>
      <c r="B2047" t="s">
        <v>531</v>
      </c>
      <c r="C2047">
        <v>2</v>
      </c>
      <c r="D2047">
        <v>6</v>
      </c>
      <c r="E2047">
        <f>12*0.0661387</f>
        <v>0.79366439999999994</v>
      </c>
      <c r="F2047" t="s">
        <v>415</v>
      </c>
      <c r="G2047" s="6" t="s">
        <v>894</v>
      </c>
      <c r="H2047" s="9" t="s">
        <v>1071</v>
      </c>
      <c r="I2047">
        <f t="shared" si="124"/>
        <v>9.5239727999999992</v>
      </c>
      <c r="J2047">
        <f t="shared" si="122"/>
        <v>4.3200013941675364</v>
      </c>
      <c r="K2047">
        <v>1.28</v>
      </c>
      <c r="L2047">
        <f t="shared" si="123"/>
        <v>5.5296017845344467</v>
      </c>
    </row>
    <row r="2048" spans="1:12" x14ac:dyDescent="0.2">
      <c r="A2048" s="4">
        <v>43437</v>
      </c>
      <c r="B2048" t="s">
        <v>531</v>
      </c>
      <c r="C2048">
        <v>1</v>
      </c>
      <c r="D2048">
        <v>24</v>
      </c>
      <c r="E2048">
        <f>12*0.0661387</f>
        <v>0.79366439999999994</v>
      </c>
      <c r="F2048" t="s">
        <v>408</v>
      </c>
      <c r="G2048" s="6" t="s">
        <v>913</v>
      </c>
      <c r="H2048" s="9" t="s">
        <v>1071</v>
      </c>
      <c r="I2048">
        <f t="shared" si="124"/>
        <v>19.047945599999998</v>
      </c>
      <c r="J2048">
        <f t="shared" si="122"/>
        <v>8.6400027883350727</v>
      </c>
      <c r="K2048">
        <v>1.28</v>
      </c>
      <c r="L2048">
        <f t="shared" si="123"/>
        <v>11.059203569068893</v>
      </c>
    </row>
    <row r="2049" spans="1:12" x14ac:dyDescent="0.2">
      <c r="A2049" s="4">
        <v>43437</v>
      </c>
      <c r="B2049" t="s">
        <v>531</v>
      </c>
      <c r="C2049">
        <v>1</v>
      </c>
      <c r="D2049">
        <v>6</v>
      </c>
      <c r="E2049">
        <f>12*0.0661387</f>
        <v>0.79366439999999994</v>
      </c>
      <c r="F2049" t="s">
        <v>415</v>
      </c>
      <c r="G2049" s="6" t="s">
        <v>913</v>
      </c>
      <c r="H2049" s="9" t="s">
        <v>1071</v>
      </c>
      <c r="I2049">
        <f t="shared" si="124"/>
        <v>4.7619863999999996</v>
      </c>
      <c r="J2049">
        <f t="shared" si="122"/>
        <v>2.1600006970837682</v>
      </c>
      <c r="K2049">
        <v>1.28</v>
      </c>
      <c r="L2049">
        <f t="shared" si="123"/>
        <v>2.7648008922672234</v>
      </c>
    </row>
    <row r="2050" spans="1:12" x14ac:dyDescent="0.2">
      <c r="A2050" s="4">
        <v>43434</v>
      </c>
      <c r="B2050" t="s">
        <v>538</v>
      </c>
      <c r="C2050">
        <v>1</v>
      </c>
      <c r="D2050">
        <v>6</v>
      </c>
      <c r="E2050">
        <f>66.5/16</f>
        <v>4.15625</v>
      </c>
      <c r="F2050" t="s">
        <v>427</v>
      </c>
      <c r="G2050" t="s">
        <v>862</v>
      </c>
      <c r="H2050" s="9" t="s">
        <v>1072</v>
      </c>
      <c r="I2050">
        <f t="shared" si="124"/>
        <v>24.9375</v>
      </c>
      <c r="J2050">
        <f t="shared" si="122"/>
        <v>11.311459726875</v>
      </c>
      <c r="K2050">
        <v>2.1480000000000001</v>
      </c>
      <c r="L2050">
        <f t="shared" si="123"/>
        <v>24.297015493327503</v>
      </c>
    </row>
    <row r="2051" spans="1:12" x14ac:dyDescent="0.2">
      <c r="A2051" s="4">
        <v>43437</v>
      </c>
      <c r="B2051" t="s">
        <v>538</v>
      </c>
      <c r="C2051">
        <v>1</v>
      </c>
      <c r="D2051">
        <v>6</v>
      </c>
      <c r="E2051">
        <f>66.5/16</f>
        <v>4.15625</v>
      </c>
      <c r="F2051" t="s">
        <v>427</v>
      </c>
      <c r="G2051" t="s">
        <v>862</v>
      </c>
      <c r="H2051" s="9" t="s">
        <v>1072</v>
      </c>
      <c r="I2051">
        <f t="shared" si="124"/>
        <v>24.9375</v>
      </c>
      <c r="J2051">
        <f t="shared" ref="J2051:J2114" si="125">CONVERT(I2051,"lbm","kg")</f>
        <v>11.311459726875</v>
      </c>
      <c r="K2051">
        <v>2.1480000000000001</v>
      </c>
      <c r="L2051">
        <f t="shared" ref="L2051:L2068" si="126">J2051*K2051</f>
        <v>24.297015493327503</v>
      </c>
    </row>
    <row r="2052" spans="1:12" x14ac:dyDescent="0.2">
      <c r="A2052" s="4">
        <v>43434</v>
      </c>
      <c r="B2052" t="s">
        <v>530</v>
      </c>
      <c r="C2052">
        <v>1</v>
      </c>
      <c r="D2052">
        <v>1</v>
      </c>
      <c r="E2052">
        <v>72.5</v>
      </c>
      <c r="F2052" t="s">
        <v>400</v>
      </c>
      <c r="G2052" t="s">
        <v>852</v>
      </c>
      <c r="H2052" s="9" t="s">
        <v>1072</v>
      </c>
      <c r="I2052">
        <f t="shared" si="124"/>
        <v>72.5</v>
      </c>
      <c r="J2052">
        <f t="shared" si="125"/>
        <v>32.885446825000002</v>
      </c>
      <c r="K2052">
        <v>2.5710000000000002</v>
      </c>
      <c r="L2052">
        <f t="shared" si="126"/>
        <v>84.548483787075014</v>
      </c>
    </row>
    <row r="2053" spans="1:12" x14ac:dyDescent="0.2">
      <c r="A2053" s="4">
        <v>43437</v>
      </c>
      <c r="B2053" t="s">
        <v>530</v>
      </c>
      <c r="C2053">
        <v>1</v>
      </c>
      <c r="D2053">
        <v>1</v>
      </c>
      <c r="E2053">
        <v>124.53</v>
      </c>
      <c r="F2053" t="s">
        <v>568</v>
      </c>
      <c r="G2053" t="s">
        <v>852</v>
      </c>
      <c r="H2053" s="9" t="s">
        <v>1072</v>
      </c>
      <c r="I2053">
        <f t="shared" si="124"/>
        <v>124.53</v>
      </c>
      <c r="J2053">
        <f t="shared" si="125"/>
        <v>56.485857836100003</v>
      </c>
      <c r="K2053">
        <v>2.5710000000000002</v>
      </c>
      <c r="L2053">
        <f t="shared" si="126"/>
        <v>145.22514049661311</v>
      </c>
    </row>
    <row r="2054" spans="1:12" x14ac:dyDescent="0.2">
      <c r="A2054" s="4">
        <v>43437</v>
      </c>
      <c r="B2054" t="s">
        <v>530</v>
      </c>
      <c r="C2054">
        <v>4</v>
      </c>
      <c r="D2054">
        <v>160</v>
      </c>
      <c r="E2054">
        <f>1/16</f>
        <v>6.25E-2</v>
      </c>
      <c r="F2054" t="s">
        <v>569</v>
      </c>
      <c r="G2054" t="s">
        <v>852</v>
      </c>
      <c r="H2054" s="9" t="s">
        <v>1072</v>
      </c>
      <c r="I2054">
        <f t="shared" si="124"/>
        <v>40</v>
      </c>
      <c r="J2054">
        <f t="shared" si="125"/>
        <v>18.143694800000002</v>
      </c>
      <c r="K2054">
        <v>2.5710000000000002</v>
      </c>
      <c r="L2054">
        <f t="shared" si="126"/>
        <v>46.647439330800012</v>
      </c>
    </row>
    <row r="2055" spans="1:12" x14ac:dyDescent="0.2">
      <c r="A2055" s="4">
        <v>43437</v>
      </c>
      <c r="B2055" t="s">
        <v>530</v>
      </c>
      <c r="C2055">
        <v>4</v>
      </c>
      <c r="D2055">
        <v>2</v>
      </c>
      <c r="E2055">
        <v>6</v>
      </c>
      <c r="F2055" t="s">
        <v>402</v>
      </c>
      <c r="G2055" t="s">
        <v>912</v>
      </c>
      <c r="H2055" s="9" t="s">
        <v>1072</v>
      </c>
      <c r="I2055">
        <f t="shared" si="124"/>
        <v>48</v>
      </c>
      <c r="J2055">
        <f t="shared" si="125"/>
        <v>21.772433760000002</v>
      </c>
      <c r="K2055">
        <v>2.5710000000000002</v>
      </c>
      <c r="L2055">
        <f t="shared" si="126"/>
        <v>55.976927196960006</v>
      </c>
    </row>
    <row r="2056" spans="1:12" x14ac:dyDescent="0.2">
      <c r="A2056" s="4">
        <v>43439</v>
      </c>
      <c r="B2056" t="s">
        <v>530</v>
      </c>
      <c r="C2056">
        <v>3</v>
      </c>
      <c r="D2056">
        <v>160</v>
      </c>
      <c r="E2056">
        <f>1/16</f>
        <v>6.25E-2</v>
      </c>
      <c r="F2056" t="s">
        <v>569</v>
      </c>
      <c r="G2056" t="s">
        <v>852</v>
      </c>
      <c r="H2056" s="9" t="s">
        <v>1072</v>
      </c>
      <c r="I2056">
        <f t="shared" si="124"/>
        <v>30</v>
      </c>
      <c r="J2056">
        <f t="shared" si="125"/>
        <v>13.607771100000001</v>
      </c>
      <c r="K2056">
        <v>2.5710000000000002</v>
      </c>
      <c r="L2056">
        <f t="shared" si="126"/>
        <v>34.985579498100002</v>
      </c>
    </row>
    <row r="2057" spans="1:12" x14ac:dyDescent="0.2">
      <c r="A2057" s="4">
        <v>43434</v>
      </c>
      <c r="B2057" t="s">
        <v>538</v>
      </c>
      <c r="C2057">
        <v>1</v>
      </c>
      <c r="D2057">
        <v>4</v>
      </c>
      <c r="E2057">
        <v>8.41</v>
      </c>
      <c r="F2057" t="s">
        <v>558</v>
      </c>
      <c r="G2057" t="s">
        <v>872</v>
      </c>
      <c r="H2057" s="9" t="s">
        <v>1071</v>
      </c>
      <c r="I2057">
        <f t="shared" si="124"/>
        <v>33.64</v>
      </c>
      <c r="J2057">
        <f t="shared" si="125"/>
        <v>15.258847326800002</v>
      </c>
      <c r="K2057">
        <v>0.34</v>
      </c>
      <c r="L2057">
        <f t="shared" si="126"/>
        <v>5.1880080911120006</v>
      </c>
    </row>
    <row r="2058" spans="1:12" x14ac:dyDescent="0.2">
      <c r="A2058" s="4">
        <v>43437</v>
      </c>
      <c r="B2058" t="s">
        <v>538</v>
      </c>
      <c r="C2058">
        <v>1</v>
      </c>
      <c r="D2058">
        <v>2</v>
      </c>
      <c r="E2058" s="6">
        <f>5*2.39</f>
        <v>11.950000000000001</v>
      </c>
      <c r="F2058" t="s">
        <v>450</v>
      </c>
      <c r="G2058" t="s">
        <v>872</v>
      </c>
      <c r="H2058" s="9" t="s">
        <v>1071</v>
      </c>
      <c r="I2058">
        <f t="shared" si="124"/>
        <v>23.900000000000002</v>
      </c>
      <c r="J2058">
        <f t="shared" si="125"/>
        <v>10.840857643000001</v>
      </c>
      <c r="K2058">
        <v>0.34</v>
      </c>
      <c r="L2058">
        <f t="shared" si="126"/>
        <v>3.6858915986200009</v>
      </c>
    </row>
    <row r="2059" spans="1:12" x14ac:dyDescent="0.2">
      <c r="A2059" s="4">
        <v>43439</v>
      </c>
      <c r="B2059" t="s">
        <v>538</v>
      </c>
      <c r="C2059">
        <v>1</v>
      </c>
      <c r="D2059">
        <v>4</v>
      </c>
      <c r="E2059">
        <v>8.41</v>
      </c>
      <c r="F2059" t="s">
        <v>596</v>
      </c>
      <c r="G2059" t="s">
        <v>872</v>
      </c>
      <c r="H2059" s="9" t="s">
        <v>1071</v>
      </c>
      <c r="I2059">
        <f t="shared" si="124"/>
        <v>33.64</v>
      </c>
      <c r="J2059">
        <f t="shared" si="125"/>
        <v>15.258847326800002</v>
      </c>
      <c r="K2059">
        <v>0.34</v>
      </c>
      <c r="L2059">
        <f t="shared" si="126"/>
        <v>5.1880080911120006</v>
      </c>
    </row>
    <row r="2060" spans="1:12" x14ac:dyDescent="0.2">
      <c r="A2060" s="4">
        <v>43437</v>
      </c>
      <c r="B2060" t="s">
        <v>538</v>
      </c>
      <c r="C2060">
        <v>1</v>
      </c>
      <c r="D2060">
        <v>6</v>
      </c>
      <c r="E2060">
        <v>2</v>
      </c>
      <c r="F2060" t="s">
        <v>570</v>
      </c>
      <c r="G2060" s="6" t="s">
        <v>985</v>
      </c>
      <c r="H2060" s="9" t="s">
        <v>1071</v>
      </c>
      <c r="I2060">
        <f t="shared" si="124"/>
        <v>12</v>
      </c>
      <c r="J2060">
        <f t="shared" si="125"/>
        <v>5.4431084400000005</v>
      </c>
      <c r="K2060">
        <v>0.34699999999999998</v>
      </c>
      <c r="L2060">
        <f t="shared" si="126"/>
        <v>1.88875862868</v>
      </c>
    </row>
    <row r="2061" spans="1:12" x14ac:dyDescent="0.2">
      <c r="A2061" s="4">
        <v>43437</v>
      </c>
      <c r="B2061" t="s">
        <v>538</v>
      </c>
      <c r="C2061">
        <v>1</v>
      </c>
      <c r="D2061">
        <v>4</v>
      </c>
      <c r="E2061">
        <v>8.41</v>
      </c>
      <c r="F2061" t="s">
        <v>576</v>
      </c>
      <c r="G2061" t="s">
        <v>873</v>
      </c>
      <c r="H2061" s="9" t="s">
        <v>1071</v>
      </c>
      <c r="I2061">
        <f t="shared" si="124"/>
        <v>33.64</v>
      </c>
      <c r="J2061">
        <f t="shared" si="125"/>
        <v>15.258847326800002</v>
      </c>
      <c r="K2061">
        <v>0.78</v>
      </c>
      <c r="L2061">
        <f t="shared" si="126"/>
        <v>11.901900914904001</v>
      </c>
    </row>
    <row r="2062" spans="1:12" x14ac:dyDescent="0.2">
      <c r="A2062" s="4">
        <v>43437</v>
      </c>
      <c r="B2062" t="s">
        <v>538</v>
      </c>
      <c r="C2062">
        <v>1</v>
      </c>
      <c r="D2062">
        <v>4</v>
      </c>
      <c r="E2062">
        <v>8.41</v>
      </c>
      <c r="F2062" t="s">
        <v>578</v>
      </c>
      <c r="G2062" t="s">
        <v>873</v>
      </c>
      <c r="H2062" s="9" t="s">
        <v>1071</v>
      </c>
      <c r="I2062">
        <f t="shared" si="124"/>
        <v>33.64</v>
      </c>
      <c r="J2062">
        <f t="shared" si="125"/>
        <v>15.258847326800002</v>
      </c>
      <c r="K2062">
        <v>0.78</v>
      </c>
      <c r="L2062">
        <f t="shared" si="126"/>
        <v>11.901900914904001</v>
      </c>
    </row>
    <row r="2063" spans="1:12" x14ac:dyDescent="0.2">
      <c r="A2063" s="4">
        <v>43439</v>
      </c>
      <c r="B2063" t="s">
        <v>538</v>
      </c>
      <c r="C2063">
        <v>1</v>
      </c>
      <c r="D2063">
        <v>8</v>
      </c>
      <c r="E2063">
        <f>12*0.0661387</f>
        <v>0.79366439999999994</v>
      </c>
      <c r="F2063" t="s">
        <v>599</v>
      </c>
      <c r="G2063" s="6" t="s">
        <v>856</v>
      </c>
      <c r="H2063" s="9" t="s">
        <v>1071</v>
      </c>
      <c r="I2063">
        <f t="shared" ref="I2063:I2124" si="127">C2063*D2063*E2063</f>
        <v>6.3493151999999995</v>
      </c>
      <c r="J2063">
        <f t="shared" si="125"/>
        <v>2.8800009294450239</v>
      </c>
      <c r="K2063">
        <v>1.28</v>
      </c>
      <c r="L2063">
        <f t="shared" si="126"/>
        <v>3.6864011896896307</v>
      </c>
    </row>
    <row r="2064" spans="1:12" x14ac:dyDescent="0.2">
      <c r="A2064" s="4">
        <v>43439</v>
      </c>
      <c r="B2064" t="s">
        <v>531</v>
      </c>
      <c r="C2064">
        <v>1</v>
      </c>
      <c r="D2064">
        <v>6</v>
      </c>
      <c r="E2064">
        <f>12*0.0661387</f>
        <v>0.79366439999999994</v>
      </c>
      <c r="F2064" t="s">
        <v>415</v>
      </c>
      <c r="G2064" s="6" t="s">
        <v>856</v>
      </c>
      <c r="H2064" s="9" t="s">
        <v>1071</v>
      </c>
      <c r="I2064">
        <f t="shared" si="127"/>
        <v>4.7619863999999996</v>
      </c>
      <c r="J2064">
        <f t="shared" si="125"/>
        <v>2.1600006970837682</v>
      </c>
      <c r="K2064">
        <v>1.28</v>
      </c>
      <c r="L2064">
        <f t="shared" si="126"/>
        <v>2.7648008922672234</v>
      </c>
    </row>
    <row r="2065" spans="1:12" x14ac:dyDescent="0.2">
      <c r="A2065" s="4">
        <v>43434</v>
      </c>
      <c r="B2065" t="s">
        <v>538</v>
      </c>
      <c r="C2065">
        <v>2</v>
      </c>
      <c r="D2065">
        <v>12</v>
      </c>
      <c r="E2065">
        <v>2</v>
      </c>
      <c r="F2065" t="s">
        <v>557</v>
      </c>
      <c r="G2065" s="14" t="s">
        <v>871</v>
      </c>
      <c r="H2065" s="9" t="s">
        <v>1071</v>
      </c>
      <c r="I2065">
        <f t="shared" si="127"/>
        <v>48</v>
      </c>
      <c r="J2065">
        <f t="shared" si="125"/>
        <v>21.772433760000002</v>
      </c>
      <c r="L2065">
        <f t="shared" si="126"/>
        <v>0</v>
      </c>
    </row>
    <row r="2066" spans="1:12" x14ac:dyDescent="0.2">
      <c r="A2066" s="4">
        <v>43434</v>
      </c>
      <c r="B2066" t="s">
        <v>517</v>
      </c>
      <c r="C2066">
        <v>10</v>
      </c>
      <c r="D2066">
        <v>2</v>
      </c>
      <c r="E2066">
        <v>6</v>
      </c>
      <c r="F2066" t="s">
        <v>383</v>
      </c>
      <c r="G2066" t="s">
        <v>846</v>
      </c>
      <c r="H2066" s="9" t="s">
        <v>1073</v>
      </c>
      <c r="I2066">
        <f t="shared" si="127"/>
        <v>120</v>
      </c>
      <c r="J2066">
        <f t="shared" si="125"/>
        <v>54.431084400000003</v>
      </c>
      <c r="K2066">
        <v>1.33</v>
      </c>
      <c r="L2066">
        <f t="shared" si="126"/>
        <v>72.393342252000011</v>
      </c>
    </row>
    <row r="2067" spans="1:12" x14ac:dyDescent="0.2">
      <c r="A2067" s="4">
        <v>43434</v>
      </c>
      <c r="B2067" t="s">
        <v>517</v>
      </c>
      <c r="C2067">
        <v>10</v>
      </c>
      <c r="D2067">
        <v>2</v>
      </c>
      <c r="E2067">
        <v>6</v>
      </c>
      <c r="F2067" t="s">
        <v>384</v>
      </c>
      <c r="G2067" t="s">
        <v>846</v>
      </c>
      <c r="H2067" s="9" t="s">
        <v>1073</v>
      </c>
      <c r="I2067">
        <f t="shared" si="127"/>
        <v>120</v>
      </c>
      <c r="J2067">
        <f t="shared" si="125"/>
        <v>54.431084400000003</v>
      </c>
      <c r="K2067">
        <v>1.33</v>
      </c>
      <c r="L2067">
        <f t="shared" si="126"/>
        <v>72.393342252000011</v>
      </c>
    </row>
    <row r="2068" spans="1:12" ht="17" thickBot="1" x14ac:dyDescent="0.25">
      <c r="A2068" s="26">
        <v>43439</v>
      </c>
      <c r="B2068" s="12" t="s">
        <v>517</v>
      </c>
      <c r="C2068" s="12">
        <v>2</v>
      </c>
      <c r="D2068" s="12">
        <v>2</v>
      </c>
      <c r="E2068" s="12">
        <v>6</v>
      </c>
      <c r="F2068" s="12" t="s">
        <v>384</v>
      </c>
      <c r="G2068" s="12" t="s">
        <v>846</v>
      </c>
      <c r="H2068" s="63" t="s">
        <v>1073</v>
      </c>
      <c r="I2068" s="12">
        <f t="shared" si="127"/>
        <v>24</v>
      </c>
      <c r="J2068" s="12">
        <f t="shared" si="125"/>
        <v>10.886216880000001</v>
      </c>
      <c r="K2068" s="12">
        <v>1.33</v>
      </c>
      <c r="L2068" s="12">
        <f t="shared" si="126"/>
        <v>14.478668450400002</v>
      </c>
    </row>
    <row r="2069" spans="1:12" x14ac:dyDescent="0.2">
      <c r="A2069" s="13">
        <v>43487</v>
      </c>
      <c r="B2069" s="6" t="s">
        <v>22</v>
      </c>
      <c r="C2069" s="6">
        <v>1</v>
      </c>
      <c r="D2069" s="6">
        <v>1</v>
      </c>
      <c r="E2069" s="6">
        <v>79.2</v>
      </c>
      <c r="F2069" s="6" t="s">
        <v>289</v>
      </c>
      <c r="G2069" s="6" t="s">
        <v>767</v>
      </c>
      <c r="H2069" s="6" t="s">
        <v>1071</v>
      </c>
      <c r="I2069">
        <f t="shared" si="127"/>
        <v>79.2</v>
      </c>
      <c r="J2069">
        <f t="shared" si="125"/>
        <v>35.924515704000008</v>
      </c>
      <c r="K2069">
        <v>0.22800000000000001</v>
      </c>
      <c r="L2069">
        <f t="shared" ref="L2069:L2132" si="128">K2069*J2069</f>
        <v>8.1907895805120017</v>
      </c>
    </row>
    <row r="2070" spans="1:12" x14ac:dyDescent="0.2">
      <c r="A2070" s="13">
        <v>43487</v>
      </c>
      <c r="B2070" s="6" t="s">
        <v>22</v>
      </c>
      <c r="C2070" s="6">
        <v>1</v>
      </c>
      <c r="D2070" s="6">
        <v>1</v>
      </c>
      <c r="E2070" s="6">
        <v>80</v>
      </c>
      <c r="F2070" s="6" t="s">
        <v>180</v>
      </c>
      <c r="G2070" s="6" t="s">
        <v>767</v>
      </c>
      <c r="H2070" s="6" t="s">
        <v>1071</v>
      </c>
      <c r="I2070">
        <f t="shared" si="127"/>
        <v>80</v>
      </c>
      <c r="J2070">
        <f t="shared" si="125"/>
        <v>36.287389600000004</v>
      </c>
      <c r="K2070">
        <v>0.22800000000000001</v>
      </c>
      <c r="L2070">
        <f t="shared" si="128"/>
        <v>8.2735248288000012</v>
      </c>
    </row>
    <row r="2071" spans="1:12" x14ac:dyDescent="0.2">
      <c r="A2071" s="13">
        <v>43487</v>
      </c>
      <c r="B2071" s="6" t="s">
        <v>22</v>
      </c>
      <c r="C2071" s="6">
        <v>1</v>
      </c>
      <c r="D2071" s="6">
        <v>1</v>
      </c>
      <c r="E2071" s="6">
        <v>69</v>
      </c>
      <c r="F2071" s="6" t="s">
        <v>607</v>
      </c>
      <c r="G2071" s="6" t="s">
        <v>767</v>
      </c>
      <c r="H2071" s="6" t="s">
        <v>1071</v>
      </c>
      <c r="I2071">
        <f t="shared" si="127"/>
        <v>69</v>
      </c>
      <c r="J2071">
        <f t="shared" si="125"/>
        <v>31.29787353</v>
      </c>
      <c r="K2071">
        <v>0.22800000000000001</v>
      </c>
      <c r="L2071">
        <f t="shared" si="128"/>
        <v>7.1359151648400001</v>
      </c>
    </row>
    <row r="2072" spans="1:12" x14ac:dyDescent="0.2">
      <c r="A2072" s="13">
        <v>43483</v>
      </c>
      <c r="B2072" s="6" t="s">
        <v>22</v>
      </c>
      <c r="C2072" s="6">
        <v>1</v>
      </c>
      <c r="D2072" s="6">
        <v>1</v>
      </c>
      <c r="E2072" s="6">
        <v>120</v>
      </c>
      <c r="F2072" s="6" t="s">
        <v>180</v>
      </c>
      <c r="G2072" s="6" t="s">
        <v>767</v>
      </c>
      <c r="H2072" s="6" t="s">
        <v>1071</v>
      </c>
      <c r="I2072">
        <f t="shared" si="127"/>
        <v>120</v>
      </c>
      <c r="J2072">
        <f t="shared" si="125"/>
        <v>54.431084400000003</v>
      </c>
      <c r="K2072">
        <v>0.22800000000000001</v>
      </c>
      <c r="L2072">
        <f t="shared" si="128"/>
        <v>12.410287243200001</v>
      </c>
    </row>
    <row r="2073" spans="1:12" x14ac:dyDescent="0.2">
      <c r="A2073" s="4">
        <v>43487</v>
      </c>
      <c r="B2073" t="s">
        <v>48</v>
      </c>
      <c r="C2073" s="28">
        <v>2</v>
      </c>
      <c r="D2073" s="6">
        <v>1</v>
      </c>
      <c r="E2073">
        <f>125*(1/3)</f>
        <v>41.666666666666664</v>
      </c>
      <c r="F2073" t="s">
        <v>476</v>
      </c>
      <c r="G2073" t="s">
        <v>835</v>
      </c>
      <c r="H2073" s="6" t="s">
        <v>1071</v>
      </c>
      <c r="I2073">
        <f t="shared" si="127"/>
        <v>83.333333333333329</v>
      </c>
      <c r="J2073">
        <f t="shared" si="125"/>
        <v>37.79936416666667</v>
      </c>
      <c r="K2073">
        <v>0.22800000000000001</v>
      </c>
      <c r="L2073">
        <f t="shared" si="128"/>
        <v>8.618255030000002</v>
      </c>
    </row>
    <row r="2074" spans="1:12" x14ac:dyDescent="0.2">
      <c r="A2074" s="4">
        <v>43487</v>
      </c>
      <c r="B2074" t="s">
        <v>48</v>
      </c>
      <c r="C2074" s="28">
        <v>3</v>
      </c>
      <c r="D2074" s="6">
        <v>1</v>
      </c>
      <c r="E2074">
        <f>88*1/3</f>
        <v>29.333333333333332</v>
      </c>
      <c r="F2074" t="s">
        <v>625</v>
      </c>
      <c r="G2074" t="s">
        <v>835</v>
      </c>
      <c r="H2074" s="6" t="s">
        <v>1071</v>
      </c>
      <c r="I2074">
        <f t="shared" si="127"/>
        <v>88</v>
      </c>
      <c r="J2074">
        <f t="shared" si="125"/>
        <v>39.916128560000004</v>
      </c>
      <c r="K2074">
        <v>0.22800000000000001</v>
      </c>
      <c r="L2074">
        <f t="shared" si="128"/>
        <v>9.1008773116800015</v>
      </c>
    </row>
    <row r="2075" spans="1:12" x14ac:dyDescent="0.2">
      <c r="A2075" s="13">
        <v>43483</v>
      </c>
      <c r="B2075" s="6" t="s">
        <v>22</v>
      </c>
      <c r="C2075" s="6">
        <v>1</v>
      </c>
      <c r="D2075" s="6">
        <v>1</v>
      </c>
      <c r="E2075" s="6">
        <v>118.8</v>
      </c>
      <c r="F2075" s="6" t="s">
        <v>289</v>
      </c>
      <c r="G2075" s="6" t="s">
        <v>754</v>
      </c>
      <c r="H2075" s="6" t="s">
        <v>1071</v>
      </c>
      <c r="I2075">
        <f t="shared" si="127"/>
        <v>118.8</v>
      </c>
      <c r="J2075">
        <f t="shared" si="125"/>
        <v>53.886773556000001</v>
      </c>
      <c r="K2075">
        <v>0.22800000000000001</v>
      </c>
      <c r="L2075">
        <f t="shared" si="128"/>
        <v>12.286184370768002</v>
      </c>
    </row>
    <row r="2076" spans="1:12" x14ac:dyDescent="0.2">
      <c r="A2076" s="4">
        <v>43484</v>
      </c>
      <c r="B2076" t="s">
        <v>48</v>
      </c>
      <c r="C2076" s="28">
        <v>4</v>
      </c>
      <c r="D2076" s="6">
        <v>1</v>
      </c>
      <c r="E2076">
        <v>10</v>
      </c>
      <c r="F2076" t="s">
        <v>636</v>
      </c>
      <c r="G2076" t="s">
        <v>754</v>
      </c>
      <c r="H2076" s="6" t="s">
        <v>1071</v>
      </c>
      <c r="I2076">
        <f t="shared" si="127"/>
        <v>40</v>
      </c>
      <c r="J2076">
        <f t="shared" si="125"/>
        <v>18.143694800000002</v>
      </c>
      <c r="K2076">
        <v>0.22800000000000001</v>
      </c>
      <c r="L2076">
        <f t="shared" si="128"/>
        <v>4.1367624144000006</v>
      </c>
    </row>
    <row r="2077" spans="1:12" x14ac:dyDescent="0.2">
      <c r="A2077" s="4">
        <v>43487</v>
      </c>
      <c r="B2077" t="s">
        <v>48</v>
      </c>
      <c r="C2077" s="28">
        <v>7</v>
      </c>
      <c r="D2077" s="6">
        <v>1</v>
      </c>
      <c r="E2077">
        <v>11</v>
      </c>
      <c r="F2077" t="s">
        <v>337</v>
      </c>
      <c r="G2077" t="s">
        <v>816</v>
      </c>
      <c r="H2077" s="6" t="s">
        <v>1071</v>
      </c>
      <c r="I2077">
        <f t="shared" si="127"/>
        <v>77</v>
      </c>
      <c r="J2077">
        <f t="shared" si="125"/>
        <v>34.926612490000004</v>
      </c>
      <c r="K2077">
        <v>2.1709999999999998</v>
      </c>
      <c r="L2077">
        <f t="shared" si="128"/>
        <v>75.825675715789998</v>
      </c>
    </row>
    <row r="2078" spans="1:12" x14ac:dyDescent="0.2">
      <c r="A2078" s="4">
        <v>43489</v>
      </c>
      <c r="B2078" t="s">
        <v>48</v>
      </c>
      <c r="C2078" s="28">
        <v>9</v>
      </c>
      <c r="D2078" s="6">
        <v>1</v>
      </c>
      <c r="E2078">
        <v>11</v>
      </c>
      <c r="F2078" t="s">
        <v>337</v>
      </c>
      <c r="G2078" t="s">
        <v>816</v>
      </c>
      <c r="H2078" s="6" t="s">
        <v>1071</v>
      </c>
      <c r="I2078">
        <f t="shared" si="127"/>
        <v>99</v>
      </c>
      <c r="J2078">
        <f t="shared" si="125"/>
        <v>44.905644630000005</v>
      </c>
      <c r="K2078">
        <v>2.1709999999999998</v>
      </c>
      <c r="L2078">
        <f t="shared" si="128"/>
        <v>97.490154491729996</v>
      </c>
    </row>
    <row r="2079" spans="1:12" x14ac:dyDescent="0.2">
      <c r="A2079" s="4">
        <v>43487</v>
      </c>
      <c r="B2079" t="s">
        <v>48</v>
      </c>
      <c r="C2079" s="28">
        <v>2</v>
      </c>
      <c r="D2079" s="6">
        <v>1</v>
      </c>
      <c r="E2079">
        <v>48</v>
      </c>
      <c r="F2079" t="s">
        <v>629</v>
      </c>
      <c r="G2079" t="s">
        <v>629</v>
      </c>
      <c r="H2079" s="6" t="s">
        <v>1071</v>
      </c>
      <c r="I2079">
        <f t="shared" si="127"/>
        <v>96</v>
      </c>
      <c r="J2079">
        <f t="shared" si="125"/>
        <v>43.544867520000004</v>
      </c>
      <c r="K2079">
        <v>0.54700000000000004</v>
      </c>
      <c r="L2079">
        <f t="shared" si="128"/>
        <v>23.819042533440005</v>
      </c>
    </row>
    <row r="2080" spans="1:12" x14ac:dyDescent="0.2">
      <c r="A2080" s="4">
        <v>43487</v>
      </c>
      <c r="B2080" t="s">
        <v>48</v>
      </c>
      <c r="C2080" s="28">
        <v>6</v>
      </c>
      <c r="D2080" s="6">
        <v>1</v>
      </c>
      <c r="E2080">
        <v>40</v>
      </c>
      <c r="F2080" t="s">
        <v>249</v>
      </c>
      <c r="G2080" t="s">
        <v>783</v>
      </c>
      <c r="H2080" s="6" t="s">
        <v>1071</v>
      </c>
      <c r="I2080">
        <f t="shared" si="127"/>
        <v>240</v>
      </c>
      <c r="J2080">
        <f t="shared" si="125"/>
        <v>108.86216880000001</v>
      </c>
      <c r="K2080">
        <v>0.374</v>
      </c>
      <c r="L2080">
        <f t="shared" si="128"/>
        <v>40.714451131200001</v>
      </c>
    </row>
    <row r="2081" spans="1:12" x14ac:dyDescent="0.2">
      <c r="A2081" s="4">
        <v>43489</v>
      </c>
      <c r="B2081" t="s">
        <v>48</v>
      </c>
      <c r="C2081" s="28">
        <v>4</v>
      </c>
      <c r="D2081" s="6">
        <v>1</v>
      </c>
      <c r="E2081">
        <v>40</v>
      </c>
      <c r="F2081" t="s">
        <v>249</v>
      </c>
      <c r="G2081" t="s">
        <v>783</v>
      </c>
      <c r="H2081" s="6" t="s">
        <v>1071</v>
      </c>
      <c r="I2081">
        <f t="shared" si="127"/>
        <v>160</v>
      </c>
      <c r="J2081">
        <f t="shared" si="125"/>
        <v>72.574779200000009</v>
      </c>
      <c r="K2081">
        <v>0.374</v>
      </c>
      <c r="L2081">
        <f t="shared" si="128"/>
        <v>27.142967420800002</v>
      </c>
    </row>
    <row r="2082" spans="1:12" x14ac:dyDescent="0.2">
      <c r="A2082" s="4">
        <v>43488</v>
      </c>
      <c r="B2082" t="s">
        <v>48</v>
      </c>
      <c r="C2082" s="28">
        <v>10</v>
      </c>
      <c r="D2082" s="6">
        <v>1</v>
      </c>
      <c r="E2082">
        <v>40</v>
      </c>
      <c r="F2082" t="s">
        <v>249</v>
      </c>
      <c r="G2082" t="s">
        <v>783</v>
      </c>
      <c r="H2082" s="6" t="s">
        <v>1071</v>
      </c>
      <c r="I2082">
        <f t="shared" si="127"/>
        <v>400</v>
      </c>
      <c r="J2082">
        <f t="shared" si="125"/>
        <v>181.436948</v>
      </c>
      <c r="K2082">
        <v>0.374</v>
      </c>
      <c r="L2082">
        <f t="shared" si="128"/>
        <v>67.857418551999999</v>
      </c>
    </row>
    <row r="2083" spans="1:12" x14ac:dyDescent="0.2">
      <c r="A2083" s="4">
        <v>43484</v>
      </c>
      <c r="B2083" t="s">
        <v>48</v>
      </c>
      <c r="C2083" s="28">
        <v>6</v>
      </c>
      <c r="D2083" s="6">
        <v>1</v>
      </c>
      <c r="E2083">
        <v>40</v>
      </c>
      <c r="F2083" t="s">
        <v>249</v>
      </c>
      <c r="G2083" t="s">
        <v>783</v>
      </c>
      <c r="H2083" s="6" t="s">
        <v>1071</v>
      </c>
      <c r="I2083">
        <f t="shared" si="127"/>
        <v>240</v>
      </c>
      <c r="J2083">
        <f t="shared" si="125"/>
        <v>108.86216880000001</v>
      </c>
      <c r="K2083">
        <v>0.374</v>
      </c>
      <c r="L2083">
        <f t="shared" si="128"/>
        <v>40.714451131200001</v>
      </c>
    </row>
    <row r="2084" spans="1:12" x14ac:dyDescent="0.2">
      <c r="A2084" s="4">
        <v>43483</v>
      </c>
      <c r="B2084" t="s">
        <v>48</v>
      </c>
      <c r="C2084" s="28">
        <v>8</v>
      </c>
      <c r="D2084" s="6">
        <v>1</v>
      </c>
      <c r="E2084">
        <v>40</v>
      </c>
      <c r="F2084" t="s">
        <v>249</v>
      </c>
      <c r="G2084" t="s">
        <v>783</v>
      </c>
      <c r="H2084" s="6" t="s">
        <v>1071</v>
      </c>
      <c r="I2084">
        <f t="shared" si="127"/>
        <v>320</v>
      </c>
      <c r="J2084">
        <f t="shared" si="125"/>
        <v>145.14955840000002</v>
      </c>
      <c r="K2084">
        <v>0.374</v>
      </c>
      <c r="L2084">
        <f t="shared" si="128"/>
        <v>54.285934841600003</v>
      </c>
    </row>
    <row r="2085" spans="1:12" x14ac:dyDescent="0.2">
      <c r="A2085" s="4">
        <v>43483</v>
      </c>
      <c r="B2085" t="s">
        <v>538</v>
      </c>
      <c r="C2085">
        <v>1</v>
      </c>
      <c r="D2085">
        <v>12</v>
      </c>
      <c r="E2085">
        <v>1</v>
      </c>
      <c r="F2085" t="s">
        <v>426</v>
      </c>
      <c r="G2085" t="s">
        <v>929</v>
      </c>
      <c r="H2085" s="6" t="s">
        <v>1071</v>
      </c>
      <c r="I2085">
        <f t="shared" si="127"/>
        <v>12</v>
      </c>
      <c r="J2085">
        <f t="shared" si="125"/>
        <v>5.4431084400000005</v>
      </c>
      <c r="K2085">
        <v>0.39300000000000002</v>
      </c>
      <c r="L2085">
        <f t="shared" si="128"/>
        <v>2.1391416169200004</v>
      </c>
    </row>
    <row r="2086" spans="1:12" x14ac:dyDescent="0.2">
      <c r="A2086" s="4">
        <v>43486</v>
      </c>
      <c r="B2086" t="s">
        <v>538</v>
      </c>
      <c r="C2086">
        <v>1</v>
      </c>
      <c r="D2086">
        <v>12</v>
      </c>
      <c r="E2086">
        <v>1</v>
      </c>
      <c r="F2086" t="s">
        <v>426</v>
      </c>
      <c r="G2086" t="s">
        <v>929</v>
      </c>
      <c r="H2086" s="6" t="s">
        <v>1071</v>
      </c>
      <c r="I2086">
        <f t="shared" si="127"/>
        <v>12</v>
      </c>
      <c r="J2086">
        <f t="shared" si="125"/>
        <v>5.4431084400000005</v>
      </c>
      <c r="K2086">
        <v>0.39300000000000002</v>
      </c>
      <c r="L2086">
        <f t="shared" si="128"/>
        <v>2.1391416169200004</v>
      </c>
    </row>
    <row r="2087" spans="1:12" x14ac:dyDescent="0.2">
      <c r="A2087" s="4">
        <v>43487</v>
      </c>
      <c r="B2087" t="s">
        <v>48</v>
      </c>
      <c r="C2087" s="28">
        <v>2</v>
      </c>
      <c r="D2087" s="6">
        <v>1</v>
      </c>
      <c r="E2087">
        <v>1</v>
      </c>
      <c r="F2087" t="s">
        <v>305</v>
      </c>
      <c r="G2087" t="s">
        <v>184</v>
      </c>
      <c r="H2087" s="6" t="s">
        <v>1071</v>
      </c>
      <c r="I2087">
        <f t="shared" si="127"/>
        <v>2</v>
      </c>
      <c r="J2087">
        <f t="shared" si="125"/>
        <v>0.90718474000000004</v>
      </c>
      <c r="K2087">
        <v>0.221</v>
      </c>
      <c r="L2087">
        <f t="shared" si="128"/>
        <v>0.20048782754000002</v>
      </c>
    </row>
    <row r="2088" spans="1:12" x14ac:dyDescent="0.2">
      <c r="A2088" s="4">
        <v>43489</v>
      </c>
      <c r="B2088" t="s">
        <v>48</v>
      </c>
      <c r="C2088" s="28">
        <v>3</v>
      </c>
      <c r="D2088" s="6">
        <v>1</v>
      </c>
      <c r="E2088">
        <v>1</v>
      </c>
      <c r="F2088" t="s">
        <v>305</v>
      </c>
      <c r="G2088" t="s">
        <v>184</v>
      </c>
      <c r="H2088" s="6" t="s">
        <v>1071</v>
      </c>
      <c r="I2088">
        <f t="shared" si="127"/>
        <v>3</v>
      </c>
      <c r="J2088">
        <f t="shared" si="125"/>
        <v>1.3607771100000001</v>
      </c>
      <c r="K2088">
        <v>0.221</v>
      </c>
      <c r="L2088">
        <f t="shared" si="128"/>
        <v>0.30073174131000002</v>
      </c>
    </row>
    <row r="2089" spans="1:12" x14ac:dyDescent="0.2">
      <c r="A2089" s="4">
        <v>43488</v>
      </c>
      <c r="B2089" t="s">
        <v>48</v>
      </c>
      <c r="C2089" s="28">
        <v>3</v>
      </c>
      <c r="D2089" s="6">
        <v>1</v>
      </c>
      <c r="E2089">
        <v>1</v>
      </c>
      <c r="F2089" t="s">
        <v>305</v>
      </c>
      <c r="G2089" t="s">
        <v>184</v>
      </c>
      <c r="H2089" s="6" t="s">
        <v>1071</v>
      </c>
      <c r="I2089">
        <f t="shared" si="127"/>
        <v>3</v>
      </c>
      <c r="J2089">
        <f t="shared" si="125"/>
        <v>1.3607771100000001</v>
      </c>
      <c r="K2089">
        <v>0.221</v>
      </c>
      <c r="L2089">
        <f t="shared" si="128"/>
        <v>0.30073174131000002</v>
      </c>
    </row>
    <row r="2090" spans="1:12" x14ac:dyDescent="0.2">
      <c r="A2090" s="4">
        <v>43483</v>
      </c>
      <c r="B2090" t="s">
        <v>48</v>
      </c>
      <c r="C2090" s="28">
        <v>3</v>
      </c>
      <c r="D2090" s="6">
        <v>1</v>
      </c>
      <c r="E2090">
        <v>1</v>
      </c>
      <c r="F2090" t="s">
        <v>305</v>
      </c>
      <c r="G2090" t="s">
        <v>184</v>
      </c>
      <c r="H2090" s="6" t="s">
        <v>1071</v>
      </c>
      <c r="I2090">
        <f t="shared" si="127"/>
        <v>3</v>
      </c>
      <c r="J2090">
        <f t="shared" si="125"/>
        <v>1.3607771100000001</v>
      </c>
      <c r="K2090">
        <v>0.221</v>
      </c>
      <c r="L2090">
        <f t="shared" si="128"/>
        <v>0.30073174131000002</v>
      </c>
    </row>
    <row r="2091" spans="1:12" x14ac:dyDescent="0.2">
      <c r="A2091" s="4">
        <v>43483</v>
      </c>
      <c r="B2091" t="s">
        <v>538</v>
      </c>
      <c r="C2091">
        <v>1</v>
      </c>
      <c r="D2091">
        <v>6</v>
      </c>
      <c r="E2091">
        <v>10</v>
      </c>
      <c r="F2091" t="s">
        <v>655</v>
      </c>
      <c r="G2091" t="s">
        <v>844</v>
      </c>
      <c r="H2091" s="6" t="s">
        <v>1071</v>
      </c>
      <c r="I2091">
        <f t="shared" si="127"/>
        <v>60</v>
      </c>
      <c r="J2091">
        <f t="shared" si="125"/>
        <v>27.215542200000002</v>
      </c>
      <c r="K2091">
        <v>0.308</v>
      </c>
      <c r="L2091">
        <f t="shared" si="128"/>
        <v>8.3823869976000012</v>
      </c>
    </row>
    <row r="2092" spans="1:12" x14ac:dyDescent="0.2">
      <c r="A2092" s="4">
        <v>43483</v>
      </c>
      <c r="B2092" t="s">
        <v>538</v>
      </c>
      <c r="C2092">
        <v>3</v>
      </c>
      <c r="D2092">
        <v>6</v>
      </c>
      <c r="E2092">
        <v>10</v>
      </c>
      <c r="F2092" t="s">
        <v>420</v>
      </c>
      <c r="G2092" t="s">
        <v>898</v>
      </c>
      <c r="H2092" s="6" t="s">
        <v>1071</v>
      </c>
      <c r="I2092">
        <f t="shared" si="127"/>
        <v>180</v>
      </c>
      <c r="J2092">
        <f t="shared" si="125"/>
        <v>81.646626600000005</v>
      </c>
      <c r="K2092">
        <v>0.308</v>
      </c>
      <c r="L2092">
        <f t="shared" si="128"/>
        <v>25.1471609928</v>
      </c>
    </row>
    <row r="2093" spans="1:12" x14ac:dyDescent="0.2">
      <c r="A2093" s="4">
        <v>43483</v>
      </c>
      <c r="B2093" t="s">
        <v>538</v>
      </c>
      <c r="C2093">
        <v>1</v>
      </c>
      <c r="D2093">
        <v>1</v>
      </c>
      <c r="E2093">
        <v>20</v>
      </c>
      <c r="F2093" t="s">
        <v>665</v>
      </c>
      <c r="G2093" t="s">
        <v>979</v>
      </c>
      <c r="H2093" s="6" t="s">
        <v>1071</v>
      </c>
      <c r="I2093">
        <f t="shared" si="127"/>
        <v>20</v>
      </c>
      <c r="J2093">
        <f t="shared" si="125"/>
        <v>9.0718474000000011</v>
      </c>
      <c r="K2093">
        <v>0.308</v>
      </c>
      <c r="L2093">
        <f t="shared" si="128"/>
        <v>2.7941289992000002</v>
      </c>
    </row>
    <row r="2094" spans="1:12" x14ac:dyDescent="0.2">
      <c r="A2094" s="4">
        <v>43483</v>
      </c>
      <c r="B2094" t="s">
        <v>538</v>
      </c>
      <c r="C2094">
        <v>1</v>
      </c>
      <c r="D2094">
        <v>1</v>
      </c>
      <c r="E2094">
        <v>20</v>
      </c>
      <c r="F2094" t="s">
        <v>437</v>
      </c>
      <c r="G2094" t="s">
        <v>974</v>
      </c>
      <c r="H2094" s="6" t="s">
        <v>1071</v>
      </c>
      <c r="I2094">
        <f t="shared" si="127"/>
        <v>20</v>
      </c>
      <c r="J2094">
        <f t="shared" si="125"/>
        <v>9.0718474000000011</v>
      </c>
      <c r="K2094">
        <v>0.308</v>
      </c>
      <c r="L2094">
        <f t="shared" si="128"/>
        <v>2.7941289992000002</v>
      </c>
    </row>
    <row r="2095" spans="1:12" x14ac:dyDescent="0.2">
      <c r="A2095" s="4">
        <v>43486</v>
      </c>
      <c r="B2095" t="s">
        <v>538</v>
      </c>
      <c r="C2095">
        <v>1</v>
      </c>
      <c r="D2095">
        <v>1</v>
      </c>
      <c r="E2095">
        <v>20</v>
      </c>
      <c r="F2095" t="s">
        <v>437</v>
      </c>
      <c r="G2095" t="s">
        <v>974</v>
      </c>
      <c r="H2095" s="6" t="s">
        <v>1071</v>
      </c>
      <c r="I2095">
        <f t="shared" si="127"/>
        <v>20</v>
      </c>
      <c r="J2095">
        <f t="shared" si="125"/>
        <v>9.0718474000000011</v>
      </c>
      <c r="K2095">
        <v>0.308</v>
      </c>
      <c r="L2095">
        <f t="shared" si="128"/>
        <v>2.7941289992000002</v>
      </c>
    </row>
    <row r="2096" spans="1:12" x14ac:dyDescent="0.2">
      <c r="A2096" s="4">
        <v>43483</v>
      </c>
      <c r="B2096" t="s">
        <v>538</v>
      </c>
      <c r="C2096">
        <v>1</v>
      </c>
      <c r="D2096">
        <v>1</v>
      </c>
      <c r="E2096">
        <v>20</v>
      </c>
      <c r="F2096" t="s">
        <v>658</v>
      </c>
      <c r="G2096" t="s">
        <v>922</v>
      </c>
      <c r="H2096" s="6" t="s">
        <v>1071</v>
      </c>
      <c r="I2096">
        <f t="shared" si="127"/>
        <v>20</v>
      </c>
      <c r="J2096">
        <f t="shared" si="125"/>
        <v>9.0718474000000011</v>
      </c>
      <c r="K2096">
        <v>0.308</v>
      </c>
      <c r="L2096">
        <f t="shared" si="128"/>
        <v>2.7941289992000002</v>
      </c>
    </row>
    <row r="2097" spans="1:12" x14ac:dyDescent="0.2">
      <c r="A2097" s="4">
        <v>43488</v>
      </c>
      <c r="B2097" t="s">
        <v>538</v>
      </c>
      <c r="C2097">
        <v>1</v>
      </c>
      <c r="D2097">
        <v>1</v>
      </c>
      <c r="E2097">
        <v>20</v>
      </c>
      <c r="F2097" t="s">
        <v>658</v>
      </c>
      <c r="G2097" t="s">
        <v>922</v>
      </c>
      <c r="H2097" s="6" t="s">
        <v>1071</v>
      </c>
      <c r="I2097">
        <f t="shared" si="127"/>
        <v>20</v>
      </c>
      <c r="J2097">
        <f t="shared" si="125"/>
        <v>9.0718474000000011</v>
      </c>
      <c r="K2097">
        <v>0.308</v>
      </c>
      <c r="L2097">
        <f t="shared" si="128"/>
        <v>2.7941289992000002</v>
      </c>
    </row>
    <row r="2098" spans="1:12" x14ac:dyDescent="0.2">
      <c r="A2098" s="4">
        <v>43483</v>
      </c>
      <c r="B2098" t="s">
        <v>538</v>
      </c>
      <c r="C2098">
        <v>1</v>
      </c>
      <c r="D2098">
        <v>1</v>
      </c>
      <c r="E2098">
        <v>20</v>
      </c>
      <c r="F2098" t="s">
        <v>591</v>
      </c>
      <c r="G2098" t="s">
        <v>972</v>
      </c>
      <c r="H2098" s="6" t="s">
        <v>1071</v>
      </c>
      <c r="I2098">
        <f t="shared" si="127"/>
        <v>20</v>
      </c>
      <c r="J2098">
        <f t="shared" si="125"/>
        <v>9.0718474000000011</v>
      </c>
      <c r="K2098">
        <v>0.308</v>
      </c>
      <c r="L2098">
        <f t="shared" si="128"/>
        <v>2.7941289992000002</v>
      </c>
    </row>
    <row r="2099" spans="1:12" x14ac:dyDescent="0.2">
      <c r="A2099" s="4">
        <v>43488</v>
      </c>
      <c r="B2099" t="s">
        <v>48</v>
      </c>
      <c r="C2099" s="28">
        <v>4</v>
      </c>
      <c r="D2099" s="6">
        <v>1</v>
      </c>
      <c r="E2099">
        <v>10</v>
      </c>
      <c r="F2099" t="s">
        <v>487</v>
      </c>
      <c r="G2099" t="s">
        <v>833</v>
      </c>
      <c r="H2099" s="6" t="s">
        <v>1071</v>
      </c>
      <c r="I2099">
        <f t="shared" si="127"/>
        <v>40</v>
      </c>
      <c r="J2099">
        <f t="shared" si="125"/>
        <v>18.143694800000002</v>
      </c>
      <c r="K2099">
        <v>0.754</v>
      </c>
      <c r="L2099">
        <f t="shared" si="128"/>
        <v>13.680345879200003</v>
      </c>
    </row>
    <row r="2100" spans="1:12" x14ac:dyDescent="0.2">
      <c r="A2100" s="4">
        <v>43483</v>
      </c>
      <c r="B2100" t="s">
        <v>48</v>
      </c>
      <c r="C2100" s="28">
        <v>1</v>
      </c>
      <c r="D2100" s="6">
        <v>1</v>
      </c>
      <c r="E2100">
        <v>10</v>
      </c>
      <c r="F2100" t="s">
        <v>358</v>
      </c>
      <c r="G2100" t="s">
        <v>833</v>
      </c>
      <c r="H2100" s="6" t="s">
        <v>1071</v>
      </c>
      <c r="I2100">
        <f t="shared" si="127"/>
        <v>10</v>
      </c>
      <c r="J2100">
        <f t="shared" si="125"/>
        <v>4.5359237000000006</v>
      </c>
      <c r="K2100">
        <v>0.754</v>
      </c>
      <c r="L2100">
        <f t="shared" si="128"/>
        <v>3.4200864698000006</v>
      </c>
    </row>
    <row r="2101" spans="1:12" x14ac:dyDescent="0.2">
      <c r="A2101" s="4">
        <v>43483</v>
      </c>
      <c r="B2101" t="s">
        <v>48</v>
      </c>
      <c r="C2101" s="28">
        <v>2</v>
      </c>
      <c r="D2101" s="6">
        <v>1</v>
      </c>
      <c r="E2101">
        <v>10</v>
      </c>
      <c r="F2101" t="s">
        <v>487</v>
      </c>
      <c r="G2101" t="s">
        <v>833</v>
      </c>
      <c r="H2101" s="6" t="s">
        <v>1071</v>
      </c>
      <c r="I2101">
        <f t="shared" si="127"/>
        <v>20</v>
      </c>
      <c r="J2101">
        <f t="shared" si="125"/>
        <v>9.0718474000000011</v>
      </c>
      <c r="K2101">
        <v>0.754</v>
      </c>
      <c r="L2101">
        <f t="shared" si="128"/>
        <v>6.8401729396000013</v>
      </c>
    </row>
    <row r="2102" spans="1:12" x14ac:dyDescent="0.2">
      <c r="A2102" s="4">
        <v>43486</v>
      </c>
      <c r="B2102" t="s">
        <v>538</v>
      </c>
      <c r="C2102">
        <v>1</v>
      </c>
      <c r="D2102">
        <v>6</v>
      </c>
      <c r="E2102">
        <v>10</v>
      </c>
      <c r="F2102" t="s">
        <v>420</v>
      </c>
      <c r="G2102" t="s">
        <v>984</v>
      </c>
      <c r="H2102" s="6" t="s">
        <v>1071</v>
      </c>
      <c r="I2102">
        <f t="shared" si="127"/>
        <v>60</v>
      </c>
      <c r="J2102">
        <f t="shared" si="125"/>
        <v>27.215542200000002</v>
      </c>
      <c r="K2102">
        <v>0.308</v>
      </c>
      <c r="L2102">
        <f t="shared" si="128"/>
        <v>8.3823869976000012</v>
      </c>
    </row>
    <row r="2103" spans="1:12" x14ac:dyDescent="0.2">
      <c r="A2103" s="4">
        <v>43486</v>
      </c>
      <c r="B2103" t="s">
        <v>48</v>
      </c>
      <c r="C2103" s="28">
        <v>6</v>
      </c>
      <c r="D2103" s="6">
        <v>1</v>
      </c>
      <c r="E2103">
        <v>10</v>
      </c>
      <c r="F2103" t="s">
        <v>347</v>
      </c>
      <c r="G2103" t="s">
        <v>936</v>
      </c>
      <c r="H2103" s="6" t="s">
        <v>1071</v>
      </c>
      <c r="I2103">
        <f t="shared" si="127"/>
        <v>60</v>
      </c>
      <c r="J2103">
        <f t="shared" si="125"/>
        <v>27.215542200000002</v>
      </c>
      <c r="K2103">
        <v>0.66200000000000003</v>
      </c>
      <c r="L2103">
        <f t="shared" si="128"/>
        <v>18.016688936400001</v>
      </c>
    </row>
    <row r="2104" spans="1:12" x14ac:dyDescent="0.2">
      <c r="A2104" s="4">
        <v>43487</v>
      </c>
      <c r="B2104" t="s">
        <v>48</v>
      </c>
      <c r="C2104" s="28">
        <v>6</v>
      </c>
      <c r="D2104" s="6">
        <v>1</v>
      </c>
      <c r="E2104">
        <v>10</v>
      </c>
      <c r="F2104" t="s">
        <v>347</v>
      </c>
      <c r="G2104" t="s">
        <v>936</v>
      </c>
      <c r="H2104" s="6" t="s">
        <v>1071</v>
      </c>
      <c r="I2104">
        <f t="shared" si="127"/>
        <v>60</v>
      </c>
      <c r="J2104">
        <f t="shared" si="125"/>
        <v>27.215542200000002</v>
      </c>
      <c r="K2104">
        <v>0.66200000000000003</v>
      </c>
      <c r="L2104">
        <f t="shared" si="128"/>
        <v>18.016688936400001</v>
      </c>
    </row>
    <row r="2105" spans="1:12" x14ac:dyDescent="0.2">
      <c r="A2105" s="4">
        <v>43488</v>
      </c>
      <c r="B2105" t="s">
        <v>48</v>
      </c>
      <c r="C2105" s="28">
        <v>8</v>
      </c>
      <c r="D2105" s="6">
        <v>1</v>
      </c>
      <c r="E2105">
        <v>10</v>
      </c>
      <c r="F2105" t="s">
        <v>347</v>
      </c>
      <c r="G2105" t="s">
        <v>936</v>
      </c>
      <c r="H2105" s="6" t="s">
        <v>1071</v>
      </c>
      <c r="I2105">
        <f t="shared" si="127"/>
        <v>80</v>
      </c>
      <c r="J2105">
        <f t="shared" si="125"/>
        <v>36.287389600000004</v>
      </c>
      <c r="K2105">
        <v>0.66200000000000003</v>
      </c>
      <c r="L2105">
        <f t="shared" si="128"/>
        <v>24.022251915200005</v>
      </c>
    </row>
    <row r="2106" spans="1:12" x14ac:dyDescent="0.2">
      <c r="A2106" s="4">
        <v>43483</v>
      </c>
      <c r="B2106" t="s">
        <v>48</v>
      </c>
      <c r="C2106" s="28">
        <v>9</v>
      </c>
      <c r="D2106" s="6">
        <v>1</v>
      </c>
      <c r="E2106">
        <v>10</v>
      </c>
      <c r="F2106" t="s">
        <v>347</v>
      </c>
      <c r="G2106" t="s">
        <v>936</v>
      </c>
      <c r="H2106" s="6" t="s">
        <v>1071</v>
      </c>
      <c r="I2106">
        <f t="shared" si="127"/>
        <v>90</v>
      </c>
      <c r="J2106">
        <f t="shared" si="125"/>
        <v>40.823313300000002</v>
      </c>
      <c r="K2106">
        <v>0.66200000000000003</v>
      </c>
      <c r="L2106">
        <f t="shared" si="128"/>
        <v>27.025033404600002</v>
      </c>
    </row>
    <row r="2107" spans="1:12" x14ac:dyDescent="0.2">
      <c r="A2107" s="13">
        <v>43489</v>
      </c>
      <c r="B2107" s="6" t="s">
        <v>175</v>
      </c>
      <c r="C2107" s="6">
        <v>1</v>
      </c>
      <c r="D2107" s="6">
        <v>1</v>
      </c>
      <c r="E2107" s="6">
        <v>142</v>
      </c>
      <c r="F2107" s="6" t="s">
        <v>602</v>
      </c>
      <c r="G2107" s="6" t="s">
        <v>10</v>
      </c>
      <c r="H2107" s="6" t="s">
        <v>1072</v>
      </c>
      <c r="I2107">
        <f t="shared" si="127"/>
        <v>142</v>
      </c>
      <c r="J2107">
        <f t="shared" si="125"/>
        <v>64.410116540000004</v>
      </c>
      <c r="K2107">
        <v>32.845999999999997</v>
      </c>
      <c r="L2107">
        <f t="shared" si="128"/>
        <v>2115.61468787284</v>
      </c>
    </row>
    <row r="2108" spans="1:12" x14ac:dyDescent="0.2">
      <c r="A2108" s="13">
        <v>43489</v>
      </c>
      <c r="B2108" s="6" t="s">
        <v>175</v>
      </c>
      <c r="C2108" s="6">
        <v>1</v>
      </c>
      <c r="D2108" s="6">
        <v>1</v>
      </c>
      <c r="E2108" s="6">
        <v>40.549999999999997</v>
      </c>
      <c r="F2108" s="6" t="s">
        <v>177</v>
      </c>
      <c r="G2108" s="6" t="s">
        <v>10</v>
      </c>
      <c r="H2108" s="6" t="s">
        <v>1072</v>
      </c>
      <c r="I2108">
        <f t="shared" si="127"/>
        <v>40.549999999999997</v>
      </c>
      <c r="J2108">
        <f t="shared" si="125"/>
        <v>18.3931706035</v>
      </c>
      <c r="K2108">
        <v>32.845999999999997</v>
      </c>
      <c r="L2108">
        <f t="shared" si="128"/>
        <v>604.14208164256092</v>
      </c>
    </row>
    <row r="2109" spans="1:12" x14ac:dyDescent="0.2">
      <c r="A2109" s="4">
        <v>43484</v>
      </c>
      <c r="B2109" t="s">
        <v>9</v>
      </c>
      <c r="C2109" s="6">
        <v>1</v>
      </c>
      <c r="D2109" s="6">
        <v>1</v>
      </c>
      <c r="E2109" s="6">
        <v>150</v>
      </c>
      <c r="F2109" s="6" t="s">
        <v>12</v>
      </c>
      <c r="G2109" s="6" t="s">
        <v>10</v>
      </c>
      <c r="H2109" s="6" t="s">
        <v>1072</v>
      </c>
      <c r="I2109">
        <f t="shared" si="127"/>
        <v>150</v>
      </c>
      <c r="J2109">
        <f t="shared" si="125"/>
        <v>68.038855500000011</v>
      </c>
      <c r="K2109">
        <v>32.845999999999997</v>
      </c>
      <c r="L2109">
        <f t="shared" si="128"/>
        <v>2234.8042477530003</v>
      </c>
    </row>
    <row r="2110" spans="1:12" x14ac:dyDescent="0.2">
      <c r="A2110" s="4">
        <v>43483</v>
      </c>
      <c r="B2110" t="s">
        <v>525</v>
      </c>
      <c r="C2110">
        <v>1</v>
      </c>
      <c r="D2110">
        <v>2</v>
      </c>
      <c r="E2110">
        <v>5</v>
      </c>
      <c r="F2110" t="s">
        <v>647</v>
      </c>
      <c r="G2110" t="s">
        <v>10</v>
      </c>
      <c r="H2110" s="6" t="s">
        <v>1072</v>
      </c>
      <c r="I2110">
        <f t="shared" si="127"/>
        <v>10</v>
      </c>
      <c r="J2110">
        <f t="shared" si="125"/>
        <v>4.5359237000000006</v>
      </c>
      <c r="K2110">
        <v>32.845999999999997</v>
      </c>
      <c r="L2110">
        <f t="shared" si="128"/>
        <v>148.98694985020001</v>
      </c>
    </row>
    <row r="2111" spans="1:12" x14ac:dyDescent="0.2">
      <c r="A2111" s="4">
        <v>43483</v>
      </c>
      <c r="B2111" t="s">
        <v>525</v>
      </c>
      <c r="C2111">
        <v>7</v>
      </c>
      <c r="D2111">
        <v>1</v>
      </c>
      <c r="E2111">
        <v>10</v>
      </c>
      <c r="F2111" t="s">
        <v>588</v>
      </c>
      <c r="G2111" t="s">
        <v>10</v>
      </c>
      <c r="H2111" s="6" t="s">
        <v>1072</v>
      </c>
      <c r="I2111">
        <f t="shared" si="127"/>
        <v>70</v>
      </c>
      <c r="J2111">
        <f t="shared" si="125"/>
        <v>31.751465900000003</v>
      </c>
      <c r="K2111">
        <v>32.845999999999997</v>
      </c>
      <c r="L2111">
        <f t="shared" si="128"/>
        <v>1042.9086489514</v>
      </c>
    </row>
    <row r="2112" spans="1:12" x14ac:dyDescent="0.2">
      <c r="A2112" s="4">
        <v>43483</v>
      </c>
      <c r="B2112" t="s">
        <v>525</v>
      </c>
      <c r="C2112">
        <v>1</v>
      </c>
      <c r="D2112">
        <v>1</v>
      </c>
      <c r="E2112">
        <v>213.13</v>
      </c>
      <c r="F2112" t="s">
        <v>397</v>
      </c>
      <c r="G2112" t="s">
        <v>850</v>
      </c>
      <c r="H2112" s="6" t="s">
        <v>1072</v>
      </c>
      <c r="I2112">
        <f t="shared" si="127"/>
        <v>213.13</v>
      </c>
      <c r="J2112">
        <f t="shared" si="125"/>
        <v>96.674141818100011</v>
      </c>
      <c r="K2112">
        <v>32.845999999999997</v>
      </c>
      <c r="L2112">
        <f t="shared" si="128"/>
        <v>3175.3588621573126</v>
      </c>
    </row>
    <row r="2113" spans="1:12" x14ac:dyDescent="0.2">
      <c r="A2113" s="4">
        <v>43483</v>
      </c>
      <c r="B2113" t="s">
        <v>525</v>
      </c>
      <c r="C2113">
        <v>1</v>
      </c>
      <c r="D2113">
        <v>1</v>
      </c>
      <c r="E2113">
        <v>81.400000000000006</v>
      </c>
      <c r="F2113" t="s">
        <v>648</v>
      </c>
      <c r="G2113" t="s">
        <v>850</v>
      </c>
      <c r="H2113" s="6" t="s">
        <v>1072</v>
      </c>
      <c r="I2113">
        <f t="shared" si="127"/>
        <v>81.400000000000006</v>
      </c>
      <c r="J2113">
        <f t="shared" si="125"/>
        <v>36.922418918000005</v>
      </c>
      <c r="K2113">
        <v>32.845999999999997</v>
      </c>
      <c r="L2113">
        <f t="shared" si="128"/>
        <v>1212.7537717806281</v>
      </c>
    </row>
    <row r="2114" spans="1:12" x14ac:dyDescent="0.2">
      <c r="A2114" s="4">
        <v>43488</v>
      </c>
      <c r="B2114" t="s">
        <v>525</v>
      </c>
      <c r="C2114">
        <v>10</v>
      </c>
      <c r="D2114">
        <v>1</v>
      </c>
      <c r="E2114">
        <v>10</v>
      </c>
      <c r="F2114" t="s">
        <v>588</v>
      </c>
      <c r="G2114" t="s">
        <v>10</v>
      </c>
      <c r="H2114" s="6" t="s">
        <v>1072</v>
      </c>
      <c r="I2114">
        <f t="shared" si="127"/>
        <v>100</v>
      </c>
      <c r="J2114">
        <f t="shared" si="125"/>
        <v>45.359237</v>
      </c>
      <c r="K2114">
        <v>32.845999999999997</v>
      </c>
      <c r="L2114">
        <f t="shared" si="128"/>
        <v>1489.8694985019999</v>
      </c>
    </row>
    <row r="2115" spans="1:12" x14ac:dyDescent="0.2">
      <c r="A2115" s="4">
        <v>43488</v>
      </c>
      <c r="B2115" t="s">
        <v>525</v>
      </c>
      <c r="C2115">
        <v>1</v>
      </c>
      <c r="D2115">
        <v>1</v>
      </c>
      <c r="E2115">
        <v>60.11</v>
      </c>
      <c r="F2115" t="s">
        <v>397</v>
      </c>
      <c r="G2115" t="s">
        <v>850</v>
      </c>
      <c r="H2115" s="6" t="s">
        <v>1072</v>
      </c>
      <c r="I2115">
        <f t="shared" si="127"/>
        <v>60.11</v>
      </c>
      <c r="J2115">
        <f t="shared" ref="J2115:J2178" si="129">CONVERT(I2115,"lbm","kg")</f>
        <v>27.265437360700002</v>
      </c>
      <c r="K2115">
        <v>32.845999999999997</v>
      </c>
      <c r="L2115">
        <f t="shared" si="128"/>
        <v>895.56055554955219</v>
      </c>
    </row>
    <row r="2116" spans="1:12" x14ac:dyDescent="0.2">
      <c r="A2116" s="4">
        <v>43486</v>
      </c>
      <c r="B2116" t="s">
        <v>525</v>
      </c>
      <c r="C2116">
        <v>3</v>
      </c>
      <c r="D2116">
        <v>1</v>
      </c>
      <c r="E2116">
        <v>10</v>
      </c>
      <c r="F2116" t="s">
        <v>647</v>
      </c>
      <c r="G2116" t="s">
        <v>10</v>
      </c>
      <c r="H2116" s="6" t="s">
        <v>1072</v>
      </c>
      <c r="I2116">
        <f t="shared" si="127"/>
        <v>30</v>
      </c>
      <c r="J2116">
        <f t="shared" si="129"/>
        <v>13.607771100000001</v>
      </c>
      <c r="K2116">
        <v>32.845999999999997</v>
      </c>
      <c r="L2116">
        <f t="shared" si="128"/>
        <v>446.96084955059996</v>
      </c>
    </row>
    <row r="2117" spans="1:12" x14ac:dyDescent="0.2">
      <c r="A2117" s="4">
        <v>43488</v>
      </c>
      <c r="B2117" t="s">
        <v>48</v>
      </c>
      <c r="C2117" s="28">
        <v>1</v>
      </c>
      <c r="D2117" s="6">
        <v>1</v>
      </c>
      <c r="E2117">
        <v>25</v>
      </c>
      <c r="F2117" t="s">
        <v>361</v>
      </c>
      <c r="G2117" t="s">
        <v>820</v>
      </c>
      <c r="H2117" s="6" t="s">
        <v>1071</v>
      </c>
      <c r="I2117">
        <f t="shared" si="127"/>
        <v>25</v>
      </c>
      <c r="J2117">
        <f t="shared" si="129"/>
        <v>11.33980925</v>
      </c>
      <c r="K2117">
        <v>0.19400000000000001</v>
      </c>
      <c r="L2117">
        <f t="shared" si="128"/>
        <v>2.1999229945000001</v>
      </c>
    </row>
    <row r="2118" spans="1:12" x14ac:dyDescent="0.2">
      <c r="A2118" s="4">
        <v>43483</v>
      </c>
      <c r="B2118" t="s">
        <v>48</v>
      </c>
      <c r="C2118" s="28">
        <v>1</v>
      </c>
      <c r="D2118" s="6">
        <v>1</v>
      </c>
      <c r="E2118">
        <v>25</v>
      </c>
      <c r="F2118" t="s">
        <v>361</v>
      </c>
      <c r="G2118" t="s">
        <v>820</v>
      </c>
      <c r="H2118" s="6" t="s">
        <v>1071</v>
      </c>
      <c r="I2118">
        <f t="shared" si="127"/>
        <v>25</v>
      </c>
      <c r="J2118">
        <f t="shared" si="129"/>
        <v>11.33980925</v>
      </c>
      <c r="K2118">
        <v>0.19400000000000001</v>
      </c>
      <c r="L2118">
        <f t="shared" si="128"/>
        <v>2.1999229945000001</v>
      </c>
    </row>
    <row r="2119" spans="1:12" x14ac:dyDescent="0.2">
      <c r="A2119" s="4">
        <v>43486</v>
      </c>
      <c r="B2119" t="s">
        <v>531</v>
      </c>
      <c r="C2119">
        <v>4</v>
      </c>
      <c r="D2119">
        <v>40</v>
      </c>
      <c r="E2119">
        <f>1/4</f>
        <v>0.25</v>
      </c>
      <c r="F2119" t="s">
        <v>536</v>
      </c>
      <c r="G2119" t="s">
        <v>983</v>
      </c>
      <c r="H2119" s="6" t="s">
        <v>1071</v>
      </c>
      <c r="I2119">
        <f t="shared" si="127"/>
        <v>40</v>
      </c>
      <c r="J2119">
        <f t="shared" si="129"/>
        <v>18.143694800000002</v>
      </c>
      <c r="K2119" s="38">
        <v>3.5270000000000001</v>
      </c>
      <c r="L2119">
        <f t="shared" si="128"/>
        <v>63.992811559600007</v>
      </c>
    </row>
    <row r="2120" spans="1:12" x14ac:dyDescent="0.2">
      <c r="A2120" s="4">
        <v>43486</v>
      </c>
      <c r="B2120" t="s">
        <v>531</v>
      </c>
      <c r="C2120">
        <v>3</v>
      </c>
      <c r="D2120">
        <v>2</v>
      </c>
      <c r="E2120">
        <v>5</v>
      </c>
      <c r="F2120" t="s">
        <v>535</v>
      </c>
      <c r="G2120" s="14" t="s">
        <v>982</v>
      </c>
      <c r="H2120" s="6" t="s">
        <v>1071</v>
      </c>
      <c r="I2120">
        <f t="shared" si="127"/>
        <v>30</v>
      </c>
      <c r="J2120">
        <f t="shared" si="129"/>
        <v>13.607771100000001</v>
      </c>
      <c r="L2120">
        <f t="shared" si="128"/>
        <v>0</v>
      </c>
    </row>
    <row r="2121" spans="1:12" x14ac:dyDescent="0.2">
      <c r="A2121" s="4">
        <v>43483</v>
      </c>
      <c r="B2121" t="s">
        <v>531</v>
      </c>
      <c r="C2121">
        <v>3</v>
      </c>
      <c r="D2121">
        <v>48</v>
      </c>
      <c r="E2121">
        <f>2.9/16</f>
        <v>0.18124999999999999</v>
      </c>
      <c r="F2121" t="s">
        <v>417</v>
      </c>
      <c r="G2121" t="s">
        <v>895</v>
      </c>
      <c r="H2121" s="6" t="s">
        <v>1071</v>
      </c>
      <c r="I2121">
        <f t="shared" si="127"/>
        <v>26.099999999999998</v>
      </c>
      <c r="J2121">
        <f t="shared" si="129"/>
        <v>11.838760856999999</v>
      </c>
      <c r="K2121" s="38">
        <v>6.87</v>
      </c>
      <c r="L2121">
        <f t="shared" si="128"/>
        <v>81.332287087589989</v>
      </c>
    </row>
    <row r="2122" spans="1:12" x14ac:dyDescent="0.2">
      <c r="A2122" s="4">
        <v>43488</v>
      </c>
      <c r="B2122" t="s">
        <v>531</v>
      </c>
      <c r="C2122">
        <v>4</v>
      </c>
      <c r="D2122">
        <v>48</v>
      </c>
      <c r="E2122">
        <f>2.9/16</f>
        <v>0.18124999999999999</v>
      </c>
      <c r="F2122" t="s">
        <v>417</v>
      </c>
      <c r="G2122" t="s">
        <v>895</v>
      </c>
      <c r="H2122" s="6" t="s">
        <v>1071</v>
      </c>
      <c r="I2122">
        <f t="shared" si="127"/>
        <v>34.799999999999997</v>
      </c>
      <c r="J2122">
        <f t="shared" si="129"/>
        <v>15.785014475999999</v>
      </c>
      <c r="K2122" s="38">
        <v>6.87</v>
      </c>
      <c r="L2122">
        <f t="shared" si="128"/>
        <v>108.44304945012</v>
      </c>
    </row>
    <row r="2123" spans="1:12" x14ac:dyDescent="0.2">
      <c r="A2123" s="4">
        <v>43483</v>
      </c>
      <c r="B2123" t="s">
        <v>48</v>
      </c>
      <c r="C2123" s="28">
        <v>3</v>
      </c>
      <c r="D2123" s="6">
        <v>1</v>
      </c>
      <c r="E2123">
        <v>6</v>
      </c>
      <c r="F2123" t="s">
        <v>503</v>
      </c>
      <c r="G2123" t="s">
        <v>252</v>
      </c>
      <c r="H2123" s="6" t="s">
        <v>1071</v>
      </c>
      <c r="I2123">
        <f t="shared" si="127"/>
        <v>18</v>
      </c>
      <c r="J2123">
        <f t="shared" si="129"/>
        <v>8.1646626599999994</v>
      </c>
      <c r="K2123">
        <v>0.59899999999999998</v>
      </c>
      <c r="L2123">
        <f t="shared" si="128"/>
        <v>4.8906329333399992</v>
      </c>
    </row>
    <row r="2124" spans="1:12" x14ac:dyDescent="0.2">
      <c r="A2124" s="4">
        <v>43483</v>
      </c>
      <c r="B2124" t="s">
        <v>48</v>
      </c>
      <c r="C2124" s="28">
        <v>3</v>
      </c>
      <c r="D2124" s="6">
        <v>1</v>
      </c>
      <c r="E2124">
        <v>6</v>
      </c>
      <c r="F2124" t="s">
        <v>637</v>
      </c>
      <c r="G2124" t="s">
        <v>925</v>
      </c>
      <c r="H2124" s="6" t="s">
        <v>1071</v>
      </c>
      <c r="I2124">
        <f t="shared" si="127"/>
        <v>18</v>
      </c>
      <c r="J2124">
        <f t="shared" si="129"/>
        <v>8.1646626599999994</v>
      </c>
      <c r="K2124">
        <v>0.59899999999999998</v>
      </c>
      <c r="L2124">
        <f t="shared" si="128"/>
        <v>4.8906329333399992</v>
      </c>
    </row>
    <row r="2125" spans="1:12" x14ac:dyDescent="0.2">
      <c r="A2125" s="4">
        <v>43484</v>
      </c>
      <c r="B2125" t="s">
        <v>531</v>
      </c>
      <c r="C2125">
        <v>1</v>
      </c>
      <c r="D2125">
        <v>16</v>
      </c>
      <c r="E2125" t="s">
        <v>674</v>
      </c>
      <c r="F2125" t="s">
        <v>675</v>
      </c>
      <c r="G2125" s="14" t="s">
        <v>868</v>
      </c>
      <c r="H2125" s="6" t="s">
        <v>1071</v>
      </c>
      <c r="I2125">
        <v>0</v>
      </c>
      <c r="J2125">
        <f t="shared" si="129"/>
        <v>0</v>
      </c>
      <c r="K2125">
        <v>1.28</v>
      </c>
      <c r="L2125">
        <f t="shared" si="128"/>
        <v>0</v>
      </c>
    </row>
    <row r="2126" spans="1:12" x14ac:dyDescent="0.2">
      <c r="A2126" s="4">
        <v>43486</v>
      </c>
      <c r="B2126" t="s">
        <v>531</v>
      </c>
      <c r="C2126">
        <v>1</v>
      </c>
      <c r="D2126">
        <v>12</v>
      </c>
      <c r="E2126">
        <f>10*0.177</f>
        <v>1.77</v>
      </c>
      <c r="F2126" t="s">
        <v>651</v>
      </c>
      <c r="G2126" s="6" t="s">
        <v>868</v>
      </c>
      <c r="H2126" s="6" t="s">
        <v>1071</v>
      </c>
      <c r="I2126">
        <f t="shared" ref="I2126:I2157" si="130">C2126*D2126*E2126</f>
        <v>21.240000000000002</v>
      </c>
      <c r="J2126">
        <f t="shared" si="129"/>
        <v>9.634301938800002</v>
      </c>
      <c r="K2126">
        <v>1.28</v>
      </c>
      <c r="L2126">
        <f t="shared" si="128"/>
        <v>12.331906481664003</v>
      </c>
    </row>
    <row r="2127" spans="1:12" x14ac:dyDescent="0.2">
      <c r="A2127" s="4">
        <v>43483</v>
      </c>
      <c r="B2127" t="s">
        <v>531</v>
      </c>
      <c r="C2127">
        <v>4</v>
      </c>
      <c r="D2127">
        <v>12</v>
      </c>
      <c r="E2127">
        <f>10*0.177</f>
        <v>1.77</v>
      </c>
      <c r="F2127" t="s">
        <v>651</v>
      </c>
      <c r="G2127" s="6" t="s">
        <v>967</v>
      </c>
      <c r="H2127" s="6" t="s">
        <v>1071</v>
      </c>
      <c r="I2127">
        <f t="shared" si="130"/>
        <v>84.960000000000008</v>
      </c>
      <c r="J2127">
        <f t="shared" si="129"/>
        <v>38.537207755200008</v>
      </c>
      <c r="K2127">
        <v>1.28</v>
      </c>
      <c r="L2127">
        <f t="shared" si="128"/>
        <v>49.327625926656012</v>
      </c>
    </row>
    <row r="2128" spans="1:12" x14ac:dyDescent="0.2">
      <c r="A2128" s="4">
        <v>43486</v>
      </c>
      <c r="B2128" t="s">
        <v>48</v>
      </c>
      <c r="C2128" s="28">
        <v>12</v>
      </c>
      <c r="D2128" s="6">
        <v>1</v>
      </c>
      <c r="E2128">
        <v>12</v>
      </c>
      <c r="F2128" t="s">
        <v>618</v>
      </c>
      <c r="G2128" t="s">
        <v>784</v>
      </c>
      <c r="H2128" s="6" t="s">
        <v>1071</v>
      </c>
      <c r="I2128">
        <f t="shared" si="130"/>
        <v>144</v>
      </c>
      <c r="J2128">
        <f t="shared" si="129"/>
        <v>65.317301279999995</v>
      </c>
      <c r="K2128">
        <v>0.79700000000000004</v>
      </c>
      <c r="L2128">
        <f t="shared" si="128"/>
        <v>52.057889120159999</v>
      </c>
    </row>
    <row r="2129" spans="1:12" x14ac:dyDescent="0.2">
      <c r="A2129" s="4">
        <v>43487</v>
      </c>
      <c r="B2129" t="s">
        <v>48</v>
      </c>
      <c r="C2129" s="28">
        <v>7</v>
      </c>
      <c r="D2129" s="6">
        <v>1</v>
      </c>
      <c r="E2129">
        <v>12</v>
      </c>
      <c r="F2129" t="s">
        <v>618</v>
      </c>
      <c r="G2129" t="s">
        <v>784</v>
      </c>
      <c r="H2129" s="6" t="s">
        <v>1071</v>
      </c>
      <c r="I2129">
        <f t="shared" si="130"/>
        <v>84</v>
      </c>
      <c r="J2129">
        <f t="shared" si="129"/>
        <v>38.101759080000001</v>
      </c>
      <c r="K2129">
        <v>0.79700000000000004</v>
      </c>
      <c r="L2129">
        <f t="shared" si="128"/>
        <v>30.367101986760002</v>
      </c>
    </row>
    <row r="2130" spans="1:12" x14ac:dyDescent="0.2">
      <c r="A2130" s="4">
        <v>43489</v>
      </c>
      <c r="B2130" t="s">
        <v>48</v>
      </c>
      <c r="C2130" s="28">
        <v>7</v>
      </c>
      <c r="D2130" s="6">
        <v>1</v>
      </c>
      <c r="E2130">
        <v>18</v>
      </c>
      <c r="F2130" t="s">
        <v>630</v>
      </c>
      <c r="G2130" t="s">
        <v>784</v>
      </c>
      <c r="H2130" s="6" t="s">
        <v>1071</v>
      </c>
      <c r="I2130">
        <f t="shared" si="130"/>
        <v>126</v>
      </c>
      <c r="J2130">
        <f t="shared" si="129"/>
        <v>57.152638620000005</v>
      </c>
      <c r="K2130">
        <v>0.79700000000000004</v>
      </c>
      <c r="L2130">
        <f t="shared" si="128"/>
        <v>45.550652980140008</v>
      </c>
    </row>
    <row r="2131" spans="1:12" x14ac:dyDescent="0.2">
      <c r="A2131" s="4">
        <v>43488</v>
      </c>
      <c r="B2131" t="s">
        <v>48</v>
      </c>
      <c r="C2131" s="28">
        <v>12</v>
      </c>
      <c r="D2131" s="6">
        <v>1</v>
      </c>
      <c r="E2131">
        <v>12</v>
      </c>
      <c r="F2131" t="s">
        <v>618</v>
      </c>
      <c r="G2131" t="s">
        <v>784</v>
      </c>
      <c r="H2131" s="6" t="s">
        <v>1071</v>
      </c>
      <c r="I2131">
        <f t="shared" si="130"/>
        <v>144</v>
      </c>
      <c r="J2131">
        <f t="shared" si="129"/>
        <v>65.317301279999995</v>
      </c>
      <c r="K2131">
        <v>0.79700000000000004</v>
      </c>
      <c r="L2131">
        <f t="shared" si="128"/>
        <v>52.057889120159999</v>
      </c>
    </row>
    <row r="2132" spans="1:12" x14ac:dyDescent="0.2">
      <c r="A2132" s="4">
        <v>43484</v>
      </c>
      <c r="B2132" t="s">
        <v>48</v>
      </c>
      <c r="C2132" s="28">
        <v>4</v>
      </c>
      <c r="D2132" s="6">
        <v>1</v>
      </c>
      <c r="E2132">
        <v>12</v>
      </c>
      <c r="F2132" t="s">
        <v>618</v>
      </c>
      <c r="G2132" t="s">
        <v>784</v>
      </c>
      <c r="H2132" s="6" t="s">
        <v>1071</v>
      </c>
      <c r="I2132">
        <f t="shared" si="130"/>
        <v>48</v>
      </c>
      <c r="J2132">
        <f t="shared" si="129"/>
        <v>21.772433760000002</v>
      </c>
      <c r="K2132">
        <v>0.79700000000000004</v>
      </c>
      <c r="L2132">
        <f t="shared" si="128"/>
        <v>17.352629706720002</v>
      </c>
    </row>
    <row r="2133" spans="1:12" x14ac:dyDescent="0.2">
      <c r="A2133" s="4">
        <v>43483</v>
      </c>
      <c r="B2133" t="s">
        <v>48</v>
      </c>
      <c r="C2133" s="28">
        <v>14</v>
      </c>
      <c r="D2133" s="6">
        <v>1</v>
      </c>
      <c r="E2133">
        <v>12</v>
      </c>
      <c r="F2133" t="s">
        <v>618</v>
      </c>
      <c r="G2133" t="s">
        <v>784</v>
      </c>
      <c r="H2133" s="6" t="s">
        <v>1071</v>
      </c>
      <c r="I2133">
        <f t="shared" si="130"/>
        <v>168</v>
      </c>
      <c r="J2133">
        <f t="shared" si="129"/>
        <v>76.203518160000002</v>
      </c>
      <c r="K2133">
        <v>0.79700000000000004</v>
      </c>
      <c r="L2133">
        <f t="shared" ref="L2133:L2196" si="131">K2133*J2133</f>
        <v>60.734203973520003</v>
      </c>
    </row>
    <row r="2134" spans="1:12" x14ac:dyDescent="0.2">
      <c r="A2134" s="4">
        <v>43486</v>
      </c>
      <c r="B2134" t="s">
        <v>48</v>
      </c>
      <c r="C2134" s="28">
        <v>2</v>
      </c>
      <c r="D2134" s="6">
        <v>1</v>
      </c>
      <c r="E2134">
        <v>20</v>
      </c>
      <c r="F2134" t="s">
        <v>355</v>
      </c>
      <c r="G2134" t="s">
        <v>818</v>
      </c>
      <c r="H2134" s="6" t="s">
        <v>1071</v>
      </c>
      <c r="I2134">
        <f t="shared" si="130"/>
        <v>40</v>
      </c>
      <c r="J2134">
        <f t="shared" si="129"/>
        <v>18.143694800000002</v>
      </c>
      <c r="K2134">
        <v>0.49</v>
      </c>
      <c r="L2134">
        <f t="shared" si="131"/>
        <v>8.8904104520000011</v>
      </c>
    </row>
    <row r="2135" spans="1:12" x14ac:dyDescent="0.2">
      <c r="A2135" s="4">
        <v>43489</v>
      </c>
      <c r="B2135" t="s">
        <v>48</v>
      </c>
      <c r="C2135" s="28">
        <v>3</v>
      </c>
      <c r="D2135" s="6">
        <v>1</v>
      </c>
      <c r="E2135">
        <v>25</v>
      </c>
      <c r="F2135" t="s">
        <v>479</v>
      </c>
      <c r="G2135" t="s">
        <v>818</v>
      </c>
      <c r="H2135" s="6" t="s">
        <v>1071</v>
      </c>
      <c r="I2135">
        <f t="shared" si="130"/>
        <v>75</v>
      </c>
      <c r="J2135">
        <f t="shared" si="129"/>
        <v>34.019427750000006</v>
      </c>
      <c r="K2135">
        <v>0.49</v>
      </c>
      <c r="L2135">
        <f t="shared" si="131"/>
        <v>16.669519597500003</v>
      </c>
    </row>
    <row r="2136" spans="1:12" x14ac:dyDescent="0.2">
      <c r="A2136" s="4">
        <v>43489</v>
      </c>
      <c r="B2136" t="s">
        <v>48</v>
      </c>
      <c r="C2136" s="28">
        <v>1</v>
      </c>
      <c r="D2136" s="6">
        <v>1</v>
      </c>
      <c r="E2136">
        <v>20</v>
      </c>
      <c r="F2136" t="s">
        <v>355</v>
      </c>
      <c r="G2136" t="s">
        <v>818</v>
      </c>
      <c r="H2136" s="6" t="s">
        <v>1071</v>
      </c>
      <c r="I2136">
        <f t="shared" si="130"/>
        <v>20</v>
      </c>
      <c r="J2136">
        <f t="shared" si="129"/>
        <v>9.0718474000000011</v>
      </c>
      <c r="K2136">
        <v>0.49</v>
      </c>
      <c r="L2136">
        <f t="shared" si="131"/>
        <v>4.4452052260000006</v>
      </c>
    </row>
    <row r="2137" spans="1:12" x14ac:dyDescent="0.2">
      <c r="A2137" s="4">
        <v>43483</v>
      </c>
      <c r="B2137" t="s">
        <v>48</v>
      </c>
      <c r="C2137" s="28">
        <v>3</v>
      </c>
      <c r="D2137" s="6">
        <v>1</v>
      </c>
      <c r="E2137">
        <v>20</v>
      </c>
      <c r="F2137" t="s">
        <v>355</v>
      </c>
      <c r="G2137" t="s">
        <v>818</v>
      </c>
      <c r="H2137" s="6" t="s">
        <v>1071</v>
      </c>
      <c r="I2137">
        <f t="shared" si="130"/>
        <v>60</v>
      </c>
      <c r="J2137">
        <f t="shared" si="129"/>
        <v>27.215542200000002</v>
      </c>
      <c r="K2137">
        <v>0.49</v>
      </c>
      <c r="L2137">
        <f t="shared" si="131"/>
        <v>13.335615678</v>
      </c>
    </row>
    <row r="2138" spans="1:12" x14ac:dyDescent="0.2">
      <c r="A2138" s="4">
        <v>43484</v>
      </c>
      <c r="B2138" t="s">
        <v>531</v>
      </c>
      <c r="C2138">
        <v>3</v>
      </c>
      <c r="D2138">
        <v>8</v>
      </c>
      <c r="E2138">
        <f>12*1.4</f>
        <v>16.799999999999997</v>
      </c>
      <c r="F2138" t="s">
        <v>672</v>
      </c>
      <c r="G2138" t="s">
        <v>880</v>
      </c>
      <c r="H2138" s="6" t="s">
        <v>1071</v>
      </c>
      <c r="I2138">
        <f t="shared" si="130"/>
        <v>403.19999999999993</v>
      </c>
      <c r="J2138">
        <f t="shared" si="129"/>
        <v>182.88844358399996</v>
      </c>
      <c r="K2138">
        <v>1.28</v>
      </c>
      <c r="L2138">
        <f t="shared" si="131"/>
        <v>234.09720778751995</v>
      </c>
    </row>
    <row r="2139" spans="1:12" x14ac:dyDescent="0.2">
      <c r="A2139" s="4">
        <v>43484</v>
      </c>
      <c r="B2139" t="s">
        <v>531</v>
      </c>
      <c r="C2139">
        <v>2</v>
      </c>
      <c r="D2139">
        <v>8</v>
      </c>
      <c r="E2139">
        <f>12*1.4</f>
        <v>16.799999999999997</v>
      </c>
      <c r="F2139" t="s">
        <v>673</v>
      </c>
      <c r="G2139" t="s">
        <v>880</v>
      </c>
      <c r="H2139" s="6" t="s">
        <v>1071</v>
      </c>
      <c r="I2139">
        <f t="shared" si="130"/>
        <v>268.79999999999995</v>
      </c>
      <c r="J2139">
        <f t="shared" si="129"/>
        <v>121.92562905599999</v>
      </c>
      <c r="K2139">
        <v>1.28</v>
      </c>
      <c r="L2139">
        <f t="shared" si="131"/>
        <v>156.06480519167999</v>
      </c>
    </row>
    <row r="2140" spans="1:12" x14ac:dyDescent="0.2">
      <c r="A2140" s="4">
        <v>43483</v>
      </c>
      <c r="B2140" t="s">
        <v>517</v>
      </c>
      <c r="C2140">
        <v>1</v>
      </c>
      <c r="D2140">
        <v>36</v>
      </c>
      <c r="E2140">
        <v>1</v>
      </c>
      <c r="F2140" t="s">
        <v>382</v>
      </c>
      <c r="G2140" t="s">
        <v>845</v>
      </c>
      <c r="H2140" s="6" t="s">
        <v>1073</v>
      </c>
      <c r="I2140">
        <f t="shared" si="130"/>
        <v>36</v>
      </c>
      <c r="J2140">
        <f t="shared" si="129"/>
        <v>16.329325319999999</v>
      </c>
      <c r="K2140">
        <v>11.52</v>
      </c>
      <c r="L2140">
        <f t="shared" si="131"/>
        <v>188.11382768639999</v>
      </c>
    </row>
    <row r="2141" spans="1:12" x14ac:dyDescent="0.2">
      <c r="A2141" s="4">
        <v>43483</v>
      </c>
      <c r="B2141" t="s">
        <v>48</v>
      </c>
      <c r="C2141" s="28">
        <v>3</v>
      </c>
      <c r="D2141" s="6">
        <v>1</v>
      </c>
      <c r="E2141">
        <v>45</v>
      </c>
      <c r="F2141" t="s">
        <v>338</v>
      </c>
      <c r="G2141" t="s">
        <v>817</v>
      </c>
      <c r="H2141" s="6" t="s">
        <v>1071</v>
      </c>
      <c r="I2141">
        <f t="shared" si="130"/>
        <v>135</v>
      </c>
      <c r="J2141">
        <f t="shared" si="129"/>
        <v>61.23496995</v>
      </c>
      <c r="K2141">
        <v>0.219</v>
      </c>
      <c r="L2141">
        <f t="shared" si="131"/>
        <v>13.41045841905</v>
      </c>
    </row>
    <row r="2142" spans="1:12" x14ac:dyDescent="0.2">
      <c r="A2142" s="4">
        <v>43486</v>
      </c>
      <c r="B2142" t="s">
        <v>48</v>
      </c>
      <c r="C2142" s="28">
        <v>4</v>
      </c>
      <c r="D2142" s="6">
        <v>1</v>
      </c>
      <c r="E2142">
        <f>9*3</f>
        <v>27</v>
      </c>
      <c r="F2142" t="s">
        <v>311</v>
      </c>
      <c r="G2142" t="s">
        <v>788</v>
      </c>
      <c r="H2142" s="6" t="s">
        <v>1071</v>
      </c>
      <c r="I2142">
        <f t="shared" si="130"/>
        <v>108</v>
      </c>
      <c r="J2142">
        <f t="shared" si="129"/>
        <v>48.987975960000007</v>
      </c>
      <c r="K2142">
        <v>0.49</v>
      </c>
      <c r="L2142">
        <f t="shared" si="131"/>
        <v>24.004108220400003</v>
      </c>
    </row>
    <row r="2143" spans="1:12" x14ac:dyDescent="0.2">
      <c r="A2143" s="4">
        <v>43487</v>
      </c>
      <c r="B2143" t="s">
        <v>48</v>
      </c>
      <c r="C2143" s="28">
        <v>6</v>
      </c>
      <c r="D2143" s="6">
        <v>1</v>
      </c>
      <c r="E2143">
        <f>9*3</f>
        <v>27</v>
      </c>
      <c r="F2143" t="s">
        <v>311</v>
      </c>
      <c r="G2143" t="s">
        <v>788</v>
      </c>
      <c r="H2143" s="6" t="s">
        <v>1071</v>
      </c>
      <c r="I2143">
        <f t="shared" si="130"/>
        <v>162</v>
      </c>
      <c r="J2143">
        <f t="shared" si="129"/>
        <v>73.48196394</v>
      </c>
      <c r="K2143">
        <v>0.49</v>
      </c>
      <c r="L2143">
        <f t="shared" si="131"/>
        <v>36.006162330599999</v>
      </c>
    </row>
    <row r="2144" spans="1:12" x14ac:dyDescent="0.2">
      <c r="A2144" s="4">
        <v>43489</v>
      </c>
      <c r="B2144" t="s">
        <v>48</v>
      </c>
      <c r="C2144" s="28">
        <v>6</v>
      </c>
      <c r="D2144" s="6">
        <v>1</v>
      </c>
      <c r="E2144">
        <f>9*3</f>
        <v>27</v>
      </c>
      <c r="F2144" t="s">
        <v>311</v>
      </c>
      <c r="G2144" t="s">
        <v>788</v>
      </c>
      <c r="H2144" s="6" t="s">
        <v>1071</v>
      </c>
      <c r="I2144">
        <f t="shared" si="130"/>
        <v>162</v>
      </c>
      <c r="J2144">
        <f t="shared" si="129"/>
        <v>73.48196394</v>
      </c>
      <c r="K2144">
        <v>0.49</v>
      </c>
      <c r="L2144">
        <f t="shared" si="131"/>
        <v>36.006162330599999</v>
      </c>
    </row>
    <row r="2145" spans="1:12" x14ac:dyDescent="0.2">
      <c r="A2145" s="4">
        <v>43488</v>
      </c>
      <c r="B2145" t="s">
        <v>48</v>
      </c>
      <c r="C2145" s="28">
        <v>8</v>
      </c>
      <c r="D2145" s="6">
        <v>1</v>
      </c>
      <c r="E2145">
        <f>9*3</f>
        <v>27</v>
      </c>
      <c r="F2145" t="s">
        <v>311</v>
      </c>
      <c r="G2145" t="s">
        <v>788</v>
      </c>
      <c r="H2145" s="6" t="s">
        <v>1071</v>
      </c>
      <c r="I2145">
        <f t="shared" si="130"/>
        <v>216</v>
      </c>
      <c r="J2145">
        <f t="shared" si="129"/>
        <v>97.975951920000014</v>
      </c>
      <c r="K2145">
        <v>0.49</v>
      </c>
      <c r="L2145">
        <f t="shared" si="131"/>
        <v>48.008216440800005</v>
      </c>
    </row>
    <row r="2146" spans="1:12" x14ac:dyDescent="0.2">
      <c r="A2146" s="4">
        <v>43483</v>
      </c>
      <c r="B2146" t="s">
        <v>48</v>
      </c>
      <c r="C2146" s="28">
        <v>8</v>
      </c>
      <c r="D2146" s="6">
        <v>1</v>
      </c>
      <c r="E2146">
        <f>9*3</f>
        <v>27</v>
      </c>
      <c r="F2146" t="s">
        <v>311</v>
      </c>
      <c r="G2146" t="s">
        <v>788</v>
      </c>
      <c r="H2146" s="6" t="s">
        <v>1071</v>
      </c>
      <c r="I2146">
        <f t="shared" si="130"/>
        <v>216</v>
      </c>
      <c r="J2146">
        <f t="shared" si="129"/>
        <v>97.975951920000014</v>
      </c>
      <c r="K2146">
        <v>0.49</v>
      </c>
      <c r="L2146">
        <f t="shared" si="131"/>
        <v>48.008216440800005</v>
      </c>
    </row>
    <row r="2147" spans="1:12" x14ac:dyDescent="0.2">
      <c r="A2147" s="4">
        <v>43483</v>
      </c>
      <c r="B2147" t="s">
        <v>538</v>
      </c>
      <c r="C2147">
        <v>1</v>
      </c>
      <c r="D2147">
        <v>6</v>
      </c>
      <c r="E2147">
        <f>2/16</f>
        <v>0.125</v>
      </c>
      <c r="F2147" t="s">
        <v>657</v>
      </c>
      <c r="G2147" s="6" t="s">
        <v>930</v>
      </c>
      <c r="H2147" s="6" t="s">
        <v>1071</v>
      </c>
      <c r="I2147">
        <f t="shared" si="130"/>
        <v>0.75</v>
      </c>
      <c r="J2147">
        <f t="shared" si="129"/>
        <v>0.34019427750000003</v>
      </c>
      <c r="K2147">
        <v>0.48199999999999998</v>
      </c>
      <c r="L2147">
        <f t="shared" si="131"/>
        <v>0.16397364175500001</v>
      </c>
    </row>
    <row r="2148" spans="1:12" x14ac:dyDescent="0.2">
      <c r="A2148" s="4">
        <v>43486</v>
      </c>
      <c r="B2148" t="s">
        <v>48</v>
      </c>
      <c r="C2148" s="28">
        <v>2</v>
      </c>
      <c r="D2148" s="6">
        <v>1</v>
      </c>
      <c r="E2148">
        <v>50</v>
      </c>
      <c r="F2148" t="s">
        <v>87</v>
      </c>
      <c r="G2148" t="s">
        <v>87</v>
      </c>
      <c r="H2148" s="6" t="s">
        <v>1071</v>
      </c>
      <c r="I2148">
        <f t="shared" si="130"/>
        <v>100</v>
      </c>
      <c r="J2148">
        <f t="shared" si="129"/>
        <v>45.359237</v>
      </c>
      <c r="K2148">
        <v>9.1999999999999998E-2</v>
      </c>
      <c r="L2148">
        <f t="shared" si="131"/>
        <v>4.1730498039999997</v>
      </c>
    </row>
    <row r="2149" spans="1:12" x14ac:dyDescent="0.2">
      <c r="A2149" s="4">
        <v>43486</v>
      </c>
      <c r="B2149" t="s">
        <v>48</v>
      </c>
      <c r="C2149" s="28">
        <v>1</v>
      </c>
      <c r="D2149" s="6">
        <v>1</v>
      </c>
      <c r="E2149">
        <v>20</v>
      </c>
      <c r="F2149" t="s">
        <v>269</v>
      </c>
      <c r="G2149" t="s">
        <v>299</v>
      </c>
      <c r="H2149" s="6" t="s">
        <v>1071</v>
      </c>
      <c r="I2149">
        <f t="shared" si="130"/>
        <v>20</v>
      </c>
      <c r="J2149">
        <f t="shared" si="129"/>
        <v>9.0718474000000011</v>
      </c>
      <c r="K2149">
        <v>9.1999999999999998E-2</v>
      </c>
      <c r="L2149">
        <f t="shared" si="131"/>
        <v>0.83460996080000005</v>
      </c>
    </row>
    <row r="2150" spans="1:12" x14ac:dyDescent="0.2">
      <c r="A2150" s="4">
        <v>43486</v>
      </c>
      <c r="B2150" t="s">
        <v>48</v>
      </c>
      <c r="C2150" s="28">
        <v>1</v>
      </c>
      <c r="D2150" s="6">
        <v>1</v>
      </c>
      <c r="E2150">
        <v>20</v>
      </c>
      <c r="F2150" t="s">
        <v>322</v>
      </c>
      <c r="G2150" t="s">
        <v>299</v>
      </c>
      <c r="H2150" s="6" t="s">
        <v>1071</v>
      </c>
      <c r="I2150">
        <f t="shared" si="130"/>
        <v>20</v>
      </c>
      <c r="J2150">
        <f t="shared" si="129"/>
        <v>9.0718474000000011</v>
      </c>
      <c r="K2150">
        <v>9.1999999999999998E-2</v>
      </c>
      <c r="L2150">
        <f t="shared" si="131"/>
        <v>0.83460996080000005</v>
      </c>
    </row>
    <row r="2151" spans="1:12" x14ac:dyDescent="0.2">
      <c r="A2151" s="4">
        <v>43489</v>
      </c>
      <c r="B2151" t="s">
        <v>48</v>
      </c>
      <c r="C2151" s="28">
        <v>2</v>
      </c>
      <c r="D2151" s="6">
        <v>1</v>
      </c>
      <c r="E2151">
        <v>20</v>
      </c>
      <c r="F2151" t="s">
        <v>269</v>
      </c>
      <c r="G2151" t="s">
        <v>299</v>
      </c>
      <c r="H2151" s="6" t="s">
        <v>1071</v>
      </c>
      <c r="I2151">
        <f t="shared" si="130"/>
        <v>40</v>
      </c>
      <c r="J2151">
        <f t="shared" si="129"/>
        <v>18.143694800000002</v>
      </c>
      <c r="K2151">
        <v>9.1999999999999998E-2</v>
      </c>
      <c r="L2151">
        <f t="shared" si="131"/>
        <v>1.6692199216000001</v>
      </c>
    </row>
    <row r="2152" spans="1:12" x14ac:dyDescent="0.2">
      <c r="A2152" s="4">
        <v>43488</v>
      </c>
      <c r="B2152" t="s">
        <v>48</v>
      </c>
      <c r="C2152" s="28">
        <v>2</v>
      </c>
      <c r="D2152" s="6">
        <v>1</v>
      </c>
      <c r="E2152">
        <v>50</v>
      </c>
      <c r="F2152" t="s">
        <v>299</v>
      </c>
      <c r="G2152" t="s">
        <v>299</v>
      </c>
      <c r="H2152" s="6" t="s">
        <v>1071</v>
      </c>
      <c r="I2152">
        <f t="shared" si="130"/>
        <v>100</v>
      </c>
      <c r="J2152">
        <f t="shared" si="129"/>
        <v>45.359237</v>
      </c>
      <c r="K2152">
        <v>9.1999999999999998E-2</v>
      </c>
      <c r="L2152">
        <f t="shared" si="131"/>
        <v>4.1730498039999997</v>
      </c>
    </row>
    <row r="2153" spans="1:12" x14ac:dyDescent="0.2">
      <c r="A2153" s="4">
        <v>43488</v>
      </c>
      <c r="B2153" t="s">
        <v>48</v>
      </c>
      <c r="C2153" s="28">
        <v>1</v>
      </c>
      <c r="D2153" s="6">
        <v>1</v>
      </c>
      <c r="E2153">
        <v>20</v>
      </c>
      <c r="F2153" t="s">
        <v>269</v>
      </c>
      <c r="G2153" t="s">
        <v>299</v>
      </c>
      <c r="H2153" s="6" t="s">
        <v>1071</v>
      </c>
      <c r="I2153">
        <f t="shared" si="130"/>
        <v>20</v>
      </c>
      <c r="J2153">
        <f t="shared" si="129"/>
        <v>9.0718474000000011</v>
      </c>
      <c r="K2153">
        <v>9.1999999999999998E-2</v>
      </c>
      <c r="L2153">
        <f t="shared" si="131"/>
        <v>0.83460996080000005</v>
      </c>
    </row>
    <row r="2154" spans="1:12" x14ac:dyDescent="0.2">
      <c r="A2154" s="4">
        <v>43484</v>
      </c>
      <c r="B2154" t="s">
        <v>48</v>
      </c>
      <c r="C2154" s="28">
        <v>1</v>
      </c>
      <c r="D2154" s="6">
        <v>1</v>
      </c>
      <c r="E2154">
        <v>20</v>
      </c>
      <c r="F2154" t="s">
        <v>635</v>
      </c>
      <c r="G2154" t="s">
        <v>299</v>
      </c>
      <c r="H2154" s="6" t="s">
        <v>1071</v>
      </c>
      <c r="I2154">
        <f t="shared" si="130"/>
        <v>20</v>
      </c>
      <c r="J2154">
        <f t="shared" si="129"/>
        <v>9.0718474000000011</v>
      </c>
      <c r="K2154">
        <v>9.1999999999999998E-2</v>
      </c>
      <c r="L2154">
        <f t="shared" si="131"/>
        <v>0.83460996080000005</v>
      </c>
    </row>
    <row r="2155" spans="1:12" x14ac:dyDescent="0.2">
      <c r="A2155" s="4">
        <v>43484</v>
      </c>
      <c r="B2155" t="s">
        <v>48</v>
      </c>
      <c r="C2155" s="28">
        <v>1</v>
      </c>
      <c r="D2155" s="6">
        <v>1</v>
      </c>
      <c r="E2155">
        <v>20</v>
      </c>
      <c r="F2155" t="s">
        <v>269</v>
      </c>
      <c r="G2155" t="s">
        <v>299</v>
      </c>
      <c r="H2155" s="6" t="s">
        <v>1071</v>
      </c>
      <c r="I2155">
        <f t="shared" si="130"/>
        <v>20</v>
      </c>
      <c r="J2155">
        <f t="shared" si="129"/>
        <v>9.0718474000000011</v>
      </c>
      <c r="K2155">
        <v>9.1999999999999998E-2</v>
      </c>
      <c r="L2155">
        <f t="shared" si="131"/>
        <v>0.83460996080000005</v>
      </c>
    </row>
    <row r="2156" spans="1:12" x14ac:dyDescent="0.2">
      <c r="A2156" s="4">
        <v>43484</v>
      </c>
      <c r="B2156" t="s">
        <v>48</v>
      </c>
      <c r="C2156" s="28">
        <v>1</v>
      </c>
      <c r="D2156" s="6">
        <v>1</v>
      </c>
      <c r="E2156">
        <v>20</v>
      </c>
      <c r="F2156" t="s">
        <v>322</v>
      </c>
      <c r="G2156" t="s">
        <v>299</v>
      </c>
      <c r="H2156" s="6" t="s">
        <v>1071</v>
      </c>
      <c r="I2156">
        <f t="shared" si="130"/>
        <v>20</v>
      </c>
      <c r="J2156">
        <f t="shared" si="129"/>
        <v>9.0718474000000011</v>
      </c>
      <c r="K2156">
        <v>9.1999999999999998E-2</v>
      </c>
      <c r="L2156">
        <f t="shared" si="131"/>
        <v>0.83460996080000005</v>
      </c>
    </row>
    <row r="2157" spans="1:12" x14ac:dyDescent="0.2">
      <c r="A2157" s="4">
        <v>43483</v>
      </c>
      <c r="B2157" t="s">
        <v>48</v>
      </c>
      <c r="C2157" s="28">
        <v>4</v>
      </c>
      <c r="D2157" s="6">
        <v>1</v>
      </c>
      <c r="E2157">
        <v>50</v>
      </c>
      <c r="F2157" t="s">
        <v>299</v>
      </c>
      <c r="G2157" t="s">
        <v>299</v>
      </c>
      <c r="H2157" s="6" t="s">
        <v>1071</v>
      </c>
      <c r="I2157">
        <f t="shared" si="130"/>
        <v>200</v>
      </c>
      <c r="J2157">
        <f t="shared" si="129"/>
        <v>90.718474000000001</v>
      </c>
      <c r="K2157">
        <v>9.1999999999999998E-2</v>
      </c>
      <c r="L2157">
        <f t="shared" si="131"/>
        <v>8.3460996079999994</v>
      </c>
    </row>
    <row r="2158" spans="1:12" x14ac:dyDescent="0.2">
      <c r="A2158" s="4">
        <v>43483</v>
      </c>
      <c r="B2158" t="s">
        <v>48</v>
      </c>
      <c r="C2158" s="28">
        <v>1</v>
      </c>
      <c r="D2158" s="6">
        <v>1</v>
      </c>
      <c r="E2158">
        <v>20</v>
      </c>
      <c r="F2158" t="s">
        <v>635</v>
      </c>
      <c r="G2158" t="s">
        <v>299</v>
      </c>
      <c r="H2158" s="6" t="s">
        <v>1071</v>
      </c>
      <c r="I2158">
        <f t="shared" ref="I2158:I2189" si="132">C2158*D2158*E2158</f>
        <v>20</v>
      </c>
      <c r="J2158">
        <f t="shared" si="129"/>
        <v>9.0718474000000011</v>
      </c>
      <c r="K2158">
        <v>9.1999999999999998E-2</v>
      </c>
      <c r="L2158">
        <f t="shared" si="131"/>
        <v>0.83460996080000005</v>
      </c>
    </row>
    <row r="2159" spans="1:12" x14ac:dyDescent="0.2">
      <c r="A2159" s="4">
        <v>43483</v>
      </c>
      <c r="B2159" t="s">
        <v>48</v>
      </c>
      <c r="C2159" s="28">
        <v>2</v>
      </c>
      <c r="D2159" s="6">
        <v>1</v>
      </c>
      <c r="E2159">
        <v>20</v>
      </c>
      <c r="F2159" t="s">
        <v>269</v>
      </c>
      <c r="G2159" t="s">
        <v>299</v>
      </c>
      <c r="H2159" s="6" t="s">
        <v>1071</v>
      </c>
      <c r="I2159">
        <f t="shared" si="132"/>
        <v>40</v>
      </c>
      <c r="J2159">
        <f t="shared" si="129"/>
        <v>18.143694800000002</v>
      </c>
      <c r="K2159">
        <v>9.1999999999999998E-2</v>
      </c>
      <c r="L2159">
        <f t="shared" si="131"/>
        <v>1.6692199216000001</v>
      </c>
    </row>
    <row r="2160" spans="1:12" x14ac:dyDescent="0.2">
      <c r="A2160" s="4">
        <v>43483</v>
      </c>
      <c r="B2160" t="s">
        <v>48</v>
      </c>
      <c r="C2160" s="28">
        <v>1</v>
      </c>
      <c r="D2160" s="6">
        <v>1</v>
      </c>
      <c r="E2160">
        <v>20</v>
      </c>
      <c r="F2160" t="s">
        <v>322</v>
      </c>
      <c r="G2160" t="s">
        <v>299</v>
      </c>
      <c r="H2160" s="6" t="s">
        <v>1071</v>
      </c>
      <c r="I2160">
        <f t="shared" si="132"/>
        <v>20</v>
      </c>
      <c r="J2160">
        <f t="shared" si="129"/>
        <v>9.0718474000000011</v>
      </c>
      <c r="K2160">
        <v>9.1999999999999998E-2</v>
      </c>
      <c r="L2160">
        <f t="shared" si="131"/>
        <v>0.83460996080000005</v>
      </c>
    </row>
    <row r="2161" spans="1:12" x14ac:dyDescent="0.2">
      <c r="A2161" s="4">
        <v>43489</v>
      </c>
      <c r="B2161" t="s">
        <v>201</v>
      </c>
      <c r="C2161" s="6">
        <v>1</v>
      </c>
      <c r="D2161" s="6">
        <v>1</v>
      </c>
      <c r="E2161">
        <v>60</v>
      </c>
      <c r="F2161" s="9" t="s">
        <v>617</v>
      </c>
      <c r="G2161" s="9" t="s">
        <v>960</v>
      </c>
      <c r="H2161" s="6" t="s">
        <v>1072</v>
      </c>
      <c r="I2161">
        <f t="shared" si="132"/>
        <v>60</v>
      </c>
      <c r="J2161">
        <f t="shared" si="129"/>
        <v>27.215542200000002</v>
      </c>
      <c r="K2161">
        <v>5.7169999999999996</v>
      </c>
      <c r="L2161">
        <f t="shared" si="131"/>
        <v>155.59125475740001</v>
      </c>
    </row>
    <row r="2162" spans="1:12" x14ac:dyDescent="0.2">
      <c r="A2162" s="4">
        <v>43486</v>
      </c>
      <c r="B2162" t="s">
        <v>48</v>
      </c>
      <c r="C2162" s="28">
        <v>3</v>
      </c>
      <c r="D2162" s="6">
        <v>1</v>
      </c>
      <c r="E2162">
        <f>12*1.3</f>
        <v>15.600000000000001</v>
      </c>
      <c r="F2162" t="s">
        <v>619</v>
      </c>
      <c r="G2162" t="s">
        <v>619</v>
      </c>
      <c r="H2162" s="6" t="s">
        <v>1071</v>
      </c>
      <c r="I2162">
        <f t="shared" si="132"/>
        <v>46.800000000000004</v>
      </c>
      <c r="J2162">
        <f t="shared" si="129"/>
        <v>21.228122916000004</v>
      </c>
      <c r="K2162">
        <v>0.93400000000000005</v>
      </c>
      <c r="L2162">
        <f t="shared" si="131"/>
        <v>19.827066803544003</v>
      </c>
    </row>
    <row r="2163" spans="1:12" x14ac:dyDescent="0.2">
      <c r="A2163" s="4">
        <v>43489</v>
      </c>
      <c r="B2163" t="s">
        <v>48</v>
      </c>
      <c r="C2163" s="28">
        <v>3</v>
      </c>
      <c r="D2163" s="6">
        <v>1</v>
      </c>
      <c r="E2163">
        <v>12</v>
      </c>
      <c r="F2163" t="s">
        <v>351</v>
      </c>
      <c r="G2163" t="s">
        <v>619</v>
      </c>
      <c r="H2163" s="6" t="s">
        <v>1071</v>
      </c>
      <c r="I2163">
        <f t="shared" si="132"/>
        <v>36</v>
      </c>
      <c r="J2163">
        <f t="shared" si="129"/>
        <v>16.329325319999999</v>
      </c>
      <c r="K2163">
        <v>0.93400000000000005</v>
      </c>
      <c r="L2163">
        <f t="shared" si="131"/>
        <v>15.25158984888</v>
      </c>
    </row>
    <row r="2164" spans="1:12" x14ac:dyDescent="0.2">
      <c r="A2164" s="4">
        <v>43484</v>
      </c>
      <c r="B2164" t="s">
        <v>48</v>
      </c>
      <c r="C2164" s="28">
        <v>3</v>
      </c>
      <c r="D2164" s="6">
        <v>1</v>
      </c>
      <c r="E2164">
        <v>12</v>
      </c>
      <c r="F2164" t="s">
        <v>323</v>
      </c>
      <c r="G2164" t="s">
        <v>619</v>
      </c>
      <c r="H2164" s="6" t="s">
        <v>1071</v>
      </c>
      <c r="I2164">
        <f t="shared" si="132"/>
        <v>36</v>
      </c>
      <c r="J2164">
        <f t="shared" si="129"/>
        <v>16.329325319999999</v>
      </c>
      <c r="K2164">
        <v>0.93400000000000005</v>
      </c>
      <c r="L2164">
        <f t="shared" si="131"/>
        <v>15.25158984888</v>
      </c>
    </row>
    <row r="2165" spans="1:12" x14ac:dyDescent="0.2">
      <c r="A2165" s="4">
        <v>43483</v>
      </c>
      <c r="B2165" t="s">
        <v>48</v>
      </c>
      <c r="C2165" s="28">
        <v>3</v>
      </c>
      <c r="D2165" s="6">
        <v>1</v>
      </c>
      <c r="E2165">
        <v>12</v>
      </c>
      <c r="F2165" t="s">
        <v>351</v>
      </c>
      <c r="G2165" t="s">
        <v>619</v>
      </c>
      <c r="H2165" s="6" t="s">
        <v>1071</v>
      </c>
      <c r="I2165">
        <f t="shared" si="132"/>
        <v>36</v>
      </c>
      <c r="J2165">
        <f t="shared" si="129"/>
        <v>16.329325319999999</v>
      </c>
      <c r="K2165">
        <v>0.93400000000000005</v>
      </c>
      <c r="L2165">
        <f t="shared" si="131"/>
        <v>15.25158984888</v>
      </c>
    </row>
    <row r="2166" spans="1:12" x14ac:dyDescent="0.2">
      <c r="A2166" s="4">
        <v>43486</v>
      </c>
      <c r="B2166" t="s">
        <v>48</v>
      </c>
      <c r="C2166" s="28">
        <v>1</v>
      </c>
      <c r="D2166" s="6">
        <v>1</v>
      </c>
      <c r="E2166">
        <v>20</v>
      </c>
      <c r="F2166" t="s">
        <v>324</v>
      </c>
      <c r="G2166" t="s">
        <v>352</v>
      </c>
      <c r="H2166" s="6" t="s">
        <v>1071</v>
      </c>
      <c r="I2166">
        <f t="shared" si="132"/>
        <v>20</v>
      </c>
      <c r="J2166">
        <f t="shared" si="129"/>
        <v>9.0718474000000011</v>
      </c>
      <c r="K2166">
        <v>0.33100000000000002</v>
      </c>
      <c r="L2166">
        <f t="shared" si="131"/>
        <v>3.0027814894000007</v>
      </c>
    </row>
    <row r="2167" spans="1:12" x14ac:dyDescent="0.2">
      <c r="A2167" s="4">
        <v>43487</v>
      </c>
      <c r="B2167" t="s">
        <v>48</v>
      </c>
      <c r="C2167" s="28">
        <v>1</v>
      </c>
      <c r="D2167" s="6">
        <v>1</v>
      </c>
      <c r="E2167">
        <v>36</v>
      </c>
      <c r="F2167" t="s">
        <v>352</v>
      </c>
      <c r="G2167" t="s">
        <v>352</v>
      </c>
      <c r="H2167" s="6" t="s">
        <v>1071</v>
      </c>
      <c r="I2167">
        <f t="shared" si="132"/>
        <v>36</v>
      </c>
      <c r="J2167">
        <f t="shared" si="129"/>
        <v>16.329325319999999</v>
      </c>
      <c r="K2167">
        <v>0.33100000000000002</v>
      </c>
      <c r="L2167">
        <f t="shared" si="131"/>
        <v>5.4050066809199997</v>
      </c>
    </row>
    <row r="2168" spans="1:12" x14ac:dyDescent="0.2">
      <c r="A2168" s="4">
        <v>43484</v>
      </c>
      <c r="B2168" t="s">
        <v>48</v>
      </c>
      <c r="C2168" s="28">
        <v>1</v>
      </c>
      <c r="D2168" s="6">
        <v>1</v>
      </c>
      <c r="E2168">
        <v>20</v>
      </c>
      <c r="F2168" t="s">
        <v>324</v>
      </c>
      <c r="G2168" t="s">
        <v>352</v>
      </c>
      <c r="H2168" s="6" t="s">
        <v>1071</v>
      </c>
      <c r="I2168">
        <f t="shared" si="132"/>
        <v>20</v>
      </c>
      <c r="J2168">
        <f t="shared" si="129"/>
        <v>9.0718474000000011</v>
      </c>
      <c r="K2168">
        <v>0.33100000000000002</v>
      </c>
      <c r="L2168">
        <f t="shared" si="131"/>
        <v>3.0027814894000007</v>
      </c>
    </row>
    <row r="2169" spans="1:12" x14ac:dyDescent="0.2">
      <c r="A2169" s="4">
        <v>43483</v>
      </c>
      <c r="B2169" t="s">
        <v>48</v>
      </c>
      <c r="C2169" s="28">
        <v>1</v>
      </c>
      <c r="D2169" s="6">
        <v>1</v>
      </c>
      <c r="E2169">
        <v>20</v>
      </c>
      <c r="F2169" t="s">
        <v>642</v>
      </c>
      <c r="G2169" t="s">
        <v>352</v>
      </c>
      <c r="H2169" s="6" t="s">
        <v>1071</v>
      </c>
      <c r="I2169">
        <f t="shared" si="132"/>
        <v>20</v>
      </c>
      <c r="J2169">
        <f t="shared" si="129"/>
        <v>9.0718474000000011</v>
      </c>
      <c r="K2169">
        <v>0.33100000000000002</v>
      </c>
      <c r="L2169">
        <f t="shared" si="131"/>
        <v>3.0027814894000007</v>
      </c>
    </row>
    <row r="2170" spans="1:12" x14ac:dyDescent="0.2">
      <c r="A2170" s="4">
        <v>43483</v>
      </c>
      <c r="B2170" t="s">
        <v>48</v>
      </c>
      <c r="C2170" s="28">
        <v>1</v>
      </c>
      <c r="D2170" s="6">
        <v>1</v>
      </c>
      <c r="E2170">
        <v>20</v>
      </c>
      <c r="F2170" t="s">
        <v>324</v>
      </c>
      <c r="G2170" t="s">
        <v>352</v>
      </c>
      <c r="H2170" s="6" t="s">
        <v>1071</v>
      </c>
      <c r="I2170">
        <f t="shared" si="132"/>
        <v>20</v>
      </c>
      <c r="J2170">
        <f t="shared" si="129"/>
        <v>9.0718474000000011</v>
      </c>
      <c r="K2170">
        <v>0.33100000000000002</v>
      </c>
      <c r="L2170">
        <f t="shared" si="131"/>
        <v>3.0027814894000007</v>
      </c>
    </row>
    <row r="2171" spans="1:12" x14ac:dyDescent="0.2">
      <c r="A2171" s="4">
        <v>43483</v>
      </c>
      <c r="B2171" t="s">
        <v>48</v>
      </c>
      <c r="C2171" s="28">
        <v>1</v>
      </c>
      <c r="D2171" s="6">
        <v>1</v>
      </c>
      <c r="E2171">
        <v>36</v>
      </c>
      <c r="F2171" t="s">
        <v>643</v>
      </c>
      <c r="G2171" t="s">
        <v>352</v>
      </c>
      <c r="H2171" s="6" t="s">
        <v>1071</v>
      </c>
      <c r="I2171">
        <f t="shared" si="132"/>
        <v>36</v>
      </c>
      <c r="J2171">
        <f t="shared" si="129"/>
        <v>16.329325319999999</v>
      </c>
      <c r="K2171">
        <v>0.33100000000000002</v>
      </c>
      <c r="L2171">
        <f t="shared" si="131"/>
        <v>5.4050066809199997</v>
      </c>
    </row>
    <row r="2172" spans="1:12" x14ac:dyDescent="0.2">
      <c r="A2172" s="4">
        <v>43483</v>
      </c>
      <c r="B2172" t="s">
        <v>538</v>
      </c>
      <c r="C2172">
        <v>2</v>
      </c>
      <c r="D2172">
        <v>4</v>
      </c>
      <c r="E2172">
        <f>40/16</f>
        <v>2.5</v>
      </c>
      <c r="F2172" t="s">
        <v>436</v>
      </c>
      <c r="G2172" s="9" t="s">
        <v>861</v>
      </c>
      <c r="H2172" s="6" t="s">
        <v>1071</v>
      </c>
      <c r="I2172">
        <f t="shared" si="132"/>
        <v>20</v>
      </c>
      <c r="J2172">
        <f t="shared" si="129"/>
        <v>9.0718474000000011</v>
      </c>
      <c r="K2172">
        <v>1.61</v>
      </c>
      <c r="L2172">
        <f t="shared" si="131"/>
        <v>14.605674314000003</v>
      </c>
    </row>
    <row r="2173" spans="1:12" x14ac:dyDescent="0.2">
      <c r="A2173" s="4">
        <v>43483</v>
      </c>
      <c r="B2173" t="s">
        <v>538</v>
      </c>
      <c r="C2173">
        <v>1</v>
      </c>
      <c r="D2173">
        <v>4</v>
      </c>
      <c r="E2173">
        <f>35/16</f>
        <v>2.1875</v>
      </c>
      <c r="F2173" t="s">
        <v>470</v>
      </c>
      <c r="G2173" s="9" t="s">
        <v>861</v>
      </c>
      <c r="H2173" s="6" t="s">
        <v>1071</v>
      </c>
      <c r="I2173">
        <f t="shared" si="132"/>
        <v>8.75</v>
      </c>
      <c r="J2173">
        <f t="shared" si="129"/>
        <v>3.9689332375000004</v>
      </c>
      <c r="K2173">
        <v>1.61</v>
      </c>
      <c r="L2173">
        <f t="shared" si="131"/>
        <v>6.3899825123750009</v>
      </c>
    </row>
    <row r="2174" spans="1:12" x14ac:dyDescent="0.2">
      <c r="A2174" s="4">
        <v>43483</v>
      </c>
      <c r="B2174" t="s">
        <v>538</v>
      </c>
      <c r="C2174">
        <v>2</v>
      </c>
      <c r="D2174">
        <v>4</v>
      </c>
      <c r="E2174">
        <f>45/16</f>
        <v>2.8125</v>
      </c>
      <c r="F2174" t="s">
        <v>548</v>
      </c>
      <c r="G2174" s="9" t="s">
        <v>861</v>
      </c>
      <c r="H2174" s="6" t="s">
        <v>1071</v>
      </c>
      <c r="I2174">
        <f t="shared" si="132"/>
        <v>22.5</v>
      </c>
      <c r="J2174">
        <f t="shared" si="129"/>
        <v>10.205828325000001</v>
      </c>
      <c r="K2174">
        <v>1.61</v>
      </c>
      <c r="L2174">
        <f t="shared" si="131"/>
        <v>16.431383603250001</v>
      </c>
    </row>
    <row r="2175" spans="1:12" x14ac:dyDescent="0.2">
      <c r="A2175" s="4">
        <v>43483</v>
      </c>
      <c r="B2175" t="s">
        <v>538</v>
      </c>
      <c r="C2175">
        <v>1</v>
      </c>
      <c r="D2175">
        <v>12</v>
      </c>
      <c r="E2175">
        <f>47/16</f>
        <v>2.9375</v>
      </c>
      <c r="F2175" t="s">
        <v>444</v>
      </c>
      <c r="G2175" t="s">
        <v>861</v>
      </c>
      <c r="H2175" s="6" t="s">
        <v>1071</v>
      </c>
      <c r="I2175">
        <f t="shared" si="132"/>
        <v>35.25</v>
      </c>
      <c r="J2175">
        <f t="shared" si="129"/>
        <v>15.989131042500002</v>
      </c>
      <c r="K2175">
        <v>1.61</v>
      </c>
      <c r="L2175">
        <f t="shared" si="131"/>
        <v>25.742500978425007</v>
      </c>
    </row>
    <row r="2176" spans="1:12" x14ac:dyDescent="0.2">
      <c r="A2176" s="4">
        <v>43483</v>
      </c>
      <c r="B2176" t="s">
        <v>538</v>
      </c>
      <c r="C2176">
        <v>2</v>
      </c>
      <c r="D2176">
        <v>4</v>
      </c>
      <c r="E2176">
        <f>50/16</f>
        <v>3.125</v>
      </c>
      <c r="F2176" t="s">
        <v>453</v>
      </c>
      <c r="G2176" t="s">
        <v>861</v>
      </c>
      <c r="H2176" s="6" t="s">
        <v>1071</v>
      </c>
      <c r="I2176">
        <f t="shared" si="132"/>
        <v>25</v>
      </c>
      <c r="J2176">
        <f t="shared" si="129"/>
        <v>11.33980925</v>
      </c>
      <c r="K2176">
        <v>1.61</v>
      </c>
      <c r="L2176">
        <f t="shared" si="131"/>
        <v>18.257092892500001</v>
      </c>
    </row>
    <row r="2177" spans="1:12" x14ac:dyDescent="0.2">
      <c r="A2177" s="4">
        <v>43486</v>
      </c>
      <c r="B2177" t="s">
        <v>538</v>
      </c>
      <c r="C2177">
        <v>2</v>
      </c>
      <c r="D2177">
        <v>4</v>
      </c>
      <c r="E2177">
        <f>29/16</f>
        <v>1.8125</v>
      </c>
      <c r="F2177" t="s">
        <v>575</v>
      </c>
      <c r="G2177" t="s">
        <v>861</v>
      </c>
      <c r="H2177" s="6" t="s">
        <v>1071</v>
      </c>
      <c r="I2177">
        <f t="shared" si="132"/>
        <v>14.5</v>
      </c>
      <c r="J2177">
        <f t="shared" si="129"/>
        <v>6.577089365</v>
      </c>
      <c r="K2177">
        <v>1.61</v>
      </c>
      <c r="L2177">
        <f t="shared" si="131"/>
        <v>10.58911387765</v>
      </c>
    </row>
    <row r="2178" spans="1:12" x14ac:dyDescent="0.2">
      <c r="A2178" s="4">
        <v>43486</v>
      </c>
      <c r="B2178" t="s">
        <v>538</v>
      </c>
      <c r="C2178">
        <v>3</v>
      </c>
      <c r="D2178">
        <v>4</v>
      </c>
      <c r="E2178">
        <f>40/16</f>
        <v>2.5</v>
      </c>
      <c r="F2178" t="s">
        <v>436</v>
      </c>
      <c r="G2178" t="s">
        <v>861</v>
      </c>
      <c r="H2178" s="6" t="s">
        <v>1071</v>
      </c>
      <c r="I2178">
        <f t="shared" si="132"/>
        <v>30</v>
      </c>
      <c r="J2178">
        <f t="shared" si="129"/>
        <v>13.607771100000001</v>
      </c>
      <c r="K2178">
        <v>1.61</v>
      </c>
      <c r="L2178">
        <f t="shared" si="131"/>
        <v>21.908511471000004</v>
      </c>
    </row>
    <row r="2179" spans="1:12" x14ac:dyDescent="0.2">
      <c r="A2179" s="4">
        <v>43486</v>
      </c>
      <c r="B2179" t="s">
        <v>538</v>
      </c>
      <c r="C2179">
        <v>2</v>
      </c>
      <c r="D2179">
        <v>4</v>
      </c>
      <c r="E2179">
        <f>35/16</f>
        <v>2.1875</v>
      </c>
      <c r="F2179" t="s">
        <v>470</v>
      </c>
      <c r="G2179" t="s">
        <v>861</v>
      </c>
      <c r="H2179" s="6" t="s">
        <v>1071</v>
      </c>
      <c r="I2179">
        <f t="shared" si="132"/>
        <v>17.5</v>
      </c>
      <c r="J2179">
        <f t="shared" ref="J2179:J2242" si="133">CONVERT(I2179,"lbm","kg")</f>
        <v>7.9378664750000008</v>
      </c>
      <c r="K2179">
        <v>1.61</v>
      </c>
      <c r="L2179">
        <f t="shared" si="131"/>
        <v>12.779965024750002</v>
      </c>
    </row>
    <row r="2180" spans="1:12" x14ac:dyDescent="0.2">
      <c r="A2180" s="4">
        <v>43486</v>
      </c>
      <c r="B2180" t="s">
        <v>538</v>
      </c>
      <c r="C2180">
        <v>2</v>
      </c>
      <c r="D2180">
        <v>4</v>
      </c>
      <c r="E2180">
        <f>35/16</f>
        <v>2.1875</v>
      </c>
      <c r="F2180" t="s">
        <v>580</v>
      </c>
      <c r="G2180" t="s">
        <v>861</v>
      </c>
      <c r="H2180" s="6" t="s">
        <v>1071</v>
      </c>
      <c r="I2180">
        <f t="shared" si="132"/>
        <v>17.5</v>
      </c>
      <c r="J2180">
        <f t="shared" si="133"/>
        <v>7.9378664750000008</v>
      </c>
      <c r="K2180">
        <v>1.61</v>
      </c>
      <c r="L2180">
        <f t="shared" si="131"/>
        <v>12.779965024750002</v>
      </c>
    </row>
    <row r="2181" spans="1:12" x14ac:dyDescent="0.2">
      <c r="A2181" s="4">
        <v>43486</v>
      </c>
      <c r="B2181" t="s">
        <v>538</v>
      </c>
      <c r="C2181">
        <v>1</v>
      </c>
      <c r="D2181">
        <v>4</v>
      </c>
      <c r="E2181">
        <f>50/16</f>
        <v>3.125</v>
      </c>
      <c r="F2181" t="s">
        <v>453</v>
      </c>
      <c r="G2181" t="s">
        <v>861</v>
      </c>
      <c r="H2181" s="6" t="s">
        <v>1071</v>
      </c>
      <c r="I2181">
        <f t="shared" si="132"/>
        <v>12.5</v>
      </c>
      <c r="J2181">
        <f t="shared" si="133"/>
        <v>5.669904625</v>
      </c>
      <c r="K2181">
        <v>1.61</v>
      </c>
      <c r="L2181">
        <f t="shared" si="131"/>
        <v>9.1285464462500006</v>
      </c>
    </row>
    <row r="2182" spans="1:12" x14ac:dyDescent="0.2">
      <c r="A2182" s="4">
        <v>43488</v>
      </c>
      <c r="B2182" t="s">
        <v>538</v>
      </c>
      <c r="C2182">
        <v>1</v>
      </c>
      <c r="D2182">
        <v>4</v>
      </c>
      <c r="E2182">
        <f>40/16</f>
        <v>2.5</v>
      </c>
      <c r="F2182" t="s">
        <v>436</v>
      </c>
      <c r="G2182" t="s">
        <v>861</v>
      </c>
      <c r="H2182" s="6" t="s">
        <v>1071</v>
      </c>
      <c r="I2182">
        <f t="shared" si="132"/>
        <v>10</v>
      </c>
      <c r="J2182">
        <f t="shared" si="133"/>
        <v>4.5359237000000006</v>
      </c>
      <c r="K2182">
        <v>1.61</v>
      </c>
      <c r="L2182">
        <f t="shared" si="131"/>
        <v>7.3028371570000017</v>
      </c>
    </row>
    <row r="2183" spans="1:12" x14ac:dyDescent="0.2">
      <c r="A2183" s="4">
        <v>43488</v>
      </c>
      <c r="B2183" t="s">
        <v>538</v>
      </c>
      <c r="C2183">
        <v>2</v>
      </c>
      <c r="D2183">
        <v>4</v>
      </c>
      <c r="E2183">
        <f>45/16</f>
        <v>2.8125</v>
      </c>
      <c r="F2183" t="s">
        <v>548</v>
      </c>
      <c r="G2183" t="s">
        <v>861</v>
      </c>
      <c r="H2183" s="6" t="s">
        <v>1071</v>
      </c>
      <c r="I2183">
        <f t="shared" si="132"/>
        <v>22.5</v>
      </c>
      <c r="J2183">
        <f t="shared" si="133"/>
        <v>10.205828325000001</v>
      </c>
      <c r="K2183">
        <v>1.61</v>
      </c>
      <c r="L2183">
        <f t="shared" si="131"/>
        <v>16.431383603250001</v>
      </c>
    </row>
    <row r="2184" spans="1:12" x14ac:dyDescent="0.2">
      <c r="A2184" s="4">
        <v>43488</v>
      </c>
      <c r="B2184" t="s">
        <v>538</v>
      </c>
      <c r="C2184">
        <v>1</v>
      </c>
      <c r="D2184">
        <v>4</v>
      </c>
      <c r="E2184">
        <f>50/16</f>
        <v>3.125</v>
      </c>
      <c r="F2184" t="s">
        <v>453</v>
      </c>
      <c r="G2184" t="s">
        <v>861</v>
      </c>
      <c r="H2184" s="6" t="s">
        <v>1071</v>
      </c>
      <c r="I2184">
        <f t="shared" si="132"/>
        <v>12.5</v>
      </c>
      <c r="J2184">
        <f t="shared" si="133"/>
        <v>5.669904625</v>
      </c>
      <c r="K2184">
        <v>1.61</v>
      </c>
      <c r="L2184">
        <f t="shared" si="131"/>
        <v>9.1285464462500006</v>
      </c>
    </row>
    <row r="2185" spans="1:12" x14ac:dyDescent="0.2">
      <c r="A2185" s="4">
        <v>43483</v>
      </c>
      <c r="B2185" t="s">
        <v>517</v>
      </c>
      <c r="C2185">
        <v>2</v>
      </c>
      <c r="D2185">
        <v>12</v>
      </c>
      <c r="E2185">
        <f>4.5/16</f>
        <v>0.28125</v>
      </c>
      <c r="F2185" t="s">
        <v>645</v>
      </c>
      <c r="G2185" t="s">
        <v>847</v>
      </c>
      <c r="H2185" s="6" t="s">
        <v>1073</v>
      </c>
      <c r="I2185">
        <f t="shared" si="132"/>
        <v>6.75</v>
      </c>
      <c r="J2185">
        <f t="shared" si="133"/>
        <v>3.0617484975000004</v>
      </c>
      <c r="K2185">
        <v>9.9740000000000002</v>
      </c>
      <c r="L2185">
        <f t="shared" si="131"/>
        <v>30.537879514065004</v>
      </c>
    </row>
    <row r="2186" spans="1:12" x14ac:dyDescent="0.2">
      <c r="A2186" s="4">
        <v>43483</v>
      </c>
      <c r="B2186" t="s">
        <v>517</v>
      </c>
      <c r="C2186">
        <v>1</v>
      </c>
      <c r="D2186">
        <v>6</v>
      </c>
      <c r="E2186">
        <v>3</v>
      </c>
      <c r="F2186" t="s">
        <v>387</v>
      </c>
      <c r="G2186" t="s">
        <v>847</v>
      </c>
      <c r="H2186" s="6" t="s">
        <v>1073</v>
      </c>
      <c r="I2186">
        <f t="shared" si="132"/>
        <v>18</v>
      </c>
      <c r="J2186">
        <f t="shared" si="133"/>
        <v>8.1646626599999994</v>
      </c>
      <c r="K2186">
        <v>9.9740000000000002</v>
      </c>
      <c r="L2186">
        <f t="shared" si="131"/>
        <v>81.434345370839992</v>
      </c>
    </row>
    <row r="2187" spans="1:12" x14ac:dyDescent="0.2">
      <c r="A2187" s="4">
        <v>43483</v>
      </c>
      <c r="B2187" t="s">
        <v>517</v>
      </c>
      <c r="C2187">
        <v>2</v>
      </c>
      <c r="D2187">
        <v>2</v>
      </c>
      <c r="E2187">
        <v>5</v>
      </c>
      <c r="F2187" t="s">
        <v>389</v>
      </c>
      <c r="G2187" t="s">
        <v>847</v>
      </c>
      <c r="H2187" s="6" t="s">
        <v>1073</v>
      </c>
      <c r="I2187">
        <f t="shared" si="132"/>
        <v>20</v>
      </c>
      <c r="J2187">
        <f t="shared" si="133"/>
        <v>9.0718474000000011</v>
      </c>
      <c r="K2187">
        <v>9.9740000000000002</v>
      </c>
      <c r="L2187">
        <f t="shared" si="131"/>
        <v>90.482605967600009</v>
      </c>
    </row>
    <row r="2188" spans="1:12" x14ac:dyDescent="0.2">
      <c r="A2188" s="4">
        <v>43483</v>
      </c>
      <c r="B2188" t="s">
        <v>517</v>
      </c>
      <c r="C2188">
        <v>2</v>
      </c>
      <c r="D2188">
        <v>4</v>
      </c>
      <c r="E2188">
        <v>5</v>
      </c>
      <c r="F2188" t="s">
        <v>390</v>
      </c>
      <c r="G2188" t="s">
        <v>847</v>
      </c>
      <c r="H2188" s="6" t="s">
        <v>1073</v>
      </c>
      <c r="I2188">
        <f t="shared" si="132"/>
        <v>40</v>
      </c>
      <c r="J2188">
        <f t="shared" si="133"/>
        <v>18.143694800000002</v>
      </c>
      <c r="K2188">
        <v>9.9740000000000002</v>
      </c>
      <c r="L2188">
        <f t="shared" si="131"/>
        <v>180.96521193520002</v>
      </c>
    </row>
    <row r="2189" spans="1:12" x14ac:dyDescent="0.2">
      <c r="A2189" s="4">
        <v>43483</v>
      </c>
      <c r="B2189" t="s">
        <v>517</v>
      </c>
      <c r="C2189">
        <v>5</v>
      </c>
      <c r="D2189">
        <v>4</v>
      </c>
      <c r="E2189">
        <v>5</v>
      </c>
      <c r="F2189" t="s">
        <v>391</v>
      </c>
      <c r="G2189" t="s">
        <v>847</v>
      </c>
      <c r="H2189" s="6" t="s">
        <v>1073</v>
      </c>
      <c r="I2189">
        <f t="shared" si="132"/>
        <v>100</v>
      </c>
      <c r="J2189">
        <f t="shared" si="133"/>
        <v>45.359237</v>
      </c>
      <c r="K2189">
        <v>9.9740000000000002</v>
      </c>
      <c r="L2189">
        <f t="shared" si="131"/>
        <v>452.413029838</v>
      </c>
    </row>
    <row r="2190" spans="1:12" x14ac:dyDescent="0.2">
      <c r="A2190" s="4">
        <v>43483</v>
      </c>
      <c r="B2190" t="s">
        <v>517</v>
      </c>
      <c r="C2190">
        <v>10</v>
      </c>
      <c r="D2190">
        <v>4</v>
      </c>
      <c r="E2190">
        <v>5</v>
      </c>
      <c r="F2190" t="s">
        <v>392</v>
      </c>
      <c r="G2190" t="s">
        <v>847</v>
      </c>
      <c r="H2190" s="6" t="s">
        <v>1073</v>
      </c>
      <c r="I2190">
        <f t="shared" ref="I2190:I2221" si="134">C2190*D2190*E2190</f>
        <v>200</v>
      </c>
      <c r="J2190">
        <f t="shared" si="133"/>
        <v>90.718474000000001</v>
      </c>
      <c r="K2190">
        <v>9.9740000000000002</v>
      </c>
      <c r="L2190">
        <f t="shared" si="131"/>
        <v>904.826059676</v>
      </c>
    </row>
    <row r="2191" spans="1:12" x14ac:dyDescent="0.2">
      <c r="A2191" s="4">
        <v>43483</v>
      </c>
      <c r="B2191" t="s">
        <v>517</v>
      </c>
      <c r="C2191">
        <v>1</v>
      </c>
      <c r="D2191">
        <v>4</v>
      </c>
      <c r="E2191">
        <v>2.5</v>
      </c>
      <c r="F2191" t="s">
        <v>1009</v>
      </c>
      <c r="G2191" t="s">
        <v>847</v>
      </c>
      <c r="H2191" s="6" t="s">
        <v>1073</v>
      </c>
      <c r="I2191">
        <f t="shared" si="134"/>
        <v>10</v>
      </c>
      <c r="J2191">
        <f t="shared" si="133"/>
        <v>4.5359237000000006</v>
      </c>
      <c r="K2191">
        <v>9.9740000000000002</v>
      </c>
      <c r="L2191">
        <f t="shared" si="131"/>
        <v>45.241302983800004</v>
      </c>
    </row>
    <row r="2192" spans="1:12" x14ac:dyDescent="0.2">
      <c r="A2192" s="4">
        <v>43483</v>
      </c>
      <c r="B2192" t="s">
        <v>517</v>
      </c>
      <c r="C2192">
        <v>1</v>
      </c>
      <c r="D2192">
        <v>8</v>
      </c>
      <c r="E2192">
        <v>1.25</v>
      </c>
      <c r="F2192" t="s">
        <v>1010</v>
      </c>
      <c r="G2192" t="s">
        <v>847</v>
      </c>
      <c r="H2192" s="6" t="s">
        <v>1073</v>
      </c>
      <c r="I2192">
        <f t="shared" si="134"/>
        <v>10</v>
      </c>
      <c r="J2192">
        <f t="shared" si="133"/>
        <v>4.5359237000000006</v>
      </c>
      <c r="K2192">
        <v>9.9740000000000002</v>
      </c>
      <c r="L2192">
        <f t="shared" si="131"/>
        <v>45.241302983800004</v>
      </c>
    </row>
    <row r="2193" spans="1:12" x14ac:dyDescent="0.2">
      <c r="A2193" s="4">
        <v>43483</v>
      </c>
      <c r="B2193" t="s">
        <v>517</v>
      </c>
      <c r="C2193">
        <v>1</v>
      </c>
      <c r="D2193">
        <v>4</v>
      </c>
      <c r="E2193">
        <v>2.5</v>
      </c>
      <c r="F2193" t="s">
        <v>1011</v>
      </c>
      <c r="G2193" t="s">
        <v>847</v>
      </c>
      <c r="H2193" s="6" t="s">
        <v>1073</v>
      </c>
      <c r="I2193">
        <f t="shared" si="134"/>
        <v>10</v>
      </c>
      <c r="J2193">
        <f t="shared" si="133"/>
        <v>4.5359237000000006</v>
      </c>
      <c r="K2193">
        <v>9.9740000000000002</v>
      </c>
      <c r="L2193">
        <f t="shared" si="131"/>
        <v>45.241302983800004</v>
      </c>
    </row>
    <row r="2194" spans="1:12" x14ac:dyDescent="0.2">
      <c r="A2194" s="4">
        <v>43483</v>
      </c>
      <c r="B2194" t="s">
        <v>517</v>
      </c>
      <c r="C2194">
        <v>2</v>
      </c>
      <c r="D2194">
        <v>2</v>
      </c>
      <c r="E2194">
        <v>5</v>
      </c>
      <c r="F2194" t="s">
        <v>393</v>
      </c>
      <c r="G2194" t="s">
        <v>847</v>
      </c>
      <c r="H2194" s="6" t="s">
        <v>1073</v>
      </c>
      <c r="I2194">
        <f t="shared" si="134"/>
        <v>20</v>
      </c>
      <c r="J2194">
        <f t="shared" si="133"/>
        <v>9.0718474000000011</v>
      </c>
      <c r="K2194">
        <v>9.9740000000000002</v>
      </c>
      <c r="L2194">
        <f t="shared" si="131"/>
        <v>90.482605967600009</v>
      </c>
    </row>
    <row r="2195" spans="1:12" x14ac:dyDescent="0.2">
      <c r="A2195" s="4">
        <v>43483</v>
      </c>
      <c r="B2195" t="s">
        <v>517</v>
      </c>
      <c r="C2195">
        <v>1</v>
      </c>
      <c r="D2195">
        <v>6</v>
      </c>
      <c r="E2195">
        <v>3</v>
      </c>
      <c r="F2195" t="s">
        <v>394</v>
      </c>
      <c r="G2195" t="s">
        <v>847</v>
      </c>
      <c r="H2195" s="6" t="s">
        <v>1073</v>
      </c>
      <c r="I2195">
        <f t="shared" si="134"/>
        <v>18</v>
      </c>
      <c r="J2195">
        <f t="shared" si="133"/>
        <v>8.1646626599999994</v>
      </c>
      <c r="K2195">
        <v>9.9740000000000002</v>
      </c>
      <c r="L2195">
        <f t="shared" si="131"/>
        <v>81.434345370839992</v>
      </c>
    </row>
    <row r="2196" spans="1:12" x14ac:dyDescent="0.2">
      <c r="A2196" s="4">
        <v>43486</v>
      </c>
      <c r="B2196" t="s">
        <v>517</v>
      </c>
      <c r="C2196">
        <v>1</v>
      </c>
      <c r="D2196">
        <v>10</v>
      </c>
      <c r="E2196">
        <v>3</v>
      </c>
      <c r="F2196" t="s">
        <v>587</v>
      </c>
      <c r="G2196" t="s">
        <v>847</v>
      </c>
      <c r="H2196" s="6" t="s">
        <v>1073</v>
      </c>
      <c r="I2196">
        <f t="shared" si="134"/>
        <v>30</v>
      </c>
      <c r="J2196">
        <f t="shared" si="133"/>
        <v>13.607771100000001</v>
      </c>
      <c r="K2196">
        <v>9.9740000000000002</v>
      </c>
      <c r="L2196">
        <f t="shared" si="131"/>
        <v>135.72390895140001</v>
      </c>
    </row>
    <row r="2197" spans="1:12" x14ac:dyDescent="0.2">
      <c r="A2197" s="4">
        <v>43486</v>
      </c>
      <c r="B2197" t="s">
        <v>517</v>
      </c>
      <c r="C2197">
        <v>1</v>
      </c>
      <c r="D2197">
        <v>2</v>
      </c>
      <c r="E2197">
        <v>5</v>
      </c>
      <c r="F2197" t="s">
        <v>389</v>
      </c>
      <c r="G2197" t="s">
        <v>847</v>
      </c>
      <c r="H2197" s="6" t="s">
        <v>1073</v>
      </c>
      <c r="I2197">
        <f t="shared" si="134"/>
        <v>10</v>
      </c>
      <c r="J2197">
        <f t="shared" si="133"/>
        <v>4.5359237000000006</v>
      </c>
      <c r="K2197">
        <v>9.9740000000000002</v>
      </c>
      <c r="L2197">
        <f t="shared" ref="L2197:L2260" si="135">K2197*J2197</f>
        <v>45.241302983800004</v>
      </c>
    </row>
    <row r="2198" spans="1:12" x14ac:dyDescent="0.2">
      <c r="A2198" s="4">
        <v>43486</v>
      </c>
      <c r="B2198" t="s">
        <v>517</v>
      </c>
      <c r="C2198">
        <v>1</v>
      </c>
      <c r="D2198">
        <v>1</v>
      </c>
      <c r="E2198">
        <v>23.85</v>
      </c>
      <c r="F2198" t="s">
        <v>676</v>
      </c>
      <c r="G2198" t="s">
        <v>847</v>
      </c>
      <c r="H2198" s="6" t="s">
        <v>1073</v>
      </c>
      <c r="I2198">
        <f t="shared" si="134"/>
        <v>23.85</v>
      </c>
      <c r="J2198">
        <f t="shared" si="133"/>
        <v>10.818178024500002</v>
      </c>
      <c r="K2198">
        <v>9.9740000000000002</v>
      </c>
      <c r="L2198">
        <f t="shared" si="135"/>
        <v>107.90050761636302</v>
      </c>
    </row>
    <row r="2199" spans="1:12" x14ac:dyDescent="0.2">
      <c r="A2199" s="4">
        <v>43486</v>
      </c>
      <c r="B2199" t="s">
        <v>517</v>
      </c>
      <c r="C2199">
        <v>2</v>
      </c>
      <c r="D2199">
        <v>4</v>
      </c>
      <c r="E2199">
        <v>5</v>
      </c>
      <c r="F2199" t="s">
        <v>391</v>
      </c>
      <c r="G2199" t="s">
        <v>847</v>
      </c>
      <c r="H2199" s="6" t="s">
        <v>1073</v>
      </c>
      <c r="I2199">
        <f t="shared" si="134"/>
        <v>40</v>
      </c>
      <c r="J2199">
        <f t="shared" si="133"/>
        <v>18.143694800000002</v>
      </c>
      <c r="K2199">
        <v>9.9740000000000002</v>
      </c>
      <c r="L2199">
        <f t="shared" si="135"/>
        <v>180.96521193520002</v>
      </c>
    </row>
    <row r="2200" spans="1:12" x14ac:dyDescent="0.2">
      <c r="A2200" s="4">
        <v>43486</v>
      </c>
      <c r="B2200" t="s">
        <v>517</v>
      </c>
      <c r="C2200">
        <v>5</v>
      </c>
      <c r="D2200">
        <v>4</v>
      </c>
      <c r="E2200">
        <v>5</v>
      </c>
      <c r="F2200" t="s">
        <v>392</v>
      </c>
      <c r="G2200" t="s">
        <v>847</v>
      </c>
      <c r="H2200" s="6" t="s">
        <v>1073</v>
      </c>
      <c r="I2200">
        <f t="shared" si="134"/>
        <v>100</v>
      </c>
      <c r="J2200">
        <f t="shared" si="133"/>
        <v>45.359237</v>
      </c>
      <c r="K2200">
        <v>9.9740000000000002</v>
      </c>
      <c r="L2200">
        <f t="shared" si="135"/>
        <v>452.413029838</v>
      </c>
    </row>
    <row r="2201" spans="1:12" x14ac:dyDescent="0.2">
      <c r="A2201" s="4">
        <v>43486</v>
      </c>
      <c r="B2201" t="s">
        <v>517</v>
      </c>
      <c r="C2201">
        <v>1</v>
      </c>
      <c r="D2201">
        <v>8</v>
      </c>
      <c r="E2201">
        <v>1.25</v>
      </c>
      <c r="F2201" t="s">
        <v>1010</v>
      </c>
      <c r="G2201" t="s">
        <v>847</v>
      </c>
      <c r="H2201" s="6" t="s">
        <v>1073</v>
      </c>
      <c r="I2201">
        <f t="shared" si="134"/>
        <v>10</v>
      </c>
      <c r="J2201">
        <f t="shared" si="133"/>
        <v>4.5359237000000006</v>
      </c>
      <c r="K2201">
        <v>9.9740000000000002</v>
      </c>
      <c r="L2201">
        <f t="shared" si="135"/>
        <v>45.241302983800004</v>
      </c>
    </row>
    <row r="2202" spans="1:12" x14ac:dyDescent="0.2">
      <c r="A2202" s="4">
        <v>43486</v>
      </c>
      <c r="B2202" t="s">
        <v>517</v>
      </c>
      <c r="C2202">
        <v>2</v>
      </c>
      <c r="D2202">
        <v>2</v>
      </c>
      <c r="E2202">
        <v>5</v>
      </c>
      <c r="F2202" t="s">
        <v>393</v>
      </c>
      <c r="G2202" t="s">
        <v>847</v>
      </c>
      <c r="H2202" s="6" t="s">
        <v>1073</v>
      </c>
      <c r="I2202">
        <f t="shared" si="134"/>
        <v>20</v>
      </c>
      <c r="J2202">
        <f t="shared" si="133"/>
        <v>9.0718474000000011</v>
      </c>
      <c r="K2202">
        <v>9.9740000000000002</v>
      </c>
      <c r="L2202">
        <f t="shared" si="135"/>
        <v>90.482605967600009</v>
      </c>
    </row>
    <row r="2203" spans="1:12" x14ac:dyDescent="0.2">
      <c r="A2203" s="4">
        <v>43488</v>
      </c>
      <c r="B2203" t="s">
        <v>517</v>
      </c>
      <c r="C2203">
        <v>2</v>
      </c>
      <c r="D2203">
        <v>4</v>
      </c>
      <c r="E2203">
        <v>5</v>
      </c>
      <c r="F2203" t="s">
        <v>390</v>
      </c>
      <c r="G2203" t="s">
        <v>847</v>
      </c>
      <c r="H2203" s="6" t="s">
        <v>1073</v>
      </c>
      <c r="I2203">
        <f t="shared" si="134"/>
        <v>40</v>
      </c>
      <c r="J2203">
        <f t="shared" si="133"/>
        <v>18.143694800000002</v>
      </c>
      <c r="K2203">
        <v>9.9740000000000002</v>
      </c>
      <c r="L2203">
        <f t="shared" si="135"/>
        <v>180.96521193520002</v>
      </c>
    </row>
    <row r="2204" spans="1:12" x14ac:dyDescent="0.2">
      <c r="A2204" s="4">
        <v>43488</v>
      </c>
      <c r="B2204" t="s">
        <v>517</v>
      </c>
      <c r="C2204">
        <v>1</v>
      </c>
      <c r="D2204">
        <v>4</v>
      </c>
      <c r="E2204">
        <v>5</v>
      </c>
      <c r="F2204" t="s">
        <v>391</v>
      </c>
      <c r="G2204" t="s">
        <v>847</v>
      </c>
      <c r="H2204" s="6" t="s">
        <v>1073</v>
      </c>
      <c r="I2204">
        <f t="shared" si="134"/>
        <v>20</v>
      </c>
      <c r="J2204">
        <f t="shared" si="133"/>
        <v>9.0718474000000011</v>
      </c>
      <c r="K2204">
        <v>9.9740000000000002</v>
      </c>
      <c r="L2204">
        <f t="shared" si="135"/>
        <v>90.482605967600009</v>
      </c>
    </row>
    <row r="2205" spans="1:12" x14ac:dyDescent="0.2">
      <c r="A2205" s="4">
        <v>43488</v>
      </c>
      <c r="B2205" t="s">
        <v>517</v>
      </c>
      <c r="C2205">
        <v>4</v>
      </c>
      <c r="D2205">
        <v>4</v>
      </c>
      <c r="E2205">
        <v>5</v>
      </c>
      <c r="F2205" t="s">
        <v>392</v>
      </c>
      <c r="G2205" t="s">
        <v>847</v>
      </c>
      <c r="H2205" s="6" t="s">
        <v>1073</v>
      </c>
      <c r="I2205">
        <f t="shared" si="134"/>
        <v>80</v>
      </c>
      <c r="J2205">
        <f t="shared" si="133"/>
        <v>36.287389600000004</v>
      </c>
      <c r="K2205">
        <v>9.9740000000000002</v>
      </c>
      <c r="L2205">
        <f t="shared" si="135"/>
        <v>361.93042387040003</v>
      </c>
    </row>
    <row r="2206" spans="1:12" x14ac:dyDescent="0.2">
      <c r="A2206" s="4">
        <v>43488</v>
      </c>
      <c r="B2206" t="s">
        <v>517</v>
      </c>
      <c r="C2206">
        <v>1</v>
      </c>
      <c r="D2206">
        <v>8</v>
      </c>
      <c r="E2206">
        <v>1.25</v>
      </c>
      <c r="F2206" t="s">
        <v>1010</v>
      </c>
      <c r="G2206" t="s">
        <v>847</v>
      </c>
      <c r="H2206" s="6" t="s">
        <v>1073</v>
      </c>
      <c r="I2206">
        <f t="shared" si="134"/>
        <v>10</v>
      </c>
      <c r="J2206">
        <f t="shared" si="133"/>
        <v>4.5359237000000006</v>
      </c>
      <c r="K2206">
        <v>9.9740000000000002</v>
      </c>
      <c r="L2206">
        <f t="shared" si="135"/>
        <v>45.241302983800004</v>
      </c>
    </row>
    <row r="2207" spans="1:12" x14ac:dyDescent="0.2">
      <c r="A2207" s="4">
        <v>43488</v>
      </c>
      <c r="B2207" t="s">
        <v>517</v>
      </c>
      <c r="C2207">
        <v>1</v>
      </c>
      <c r="D2207">
        <v>2</v>
      </c>
      <c r="E2207">
        <v>5</v>
      </c>
      <c r="F2207" t="s">
        <v>393</v>
      </c>
      <c r="G2207" t="s">
        <v>847</v>
      </c>
      <c r="H2207" s="6" t="s">
        <v>1073</v>
      </c>
      <c r="I2207">
        <f t="shared" si="134"/>
        <v>10</v>
      </c>
      <c r="J2207">
        <f t="shared" si="133"/>
        <v>4.5359237000000006</v>
      </c>
      <c r="K2207">
        <v>9.9740000000000002</v>
      </c>
      <c r="L2207">
        <f t="shared" si="135"/>
        <v>45.241302983800004</v>
      </c>
    </row>
    <row r="2208" spans="1:12" x14ac:dyDescent="0.2">
      <c r="A2208" s="4">
        <v>43483</v>
      </c>
      <c r="B2208" t="s">
        <v>531</v>
      </c>
      <c r="C2208">
        <v>4</v>
      </c>
      <c r="D2208">
        <v>2</v>
      </c>
      <c r="E2208">
        <v>4</v>
      </c>
      <c r="F2208" t="s">
        <v>652</v>
      </c>
      <c r="G2208" t="s">
        <v>847</v>
      </c>
      <c r="H2208" s="6" t="s">
        <v>1073</v>
      </c>
      <c r="I2208">
        <f t="shared" si="134"/>
        <v>32</v>
      </c>
      <c r="J2208">
        <f t="shared" si="133"/>
        <v>14.514955840000001</v>
      </c>
      <c r="K2208">
        <v>9.9740000000000002</v>
      </c>
      <c r="L2208">
        <f t="shared" si="135"/>
        <v>144.77216954816001</v>
      </c>
    </row>
    <row r="2209" spans="1:12" x14ac:dyDescent="0.2">
      <c r="A2209" s="13">
        <v>43489</v>
      </c>
      <c r="B2209" s="6" t="s">
        <v>175</v>
      </c>
      <c r="C2209" s="6">
        <v>1</v>
      </c>
      <c r="D2209" s="6">
        <v>1</v>
      </c>
      <c r="E2209" s="6">
        <v>80</v>
      </c>
      <c r="F2209" s="6" t="s">
        <v>31</v>
      </c>
      <c r="G2209" s="6" t="s">
        <v>755</v>
      </c>
      <c r="H2209" s="6" t="s">
        <v>1072</v>
      </c>
      <c r="I2209">
        <f t="shared" si="134"/>
        <v>80</v>
      </c>
      <c r="J2209">
        <f t="shared" si="133"/>
        <v>36.287389600000004</v>
      </c>
      <c r="K2209">
        <v>4.1879999999999997</v>
      </c>
      <c r="L2209">
        <f t="shared" si="135"/>
        <v>151.9715876448</v>
      </c>
    </row>
    <row r="2210" spans="1:12" x14ac:dyDescent="0.2">
      <c r="A2210" s="4">
        <v>43488</v>
      </c>
      <c r="B2210" t="s">
        <v>615</v>
      </c>
      <c r="C2210" s="6">
        <v>1</v>
      </c>
      <c r="D2210" s="6">
        <v>1</v>
      </c>
      <c r="E2210">
        <v>200</v>
      </c>
      <c r="F2210" s="9" t="s">
        <v>51</v>
      </c>
      <c r="G2210" s="9" t="s">
        <v>755</v>
      </c>
      <c r="H2210" s="6" t="s">
        <v>1072</v>
      </c>
      <c r="I2210">
        <f t="shared" si="134"/>
        <v>200</v>
      </c>
      <c r="J2210">
        <f t="shared" si="133"/>
        <v>90.718474000000001</v>
      </c>
      <c r="K2210">
        <v>4.1879999999999997</v>
      </c>
      <c r="L2210">
        <f t="shared" si="135"/>
        <v>379.928969112</v>
      </c>
    </row>
    <row r="2211" spans="1:12" x14ac:dyDescent="0.2">
      <c r="A2211" s="4">
        <v>43488</v>
      </c>
      <c r="B2211" t="s">
        <v>615</v>
      </c>
      <c r="C2211" s="6">
        <v>1</v>
      </c>
      <c r="D2211" s="6">
        <v>1</v>
      </c>
      <c r="E2211">
        <v>20</v>
      </c>
      <c r="F2211" s="9" t="s">
        <v>295</v>
      </c>
      <c r="G2211" s="9" t="s">
        <v>755</v>
      </c>
      <c r="H2211" s="6" t="s">
        <v>1072</v>
      </c>
      <c r="I2211">
        <f t="shared" si="134"/>
        <v>20</v>
      </c>
      <c r="J2211">
        <f t="shared" si="133"/>
        <v>9.0718474000000011</v>
      </c>
      <c r="K2211">
        <v>4.1879999999999997</v>
      </c>
      <c r="L2211">
        <f t="shared" si="135"/>
        <v>37.992896911199999</v>
      </c>
    </row>
    <row r="2212" spans="1:12" x14ac:dyDescent="0.2">
      <c r="A2212" s="4">
        <v>43488</v>
      </c>
      <c r="B2212" t="s">
        <v>615</v>
      </c>
      <c r="C2212" s="6">
        <v>1</v>
      </c>
      <c r="D2212" s="6">
        <v>1</v>
      </c>
      <c r="E2212">
        <v>160</v>
      </c>
      <c r="F2212" s="9" t="s">
        <v>295</v>
      </c>
      <c r="G2212" s="9" t="s">
        <v>755</v>
      </c>
      <c r="H2212" s="6" t="s">
        <v>1072</v>
      </c>
      <c r="I2212">
        <f t="shared" si="134"/>
        <v>160</v>
      </c>
      <c r="J2212">
        <f t="shared" si="133"/>
        <v>72.574779200000009</v>
      </c>
      <c r="K2212">
        <v>4.1879999999999997</v>
      </c>
      <c r="L2212">
        <f t="shared" si="135"/>
        <v>303.94317528959999</v>
      </c>
    </row>
    <row r="2213" spans="1:12" x14ac:dyDescent="0.2">
      <c r="A2213" s="4">
        <v>43488</v>
      </c>
      <c r="B2213" t="s">
        <v>615</v>
      </c>
      <c r="C2213" s="6">
        <v>1</v>
      </c>
      <c r="D2213" s="6">
        <v>1</v>
      </c>
      <c r="E2213">
        <v>160</v>
      </c>
      <c r="F2213" s="9" t="s">
        <v>52</v>
      </c>
      <c r="G2213" s="9" t="s">
        <v>755</v>
      </c>
      <c r="H2213" s="6" t="s">
        <v>1072</v>
      </c>
      <c r="I2213">
        <f t="shared" si="134"/>
        <v>160</v>
      </c>
      <c r="J2213">
        <f t="shared" si="133"/>
        <v>72.574779200000009</v>
      </c>
      <c r="K2213">
        <v>4.1879999999999997</v>
      </c>
      <c r="L2213">
        <f t="shared" si="135"/>
        <v>303.94317528959999</v>
      </c>
    </row>
    <row r="2214" spans="1:12" x14ac:dyDescent="0.2">
      <c r="A2214" s="4">
        <v>43489</v>
      </c>
      <c r="B2214" t="s">
        <v>615</v>
      </c>
      <c r="C2214" s="6">
        <v>1</v>
      </c>
      <c r="D2214" s="6">
        <v>1</v>
      </c>
      <c r="E2214">
        <v>300</v>
      </c>
      <c r="F2214" s="9" t="s">
        <v>51</v>
      </c>
      <c r="G2214" s="9" t="s">
        <v>755</v>
      </c>
      <c r="H2214" s="6" t="s">
        <v>1072</v>
      </c>
      <c r="I2214">
        <f t="shared" si="134"/>
        <v>300</v>
      </c>
      <c r="J2214">
        <f t="shared" si="133"/>
        <v>136.07771100000002</v>
      </c>
      <c r="K2214">
        <v>4.1879999999999997</v>
      </c>
      <c r="L2214">
        <f t="shared" si="135"/>
        <v>569.89345366800001</v>
      </c>
    </row>
    <row r="2215" spans="1:12" x14ac:dyDescent="0.2">
      <c r="A2215" s="4">
        <v>43487</v>
      </c>
      <c r="B2215" t="s">
        <v>201</v>
      </c>
      <c r="C2215" s="6">
        <v>1</v>
      </c>
      <c r="D2215" s="6">
        <v>1</v>
      </c>
      <c r="E2215">
        <v>160</v>
      </c>
      <c r="F2215" s="9" t="s">
        <v>51</v>
      </c>
      <c r="G2215" s="9" t="s">
        <v>755</v>
      </c>
      <c r="H2215" s="6" t="s">
        <v>1072</v>
      </c>
      <c r="I2215">
        <f t="shared" si="134"/>
        <v>160</v>
      </c>
      <c r="J2215">
        <f t="shared" si="133"/>
        <v>72.574779200000009</v>
      </c>
      <c r="K2215">
        <v>4.1879999999999997</v>
      </c>
      <c r="L2215">
        <f t="shared" si="135"/>
        <v>303.94317528959999</v>
      </c>
    </row>
    <row r="2216" spans="1:12" x14ac:dyDescent="0.2">
      <c r="A2216" s="4">
        <v>43484</v>
      </c>
      <c r="B2216" t="s">
        <v>201</v>
      </c>
      <c r="C2216" s="6">
        <v>1</v>
      </c>
      <c r="D2216" s="6">
        <v>1</v>
      </c>
      <c r="E2216">
        <v>100</v>
      </c>
      <c r="F2216" s="9" t="s">
        <v>31</v>
      </c>
      <c r="G2216" s="9" t="s">
        <v>755</v>
      </c>
      <c r="H2216" s="6" t="s">
        <v>1072</v>
      </c>
      <c r="I2216">
        <f t="shared" si="134"/>
        <v>100</v>
      </c>
      <c r="J2216">
        <f t="shared" si="133"/>
        <v>45.359237</v>
      </c>
      <c r="K2216">
        <v>4.1879999999999997</v>
      </c>
      <c r="L2216">
        <f t="shared" si="135"/>
        <v>189.964484556</v>
      </c>
    </row>
    <row r="2217" spans="1:12" x14ac:dyDescent="0.2">
      <c r="A2217" s="4">
        <v>43484</v>
      </c>
      <c r="B2217" t="s">
        <v>201</v>
      </c>
      <c r="C2217" s="6">
        <v>1</v>
      </c>
      <c r="D2217" s="6">
        <v>1</v>
      </c>
      <c r="E2217">
        <v>80</v>
      </c>
      <c r="F2217" s="9" t="s">
        <v>295</v>
      </c>
      <c r="G2217" s="9" t="s">
        <v>755</v>
      </c>
      <c r="H2217" s="6" t="s">
        <v>1072</v>
      </c>
      <c r="I2217">
        <f t="shared" si="134"/>
        <v>80</v>
      </c>
      <c r="J2217">
        <f t="shared" si="133"/>
        <v>36.287389600000004</v>
      </c>
      <c r="K2217">
        <v>4.1879999999999997</v>
      </c>
      <c r="L2217">
        <f t="shared" si="135"/>
        <v>151.9715876448</v>
      </c>
    </row>
    <row r="2218" spans="1:12" x14ac:dyDescent="0.2">
      <c r="A2218" s="4">
        <v>43483</v>
      </c>
      <c r="B2218" t="s">
        <v>201</v>
      </c>
      <c r="C2218" s="6">
        <v>1</v>
      </c>
      <c r="D2218" s="6">
        <v>1</v>
      </c>
      <c r="E2218">
        <v>300</v>
      </c>
      <c r="F2218" s="9" t="s">
        <v>51</v>
      </c>
      <c r="G2218" s="9" t="s">
        <v>755</v>
      </c>
      <c r="H2218" s="6" t="s">
        <v>1072</v>
      </c>
      <c r="I2218">
        <f t="shared" si="134"/>
        <v>300</v>
      </c>
      <c r="J2218">
        <f t="shared" si="133"/>
        <v>136.07771100000002</v>
      </c>
      <c r="K2218">
        <v>4.1879999999999997</v>
      </c>
      <c r="L2218">
        <f t="shared" si="135"/>
        <v>569.89345366800001</v>
      </c>
    </row>
    <row r="2219" spans="1:12" x14ac:dyDescent="0.2">
      <c r="A2219" s="4">
        <v>43483</v>
      </c>
      <c r="B2219" t="s">
        <v>201</v>
      </c>
      <c r="C2219" s="6">
        <v>1</v>
      </c>
      <c r="D2219" s="6">
        <v>1</v>
      </c>
      <c r="E2219">
        <v>120</v>
      </c>
      <c r="F2219" s="9" t="s">
        <v>52</v>
      </c>
      <c r="G2219" s="9" t="s">
        <v>755</v>
      </c>
      <c r="H2219" s="6" t="s">
        <v>1072</v>
      </c>
      <c r="I2219">
        <f t="shared" si="134"/>
        <v>120</v>
      </c>
      <c r="J2219">
        <f t="shared" si="133"/>
        <v>54.431084400000003</v>
      </c>
      <c r="K2219">
        <v>4.1879999999999997</v>
      </c>
      <c r="L2219">
        <f t="shared" si="135"/>
        <v>227.95738146720001</v>
      </c>
    </row>
    <row r="2220" spans="1:12" x14ac:dyDescent="0.2">
      <c r="A2220" s="4">
        <v>43486</v>
      </c>
      <c r="B2220" t="s">
        <v>201</v>
      </c>
      <c r="C2220" s="6">
        <v>1</v>
      </c>
      <c r="D2220" s="6">
        <v>1</v>
      </c>
      <c r="E2220">
        <v>300</v>
      </c>
      <c r="F2220" s="9" t="s">
        <v>51</v>
      </c>
      <c r="G2220" s="9" t="s">
        <v>755</v>
      </c>
      <c r="H2220" s="6" t="s">
        <v>1072</v>
      </c>
      <c r="I2220">
        <f t="shared" si="134"/>
        <v>300</v>
      </c>
      <c r="J2220">
        <f t="shared" si="133"/>
        <v>136.07771100000002</v>
      </c>
      <c r="K2220">
        <v>4.1879999999999997</v>
      </c>
      <c r="L2220">
        <f t="shared" si="135"/>
        <v>569.89345366800001</v>
      </c>
    </row>
    <row r="2221" spans="1:12" x14ac:dyDescent="0.2">
      <c r="A2221" s="4">
        <v>43486</v>
      </c>
      <c r="B2221" t="s">
        <v>201</v>
      </c>
      <c r="C2221" s="6">
        <v>1</v>
      </c>
      <c r="D2221" s="6">
        <v>1</v>
      </c>
      <c r="E2221">
        <v>300</v>
      </c>
      <c r="F2221" s="9" t="s">
        <v>295</v>
      </c>
      <c r="G2221" s="9" t="s">
        <v>755</v>
      </c>
      <c r="H2221" s="6" t="s">
        <v>1072</v>
      </c>
      <c r="I2221">
        <f t="shared" si="134"/>
        <v>300</v>
      </c>
      <c r="J2221">
        <f t="shared" si="133"/>
        <v>136.07771100000002</v>
      </c>
      <c r="K2221">
        <v>4.1879999999999997</v>
      </c>
      <c r="L2221">
        <f t="shared" si="135"/>
        <v>569.89345366800001</v>
      </c>
    </row>
    <row r="2222" spans="1:12" x14ac:dyDescent="0.2">
      <c r="A2222" s="4">
        <v>43486</v>
      </c>
      <c r="B2222" t="s">
        <v>201</v>
      </c>
      <c r="C2222" s="6">
        <v>1</v>
      </c>
      <c r="D2222" s="6">
        <v>1</v>
      </c>
      <c r="E2222">
        <v>20</v>
      </c>
      <c r="F2222" s="9" t="s">
        <v>474</v>
      </c>
      <c r="G2222" s="9" t="s">
        <v>755</v>
      </c>
      <c r="H2222" s="6" t="s">
        <v>1072</v>
      </c>
      <c r="I2222">
        <f t="shared" ref="I2222:I2229" si="136">C2222*D2222*E2222</f>
        <v>20</v>
      </c>
      <c r="J2222">
        <f t="shared" si="133"/>
        <v>9.0718474000000011</v>
      </c>
      <c r="K2222">
        <v>4.1879999999999997</v>
      </c>
      <c r="L2222">
        <f t="shared" si="135"/>
        <v>37.992896911199999</v>
      </c>
    </row>
    <row r="2223" spans="1:12" x14ac:dyDescent="0.2">
      <c r="A2223" s="4">
        <v>43486</v>
      </c>
      <c r="B2223" t="s">
        <v>201</v>
      </c>
      <c r="C2223" s="6">
        <v>1</v>
      </c>
      <c r="D2223" s="6">
        <v>1</v>
      </c>
      <c r="E2223">
        <v>120</v>
      </c>
      <c r="F2223" s="9" t="s">
        <v>52</v>
      </c>
      <c r="G2223" s="9" t="s">
        <v>755</v>
      </c>
      <c r="H2223" s="6" t="s">
        <v>1072</v>
      </c>
      <c r="I2223">
        <f t="shared" si="136"/>
        <v>120</v>
      </c>
      <c r="J2223">
        <f t="shared" si="133"/>
        <v>54.431084400000003</v>
      </c>
      <c r="K2223">
        <v>4.1879999999999997</v>
      </c>
      <c r="L2223">
        <f t="shared" si="135"/>
        <v>227.95738146720001</v>
      </c>
    </row>
    <row r="2224" spans="1:12" x14ac:dyDescent="0.2">
      <c r="A2224" s="4">
        <v>43483</v>
      </c>
      <c r="B2224" t="s">
        <v>530</v>
      </c>
      <c r="C2224">
        <v>6</v>
      </c>
      <c r="D2224">
        <v>160</v>
      </c>
      <c r="E2224">
        <f>1/16</f>
        <v>6.25E-2</v>
      </c>
      <c r="F2224" t="s">
        <v>401</v>
      </c>
      <c r="G2224" t="s">
        <v>755</v>
      </c>
      <c r="H2224" s="6" t="s">
        <v>1072</v>
      </c>
      <c r="I2224">
        <f t="shared" si="136"/>
        <v>60</v>
      </c>
      <c r="J2224">
        <f t="shared" si="133"/>
        <v>27.215542200000002</v>
      </c>
      <c r="K2224">
        <v>4.1879999999999997</v>
      </c>
      <c r="L2224">
        <f t="shared" si="135"/>
        <v>113.9786907336</v>
      </c>
    </row>
    <row r="2225" spans="1:12" x14ac:dyDescent="0.2">
      <c r="A2225" s="4">
        <v>43486</v>
      </c>
      <c r="B2225" t="s">
        <v>530</v>
      </c>
      <c r="C2225">
        <v>5</v>
      </c>
      <c r="D2225">
        <v>160</v>
      </c>
      <c r="E2225">
        <f>1/16</f>
        <v>6.25E-2</v>
      </c>
      <c r="F2225" t="s">
        <v>401</v>
      </c>
      <c r="G2225" t="s">
        <v>755</v>
      </c>
      <c r="H2225" s="6" t="s">
        <v>1072</v>
      </c>
      <c r="I2225">
        <f t="shared" si="136"/>
        <v>50</v>
      </c>
      <c r="J2225">
        <f t="shared" si="133"/>
        <v>22.6796185</v>
      </c>
      <c r="K2225">
        <v>4.1879999999999997</v>
      </c>
      <c r="L2225">
        <f t="shared" si="135"/>
        <v>94.982242278000001</v>
      </c>
    </row>
    <row r="2226" spans="1:12" x14ac:dyDescent="0.2">
      <c r="A2226" s="4">
        <v>43483</v>
      </c>
      <c r="B2226" t="s">
        <v>538</v>
      </c>
      <c r="C2226">
        <v>3</v>
      </c>
      <c r="D2226">
        <v>6</v>
      </c>
      <c r="E2226">
        <v>10</v>
      </c>
      <c r="F2226" t="s">
        <v>539</v>
      </c>
      <c r="G2226" t="s">
        <v>896</v>
      </c>
      <c r="H2226" s="6" t="s">
        <v>1071</v>
      </c>
      <c r="I2226">
        <f t="shared" si="136"/>
        <v>180</v>
      </c>
      <c r="J2226">
        <f t="shared" si="133"/>
        <v>81.646626600000005</v>
      </c>
      <c r="K2226">
        <v>0.49099999999999999</v>
      </c>
      <c r="L2226">
        <f t="shared" si="135"/>
        <v>40.088493660600001</v>
      </c>
    </row>
    <row r="2227" spans="1:12" x14ac:dyDescent="0.2">
      <c r="A2227" s="4">
        <v>43486</v>
      </c>
      <c r="B2227" t="s">
        <v>538</v>
      </c>
      <c r="C2227">
        <v>3</v>
      </c>
      <c r="D2227">
        <v>6</v>
      </c>
      <c r="E2227">
        <v>10</v>
      </c>
      <c r="F2227" t="s">
        <v>539</v>
      </c>
      <c r="G2227" t="s">
        <v>896</v>
      </c>
      <c r="H2227" s="6" t="s">
        <v>1071</v>
      </c>
      <c r="I2227">
        <f t="shared" si="136"/>
        <v>180</v>
      </c>
      <c r="J2227">
        <f t="shared" si="133"/>
        <v>81.646626600000005</v>
      </c>
      <c r="K2227">
        <v>0.49099999999999999</v>
      </c>
      <c r="L2227">
        <f t="shared" si="135"/>
        <v>40.088493660600001</v>
      </c>
    </row>
    <row r="2228" spans="1:12" x14ac:dyDescent="0.2">
      <c r="A2228" s="4">
        <v>43488</v>
      </c>
      <c r="B2228" t="s">
        <v>538</v>
      </c>
      <c r="C2228">
        <v>3</v>
      </c>
      <c r="D2228">
        <v>6</v>
      </c>
      <c r="E2228">
        <v>10</v>
      </c>
      <c r="F2228" t="s">
        <v>539</v>
      </c>
      <c r="G2228" t="s">
        <v>896</v>
      </c>
      <c r="H2228" s="6" t="s">
        <v>1071</v>
      </c>
      <c r="I2228">
        <f t="shared" si="136"/>
        <v>180</v>
      </c>
      <c r="J2228">
        <f t="shared" si="133"/>
        <v>81.646626600000005</v>
      </c>
      <c r="K2228">
        <v>0.49099999999999999</v>
      </c>
      <c r="L2228">
        <f t="shared" si="135"/>
        <v>40.088493660600001</v>
      </c>
    </row>
    <row r="2229" spans="1:12" x14ac:dyDescent="0.2">
      <c r="A2229" s="4">
        <v>43483</v>
      </c>
      <c r="B2229" t="s">
        <v>48</v>
      </c>
      <c r="C2229" s="28">
        <v>2</v>
      </c>
      <c r="D2229" s="6">
        <v>1</v>
      </c>
      <c r="E2229">
        <f>30*(2.8/16)</f>
        <v>5.25</v>
      </c>
      <c r="F2229" t="s">
        <v>300</v>
      </c>
      <c r="G2229" t="s">
        <v>300</v>
      </c>
      <c r="H2229" s="6" t="s">
        <v>1071</v>
      </c>
      <c r="I2229">
        <f t="shared" si="136"/>
        <v>10.5</v>
      </c>
      <c r="J2229">
        <f t="shared" si="133"/>
        <v>4.7627198850000001</v>
      </c>
      <c r="K2229">
        <v>0.26100000000000001</v>
      </c>
      <c r="L2229">
        <f t="shared" si="135"/>
        <v>1.2430698899850001</v>
      </c>
    </row>
    <row r="2230" spans="1:12" x14ac:dyDescent="0.2">
      <c r="A2230" s="4">
        <v>43483</v>
      </c>
      <c r="B2230" t="s">
        <v>538</v>
      </c>
      <c r="C2230">
        <v>1</v>
      </c>
      <c r="D2230">
        <v>6</v>
      </c>
      <c r="E2230" t="s">
        <v>422</v>
      </c>
      <c r="F2230" t="s">
        <v>423</v>
      </c>
      <c r="G2230" s="14" t="s">
        <v>971</v>
      </c>
      <c r="H2230" s="6" t="s">
        <v>1071</v>
      </c>
      <c r="I2230">
        <v>0</v>
      </c>
      <c r="J2230">
        <f t="shared" si="133"/>
        <v>0</v>
      </c>
      <c r="K2230">
        <v>33.646999999999998</v>
      </c>
      <c r="L2230">
        <f t="shared" si="135"/>
        <v>0</v>
      </c>
    </row>
    <row r="2231" spans="1:12" x14ac:dyDescent="0.2">
      <c r="A2231" s="13">
        <v>43487</v>
      </c>
      <c r="B2231" s="6" t="s">
        <v>603</v>
      </c>
      <c r="C2231" s="6">
        <v>1</v>
      </c>
      <c r="D2231" s="6">
        <v>1</v>
      </c>
      <c r="E2231" s="6">
        <v>5</v>
      </c>
      <c r="F2231" s="6" t="s">
        <v>604</v>
      </c>
      <c r="G2231" s="6" t="s">
        <v>809</v>
      </c>
      <c r="H2231" s="6" t="s">
        <v>1071</v>
      </c>
      <c r="I2231">
        <f t="shared" ref="I2231:I2248" si="137">C2231*D2231*E2231</f>
        <v>5</v>
      </c>
      <c r="J2231">
        <f t="shared" si="133"/>
        <v>2.2679618500000003</v>
      </c>
      <c r="K2231">
        <v>6.2789999999999999</v>
      </c>
      <c r="L2231">
        <f t="shared" si="135"/>
        <v>14.240532456150001</v>
      </c>
    </row>
    <row r="2232" spans="1:12" x14ac:dyDescent="0.2">
      <c r="A2232" s="13">
        <v>43487</v>
      </c>
      <c r="B2232" s="6" t="s">
        <v>603</v>
      </c>
      <c r="C2232" s="6">
        <v>1</v>
      </c>
      <c r="D2232" s="6">
        <v>1</v>
      </c>
      <c r="E2232" s="6">
        <v>5</v>
      </c>
      <c r="F2232" s="6" t="s">
        <v>605</v>
      </c>
      <c r="G2232" s="6" t="s">
        <v>809</v>
      </c>
      <c r="H2232" s="6" t="s">
        <v>1071</v>
      </c>
      <c r="I2232">
        <f t="shared" si="137"/>
        <v>5</v>
      </c>
      <c r="J2232">
        <f t="shared" si="133"/>
        <v>2.2679618500000003</v>
      </c>
      <c r="K2232">
        <v>6.2789999999999999</v>
      </c>
      <c r="L2232">
        <f t="shared" si="135"/>
        <v>14.240532456150001</v>
      </c>
    </row>
    <row r="2233" spans="1:12" x14ac:dyDescent="0.2">
      <c r="A2233" s="4">
        <v>43488</v>
      </c>
      <c r="B2233" t="s">
        <v>48</v>
      </c>
      <c r="C2233" s="28">
        <v>4</v>
      </c>
      <c r="D2233" s="6">
        <v>1</v>
      </c>
      <c r="E2233">
        <v>10</v>
      </c>
      <c r="F2233" t="s">
        <v>344</v>
      </c>
      <c r="G2233" t="s">
        <v>794</v>
      </c>
      <c r="H2233" s="6" t="s">
        <v>1071</v>
      </c>
      <c r="I2233">
        <f t="shared" si="137"/>
        <v>40</v>
      </c>
      <c r="J2233">
        <f t="shared" si="133"/>
        <v>18.143694800000002</v>
      </c>
      <c r="K2233">
        <v>0.20599999999999999</v>
      </c>
      <c r="L2233">
        <f t="shared" si="135"/>
        <v>3.7376011288000002</v>
      </c>
    </row>
    <row r="2234" spans="1:12" x14ac:dyDescent="0.2">
      <c r="A2234" s="4">
        <v>43483</v>
      </c>
      <c r="B2234" t="s">
        <v>538</v>
      </c>
      <c r="C2234">
        <v>1</v>
      </c>
      <c r="D2234">
        <v>12</v>
      </c>
      <c r="E2234">
        <f>25/16</f>
        <v>1.5625</v>
      </c>
      <c r="F2234" t="s">
        <v>449</v>
      </c>
      <c r="G2234" t="s">
        <v>980</v>
      </c>
      <c r="H2234" s="6" t="s">
        <v>1071</v>
      </c>
      <c r="I2234">
        <f t="shared" si="137"/>
        <v>18.75</v>
      </c>
      <c r="J2234">
        <f t="shared" si="133"/>
        <v>8.5048569375000014</v>
      </c>
      <c r="K2234" s="9">
        <v>3.33</v>
      </c>
      <c r="L2234">
        <f t="shared" si="135"/>
        <v>28.321173601875007</v>
      </c>
    </row>
    <row r="2235" spans="1:12" x14ac:dyDescent="0.2">
      <c r="A2235" s="4">
        <v>43483</v>
      </c>
      <c r="B2235" t="s">
        <v>538</v>
      </c>
      <c r="C2235">
        <v>1</v>
      </c>
      <c r="D2235">
        <v>4</v>
      </c>
      <c r="E2235">
        <v>8.35</v>
      </c>
      <c r="F2235" t="s">
        <v>584</v>
      </c>
      <c r="G2235" t="s">
        <v>980</v>
      </c>
      <c r="H2235" s="6" t="s">
        <v>1071</v>
      </c>
      <c r="I2235">
        <f t="shared" si="137"/>
        <v>33.4</v>
      </c>
      <c r="J2235">
        <f t="shared" si="133"/>
        <v>15.149985158</v>
      </c>
      <c r="K2235" s="9">
        <v>3.33</v>
      </c>
      <c r="L2235">
        <f t="shared" si="135"/>
        <v>50.449450576140002</v>
      </c>
    </row>
    <row r="2236" spans="1:12" x14ac:dyDescent="0.2">
      <c r="A2236" s="4">
        <v>43483</v>
      </c>
      <c r="B2236" t="s">
        <v>538</v>
      </c>
      <c r="C2236">
        <v>1</v>
      </c>
      <c r="D2236">
        <v>12</v>
      </c>
      <c r="E2236">
        <f>17/16</f>
        <v>1.0625</v>
      </c>
      <c r="F2236" t="s">
        <v>460</v>
      </c>
      <c r="G2236" t="s">
        <v>980</v>
      </c>
      <c r="H2236" s="6" t="s">
        <v>1071</v>
      </c>
      <c r="I2236">
        <f t="shared" si="137"/>
        <v>12.75</v>
      </c>
      <c r="J2236">
        <f t="shared" si="133"/>
        <v>5.7833027175000007</v>
      </c>
      <c r="K2236" s="9">
        <v>3.33</v>
      </c>
      <c r="L2236">
        <f t="shared" si="135"/>
        <v>19.258398049275002</v>
      </c>
    </row>
    <row r="2237" spans="1:12" x14ac:dyDescent="0.2">
      <c r="A2237" s="4">
        <v>43483</v>
      </c>
      <c r="B2237" t="s">
        <v>538</v>
      </c>
      <c r="C2237">
        <v>1</v>
      </c>
      <c r="D2237">
        <v>6</v>
      </c>
      <c r="E2237">
        <f>7+(2/16)</f>
        <v>7.125</v>
      </c>
      <c r="F2237" t="s">
        <v>1007</v>
      </c>
      <c r="G2237" t="s">
        <v>980</v>
      </c>
      <c r="H2237" s="6" t="s">
        <v>1071</v>
      </c>
      <c r="I2237">
        <f t="shared" si="137"/>
        <v>42.75</v>
      </c>
      <c r="J2237">
        <f t="shared" si="133"/>
        <v>19.391073817500001</v>
      </c>
      <c r="K2237" s="9">
        <v>3.33</v>
      </c>
      <c r="L2237">
        <f t="shared" si="135"/>
        <v>64.572275812275009</v>
      </c>
    </row>
    <row r="2238" spans="1:12" x14ac:dyDescent="0.2">
      <c r="A2238" s="4">
        <v>43484</v>
      </c>
      <c r="B2238" t="s">
        <v>538</v>
      </c>
      <c r="C2238">
        <v>1</v>
      </c>
      <c r="D2238">
        <v>24</v>
      </c>
      <c r="E2238">
        <f>5/16</f>
        <v>0.3125</v>
      </c>
      <c r="F2238" t="s">
        <v>585</v>
      </c>
      <c r="G2238" t="s">
        <v>980</v>
      </c>
      <c r="H2238" s="6" t="s">
        <v>1071</v>
      </c>
      <c r="I2238">
        <f t="shared" si="137"/>
        <v>7.5</v>
      </c>
      <c r="J2238">
        <f t="shared" si="133"/>
        <v>3.4019427750000002</v>
      </c>
      <c r="K2238" s="9">
        <v>3.33</v>
      </c>
      <c r="L2238">
        <f t="shared" si="135"/>
        <v>11.32846944075</v>
      </c>
    </row>
    <row r="2239" spans="1:12" x14ac:dyDescent="0.2">
      <c r="A2239" s="4">
        <v>43484</v>
      </c>
      <c r="B2239" t="s">
        <v>538</v>
      </c>
      <c r="C2239">
        <v>1</v>
      </c>
      <c r="D2239">
        <v>12</v>
      </c>
      <c r="E2239">
        <f>25/16</f>
        <v>1.5625</v>
      </c>
      <c r="F2239" t="s">
        <v>449</v>
      </c>
      <c r="G2239" t="s">
        <v>980</v>
      </c>
      <c r="H2239" s="6" t="s">
        <v>1071</v>
      </c>
      <c r="I2239">
        <f t="shared" si="137"/>
        <v>18.75</v>
      </c>
      <c r="J2239">
        <f t="shared" si="133"/>
        <v>8.5048569375000014</v>
      </c>
      <c r="K2239" s="9">
        <v>3.33</v>
      </c>
      <c r="L2239">
        <f t="shared" si="135"/>
        <v>28.321173601875007</v>
      </c>
    </row>
    <row r="2240" spans="1:12" x14ac:dyDescent="0.2">
      <c r="A2240" s="4">
        <v>43486</v>
      </c>
      <c r="B2240" t="s">
        <v>538</v>
      </c>
      <c r="C2240">
        <v>1</v>
      </c>
      <c r="D2240">
        <v>6</v>
      </c>
      <c r="E2240">
        <v>4.1887800000000004</v>
      </c>
      <c r="F2240" t="s">
        <v>681</v>
      </c>
      <c r="G2240" t="s">
        <v>980</v>
      </c>
      <c r="H2240" s="6" t="s">
        <v>1071</v>
      </c>
      <c r="I2240">
        <f t="shared" si="137"/>
        <v>25.132680000000001</v>
      </c>
      <c r="J2240">
        <f t="shared" si="133"/>
        <v>11.399991885651602</v>
      </c>
      <c r="K2240" s="9">
        <v>3.33</v>
      </c>
      <c r="L2240">
        <f t="shared" si="135"/>
        <v>37.961972979219837</v>
      </c>
    </row>
    <row r="2241" spans="1:12" x14ac:dyDescent="0.2">
      <c r="A2241" s="4">
        <v>43486</v>
      </c>
      <c r="B2241" t="s">
        <v>538</v>
      </c>
      <c r="C2241">
        <v>2</v>
      </c>
      <c r="D2241">
        <v>6</v>
      </c>
      <c r="E2241">
        <f>7+(2/16)</f>
        <v>7.125</v>
      </c>
      <c r="F2241" t="s">
        <v>1007</v>
      </c>
      <c r="G2241" t="s">
        <v>980</v>
      </c>
      <c r="H2241" s="6" t="s">
        <v>1071</v>
      </c>
      <c r="I2241">
        <f t="shared" si="137"/>
        <v>85.5</v>
      </c>
      <c r="J2241">
        <f t="shared" si="133"/>
        <v>38.782147635000001</v>
      </c>
      <c r="K2241" s="9">
        <v>3.33</v>
      </c>
      <c r="L2241">
        <f t="shared" si="135"/>
        <v>129.14455162455002</v>
      </c>
    </row>
    <row r="2242" spans="1:12" x14ac:dyDescent="0.2">
      <c r="A2242" s="4">
        <v>43486</v>
      </c>
      <c r="B2242" t="s">
        <v>538</v>
      </c>
      <c r="C2242">
        <v>1</v>
      </c>
      <c r="D2242">
        <v>24</v>
      </c>
      <c r="E2242">
        <f>6/16</f>
        <v>0.375</v>
      </c>
      <c r="F2242" t="s">
        <v>594</v>
      </c>
      <c r="G2242" t="s">
        <v>980</v>
      </c>
      <c r="H2242" s="6" t="s">
        <v>1071</v>
      </c>
      <c r="I2242">
        <f t="shared" si="137"/>
        <v>9</v>
      </c>
      <c r="J2242">
        <f t="shared" si="133"/>
        <v>4.0823313299999997</v>
      </c>
      <c r="K2242" s="9">
        <v>3.33</v>
      </c>
      <c r="L2242">
        <f t="shared" si="135"/>
        <v>13.594163328899999</v>
      </c>
    </row>
    <row r="2243" spans="1:12" x14ac:dyDescent="0.2">
      <c r="A2243" s="4">
        <v>43488</v>
      </c>
      <c r="B2243" t="s">
        <v>538</v>
      </c>
      <c r="C2243">
        <v>2</v>
      </c>
      <c r="D2243">
        <v>6</v>
      </c>
      <c r="E2243">
        <f>7+(2/16)</f>
        <v>7.125</v>
      </c>
      <c r="F2243" t="s">
        <v>1007</v>
      </c>
      <c r="G2243" t="s">
        <v>980</v>
      </c>
      <c r="H2243" s="6" t="s">
        <v>1071</v>
      </c>
      <c r="I2243">
        <f t="shared" si="137"/>
        <v>85.5</v>
      </c>
      <c r="J2243">
        <f t="shared" ref="J2243:J2306" si="138">CONVERT(I2243,"lbm","kg")</f>
        <v>38.782147635000001</v>
      </c>
      <c r="K2243" s="9">
        <v>3.33</v>
      </c>
      <c r="L2243">
        <f t="shared" si="135"/>
        <v>129.14455162455002</v>
      </c>
    </row>
    <row r="2244" spans="1:12" x14ac:dyDescent="0.2">
      <c r="A2244" s="4">
        <v>43488</v>
      </c>
      <c r="B2244" t="s">
        <v>538</v>
      </c>
      <c r="C2244">
        <v>2</v>
      </c>
      <c r="D2244">
        <v>4</v>
      </c>
      <c r="E2244">
        <v>7.79</v>
      </c>
      <c r="F2244" t="s">
        <v>543</v>
      </c>
      <c r="G2244" t="s">
        <v>1089</v>
      </c>
      <c r="H2244" s="6" t="s">
        <v>1073</v>
      </c>
      <c r="I2244">
        <f t="shared" si="137"/>
        <v>62.32</v>
      </c>
      <c r="J2244">
        <f t="shared" si="138"/>
        <v>28.2678764984</v>
      </c>
      <c r="K2244" s="9">
        <v>3.33</v>
      </c>
      <c r="L2244">
        <f t="shared" si="135"/>
        <v>94.132028739671995</v>
      </c>
    </row>
    <row r="2245" spans="1:12" x14ac:dyDescent="0.2">
      <c r="A2245" s="4">
        <v>43483</v>
      </c>
      <c r="B2245" t="s">
        <v>538</v>
      </c>
      <c r="C2245">
        <v>2</v>
      </c>
      <c r="D2245">
        <v>4</v>
      </c>
      <c r="E2245">
        <v>7.79</v>
      </c>
      <c r="F2245" t="s">
        <v>543</v>
      </c>
      <c r="G2245" t="s">
        <v>1089</v>
      </c>
      <c r="H2245" s="6" t="s">
        <v>1073</v>
      </c>
      <c r="I2245">
        <f t="shared" si="137"/>
        <v>62.32</v>
      </c>
      <c r="J2245">
        <f t="shared" si="138"/>
        <v>28.2678764984</v>
      </c>
      <c r="K2245">
        <v>3.2</v>
      </c>
      <c r="L2245">
        <f t="shared" si="135"/>
        <v>90.457204794879999</v>
      </c>
    </row>
    <row r="2246" spans="1:12" x14ac:dyDescent="0.2">
      <c r="A2246" s="4">
        <v>43486</v>
      </c>
      <c r="B2246" t="s">
        <v>538</v>
      </c>
      <c r="C2246">
        <v>1</v>
      </c>
      <c r="D2246">
        <v>4</v>
      </c>
      <c r="E2246">
        <v>2.5</v>
      </c>
      <c r="F2246" t="s">
        <v>683</v>
      </c>
      <c r="G2246" t="s">
        <v>988</v>
      </c>
      <c r="H2246" s="6" t="s">
        <v>1071</v>
      </c>
      <c r="I2246">
        <f t="shared" si="137"/>
        <v>10</v>
      </c>
      <c r="J2246">
        <f t="shared" si="138"/>
        <v>4.5359237000000006</v>
      </c>
      <c r="K2246" s="9">
        <v>2.21</v>
      </c>
      <c r="L2246">
        <f t="shared" si="135"/>
        <v>10.024391377000001</v>
      </c>
    </row>
    <row r="2247" spans="1:12" x14ac:dyDescent="0.2">
      <c r="A2247" s="4">
        <v>43483</v>
      </c>
      <c r="B2247" t="s">
        <v>530</v>
      </c>
      <c r="C2247">
        <v>7</v>
      </c>
      <c r="D2247">
        <v>240</v>
      </c>
      <c r="E2247">
        <f>0.67/16</f>
        <v>4.1875000000000002E-2</v>
      </c>
      <c r="F2247" t="s">
        <v>649</v>
      </c>
      <c r="G2247" s="6" t="s">
        <v>1057</v>
      </c>
      <c r="H2247" s="6" t="s">
        <v>1072</v>
      </c>
      <c r="I2247">
        <f t="shared" si="137"/>
        <v>70.350000000000009</v>
      </c>
      <c r="J2247">
        <f t="shared" si="138"/>
        <v>31.910223229500009</v>
      </c>
      <c r="K2247">
        <v>2.5710000000000002</v>
      </c>
      <c r="L2247">
        <f t="shared" si="135"/>
        <v>82.041183923044528</v>
      </c>
    </row>
    <row r="2248" spans="1:12" x14ac:dyDescent="0.2">
      <c r="A2248" s="4">
        <v>43488</v>
      </c>
      <c r="B2248" t="s">
        <v>538</v>
      </c>
      <c r="C2248">
        <v>1</v>
      </c>
      <c r="D2248">
        <v>24</v>
      </c>
      <c r="E2248">
        <v>1</v>
      </c>
      <c r="F2248" t="s">
        <v>433</v>
      </c>
      <c r="G2248" t="s">
        <v>900</v>
      </c>
      <c r="H2248" s="6" t="s">
        <v>1071</v>
      </c>
      <c r="I2248">
        <f t="shared" si="137"/>
        <v>24</v>
      </c>
      <c r="J2248">
        <f t="shared" si="138"/>
        <v>10.886216880000001</v>
      </c>
      <c r="K2248">
        <v>0.76</v>
      </c>
      <c r="L2248">
        <f t="shared" si="135"/>
        <v>8.2735248288000012</v>
      </c>
    </row>
    <row r="2249" spans="1:12" x14ac:dyDescent="0.2">
      <c r="A2249" s="4">
        <v>43483</v>
      </c>
      <c r="B2249" t="s">
        <v>48</v>
      </c>
      <c r="C2249" s="28">
        <v>3</v>
      </c>
      <c r="D2249" s="6">
        <v>1</v>
      </c>
      <c r="E2249" t="s">
        <v>499</v>
      </c>
      <c r="F2249" s="14" t="s">
        <v>500</v>
      </c>
      <c r="G2249" s="14" t="s">
        <v>964</v>
      </c>
      <c r="H2249" s="6" t="s">
        <v>1071</v>
      </c>
      <c r="I2249">
        <v>0</v>
      </c>
      <c r="J2249">
        <f t="shared" si="138"/>
        <v>0</v>
      </c>
      <c r="K2249">
        <v>0.75700000000000001</v>
      </c>
      <c r="L2249">
        <f t="shared" si="135"/>
        <v>0</v>
      </c>
    </row>
    <row r="2250" spans="1:12" x14ac:dyDescent="0.2">
      <c r="A2250" s="4">
        <v>43486</v>
      </c>
      <c r="B2250" t="s">
        <v>538</v>
      </c>
      <c r="C2250">
        <v>1</v>
      </c>
      <c r="D2250">
        <v>6</v>
      </c>
      <c r="E2250">
        <f>31/16</f>
        <v>1.9375</v>
      </c>
      <c r="F2250" t="s">
        <v>680</v>
      </c>
      <c r="G2250" s="9" t="s">
        <v>986</v>
      </c>
      <c r="H2250" s="6" t="s">
        <v>1071</v>
      </c>
      <c r="I2250">
        <f>C2250*D2250*E2250</f>
        <v>11.625</v>
      </c>
      <c r="J2250">
        <f t="shared" si="138"/>
        <v>5.2730113012500004</v>
      </c>
      <c r="K2250" s="6">
        <v>2.5299999999999998</v>
      </c>
      <c r="L2250">
        <f t="shared" si="135"/>
        <v>13.340718592162499</v>
      </c>
    </row>
    <row r="2251" spans="1:12" x14ac:dyDescent="0.2">
      <c r="A2251" s="4">
        <v>43488</v>
      </c>
      <c r="B2251" t="s">
        <v>538</v>
      </c>
      <c r="C2251">
        <v>1</v>
      </c>
      <c r="D2251">
        <v>150</v>
      </c>
      <c r="E2251">
        <f>0.5/16</f>
        <v>3.125E-2</v>
      </c>
      <c r="F2251" t="s">
        <v>442</v>
      </c>
      <c r="G2251" t="s">
        <v>993</v>
      </c>
      <c r="H2251" s="6" t="s">
        <v>1071</v>
      </c>
      <c r="I2251">
        <f>C2251*D2251*E2251</f>
        <v>4.6875</v>
      </c>
      <c r="J2251">
        <f t="shared" si="138"/>
        <v>2.1262142343750003</v>
      </c>
      <c r="K2251" s="6">
        <v>2.5299999999999998</v>
      </c>
      <c r="L2251">
        <f t="shared" si="135"/>
        <v>5.3793220129687507</v>
      </c>
    </row>
    <row r="2252" spans="1:12" x14ac:dyDescent="0.2">
      <c r="A2252" s="4">
        <v>43488</v>
      </c>
      <c r="B2252" t="s">
        <v>538</v>
      </c>
      <c r="C2252">
        <v>1</v>
      </c>
      <c r="D2252" s="14">
        <v>500</v>
      </c>
      <c r="E2252" s="14" t="s">
        <v>1088</v>
      </c>
      <c r="F2252" s="14" t="s">
        <v>430</v>
      </c>
      <c r="G2252" s="14" t="s">
        <v>990</v>
      </c>
      <c r="H2252" s="6" t="s">
        <v>1071</v>
      </c>
      <c r="I2252">
        <v>0</v>
      </c>
      <c r="J2252">
        <f t="shared" si="138"/>
        <v>0</v>
      </c>
      <c r="K2252" s="6">
        <v>2.5299999999999998</v>
      </c>
      <c r="L2252">
        <f t="shared" si="135"/>
        <v>0</v>
      </c>
    </row>
    <row r="2253" spans="1:12" x14ac:dyDescent="0.2">
      <c r="A2253" s="4">
        <v>43489</v>
      </c>
      <c r="B2253" t="s">
        <v>48</v>
      </c>
      <c r="C2253" s="28">
        <v>3</v>
      </c>
      <c r="D2253" s="6">
        <v>1</v>
      </c>
      <c r="E2253">
        <f>24*(12/16)</f>
        <v>18</v>
      </c>
      <c r="F2253" t="s">
        <v>634</v>
      </c>
      <c r="G2253" t="s">
        <v>924</v>
      </c>
      <c r="H2253" s="6" t="s">
        <v>1071</v>
      </c>
      <c r="I2253">
        <f t="shared" ref="I2253:I2316" si="139">C2253*D2253*E2253</f>
        <v>54</v>
      </c>
      <c r="J2253">
        <f t="shared" si="138"/>
        <v>24.493987980000004</v>
      </c>
      <c r="K2253" s="6">
        <v>1.4179999999999999</v>
      </c>
      <c r="L2253">
        <f t="shared" si="135"/>
        <v>34.732474955640001</v>
      </c>
    </row>
    <row r="2254" spans="1:12" x14ac:dyDescent="0.2">
      <c r="A2254" s="4">
        <v>43483</v>
      </c>
      <c r="B2254" t="s">
        <v>538</v>
      </c>
      <c r="C2254">
        <v>1</v>
      </c>
      <c r="D2254">
        <v>1</v>
      </c>
      <c r="E2254">
        <v>10</v>
      </c>
      <c r="F2254" t="s">
        <v>454</v>
      </c>
      <c r="G2254" t="s">
        <v>1053</v>
      </c>
      <c r="H2254" s="6" t="s">
        <v>1071</v>
      </c>
      <c r="I2254">
        <f t="shared" si="139"/>
        <v>10</v>
      </c>
      <c r="J2254">
        <f t="shared" si="138"/>
        <v>4.5359237000000006</v>
      </c>
      <c r="K2254">
        <v>3.8250000000000002</v>
      </c>
      <c r="L2254">
        <f t="shared" si="135"/>
        <v>17.349908152500003</v>
      </c>
    </row>
    <row r="2255" spans="1:12" x14ac:dyDescent="0.2">
      <c r="A2255" s="4">
        <v>43483</v>
      </c>
      <c r="B2255" t="s">
        <v>517</v>
      </c>
      <c r="C2255">
        <v>1</v>
      </c>
      <c r="D2255">
        <v>1</v>
      </c>
      <c r="E2255">
        <v>2</v>
      </c>
      <c r="F2255" t="s">
        <v>380</v>
      </c>
      <c r="G2255" t="s">
        <v>841</v>
      </c>
      <c r="H2255" s="6" t="s">
        <v>1073</v>
      </c>
      <c r="I2255">
        <f t="shared" si="139"/>
        <v>2</v>
      </c>
      <c r="J2255">
        <f t="shared" si="138"/>
        <v>0.90718474000000004</v>
      </c>
      <c r="K2255">
        <v>5.32</v>
      </c>
      <c r="L2255">
        <f t="shared" si="135"/>
        <v>4.8262228168000005</v>
      </c>
    </row>
    <row r="2256" spans="1:12" x14ac:dyDescent="0.2">
      <c r="A2256" s="4">
        <v>43483</v>
      </c>
      <c r="B2256" t="s">
        <v>517</v>
      </c>
      <c r="C2256">
        <v>2</v>
      </c>
      <c r="D2256">
        <v>12</v>
      </c>
      <c r="E2256">
        <f>2/16</f>
        <v>0.125</v>
      </c>
      <c r="F2256" t="s">
        <v>668</v>
      </c>
      <c r="G2256" t="s">
        <v>841</v>
      </c>
      <c r="H2256" s="6" t="s">
        <v>1073</v>
      </c>
      <c r="I2256">
        <f t="shared" si="139"/>
        <v>3</v>
      </c>
      <c r="J2256">
        <f t="shared" si="138"/>
        <v>1.3607771100000001</v>
      </c>
      <c r="K2256">
        <v>5.32</v>
      </c>
      <c r="L2256">
        <f t="shared" si="135"/>
        <v>7.2393342252000012</v>
      </c>
    </row>
    <row r="2257" spans="1:12" x14ac:dyDescent="0.2">
      <c r="A2257" s="4">
        <v>43486</v>
      </c>
      <c r="B2257" t="s">
        <v>531</v>
      </c>
      <c r="C2257">
        <v>5</v>
      </c>
      <c r="D2257">
        <v>4</v>
      </c>
      <c r="E2257">
        <f>12*1.125</f>
        <v>13.5</v>
      </c>
      <c r="F2257" t="s">
        <v>1019</v>
      </c>
      <c r="G2257" t="s">
        <v>932</v>
      </c>
      <c r="H2257" s="6" t="s">
        <v>1071</v>
      </c>
      <c r="I2257">
        <f t="shared" si="139"/>
        <v>270</v>
      </c>
      <c r="J2257">
        <f t="shared" si="138"/>
        <v>122.4699399</v>
      </c>
      <c r="K2257">
        <v>1.28</v>
      </c>
      <c r="L2257">
        <f t="shared" si="135"/>
        <v>156.76152307200002</v>
      </c>
    </row>
    <row r="2258" spans="1:12" x14ac:dyDescent="0.2">
      <c r="A2258" s="4">
        <v>43486</v>
      </c>
      <c r="B2258" t="s">
        <v>48</v>
      </c>
      <c r="C2258" s="28">
        <v>1</v>
      </c>
      <c r="D2258" s="6">
        <v>1</v>
      </c>
      <c r="E2258">
        <f t="shared" ref="E2258:E2263" si="140">10/9*50</f>
        <v>55.555555555555557</v>
      </c>
      <c r="F2258" t="s">
        <v>620</v>
      </c>
      <c r="G2258" t="s">
        <v>620</v>
      </c>
      <c r="H2258" s="6" t="s">
        <v>1071</v>
      </c>
      <c r="I2258">
        <f t="shared" si="139"/>
        <v>55.555555555555557</v>
      </c>
      <c r="J2258">
        <f t="shared" si="138"/>
        <v>25.199576111111114</v>
      </c>
      <c r="K2258" s="6">
        <v>0.40899999999999997</v>
      </c>
      <c r="L2258">
        <f t="shared" si="135"/>
        <v>10.306626629444445</v>
      </c>
    </row>
    <row r="2259" spans="1:12" x14ac:dyDescent="0.2">
      <c r="A2259" s="4">
        <v>43487</v>
      </c>
      <c r="B2259" t="s">
        <v>48</v>
      </c>
      <c r="C2259" s="28">
        <v>1</v>
      </c>
      <c r="D2259" s="6">
        <v>1</v>
      </c>
      <c r="E2259">
        <f t="shared" si="140"/>
        <v>55.555555555555557</v>
      </c>
      <c r="F2259" t="s">
        <v>620</v>
      </c>
      <c r="G2259" t="s">
        <v>620</v>
      </c>
      <c r="H2259" s="6" t="s">
        <v>1071</v>
      </c>
      <c r="I2259">
        <f t="shared" si="139"/>
        <v>55.555555555555557</v>
      </c>
      <c r="J2259">
        <f t="shared" si="138"/>
        <v>25.199576111111114</v>
      </c>
      <c r="K2259" s="6">
        <v>0.40899999999999997</v>
      </c>
      <c r="L2259">
        <f t="shared" si="135"/>
        <v>10.306626629444445</v>
      </c>
    </row>
    <row r="2260" spans="1:12" x14ac:dyDescent="0.2">
      <c r="A2260" s="4">
        <v>43489</v>
      </c>
      <c r="B2260" t="s">
        <v>48</v>
      </c>
      <c r="C2260" s="28">
        <v>1</v>
      </c>
      <c r="D2260" s="6">
        <v>1</v>
      </c>
      <c r="E2260">
        <f t="shared" si="140"/>
        <v>55.555555555555557</v>
      </c>
      <c r="F2260" t="s">
        <v>620</v>
      </c>
      <c r="G2260" t="s">
        <v>620</v>
      </c>
      <c r="H2260" s="6" t="s">
        <v>1071</v>
      </c>
      <c r="I2260">
        <f t="shared" si="139"/>
        <v>55.555555555555557</v>
      </c>
      <c r="J2260">
        <f t="shared" si="138"/>
        <v>25.199576111111114</v>
      </c>
      <c r="K2260">
        <v>0.40899999999999997</v>
      </c>
      <c r="L2260">
        <f t="shared" si="135"/>
        <v>10.306626629444445</v>
      </c>
    </row>
    <row r="2261" spans="1:12" x14ac:dyDescent="0.2">
      <c r="A2261" s="4">
        <v>43488</v>
      </c>
      <c r="B2261" t="s">
        <v>48</v>
      </c>
      <c r="C2261" s="28">
        <v>1</v>
      </c>
      <c r="D2261" s="6">
        <v>1</v>
      </c>
      <c r="E2261">
        <f t="shared" si="140"/>
        <v>55.555555555555557</v>
      </c>
      <c r="F2261" t="s">
        <v>620</v>
      </c>
      <c r="G2261" t="s">
        <v>620</v>
      </c>
      <c r="H2261" s="6" t="s">
        <v>1071</v>
      </c>
      <c r="I2261">
        <f t="shared" si="139"/>
        <v>55.555555555555557</v>
      </c>
      <c r="J2261">
        <f t="shared" si="138"/>
        <v>25.199576111111114</v>
      </c>
      <c r="K2261">
        <v>0.40899999999999997</v>
      </c>
      <c r="L2261">
        <f t="shared" ref="L2261:L2324" si="141">K2261*J2261</f>
        <v>10.306626629444445</v>
      </c>
    </row>
    <row r="2262" spans="1:12" x14ac:dyDescent="0.2">
      <c r="A2262" s="4">
        <v>43484</v>
      </c>
      <c r="B2262" t="s">
        <v>48</v>
      </c>
      <c r="C2262" s="28">
        <v>1</v>
      </c>
      <c r="D2262" s="6">
        <v>1</v>
      </c>
      <c r="E2262">
        <f t="shared" si="140"/>
        <v>55.555555555555557</v>
      </c>
      <c r="F2262" t="s">
        <v>620</v>
      </c>
      <c r="G2262" t="s">
        <v>620</v>
      </c>
      <c r="H2262" s="6" t="s">
        <v>1071</v>
      </c>
      <c r="I2262">
        <f t="shared" si="139"/>
        <v>55.555555555555557</v>
      </c>
      <c r="J2262">
        <f t="shared" si="138"/>
        <v>25.199576111111114</v>
      </c>
      <c r="K2262">
        <v>0.40899999999999997</v>
      </c>
      <c r="L2262">
        <f t="shared" si="141"/>
        <v>10.306626629444445</v>
      </c>
    </row>
    <row r="2263" spans="1:12" x14ac:dyDescent="0.2">
      <c r="A2263" s="4">
        <v>43483</v>
      </c>
      <c r="B2263" t="s">
        <v>48</v>
      </c>
      <c r="C2263" s="28">
        <v>2</v>
      </c>
      <c r="D2263" s="6">
        <v>1</v>
      </c>
      <c r="E2263">
        <f t="shared" si="140"/>
        <v>55.555555555555557</v>
      </c>
      <c r="F2263" t="s">
        <v>620</v>
      </c>
      <c r="G2263" t="s">
        <v>620</v>
      </c>
      <c r="H2263" s="6" t="s">
        <v>1071</v>
      </c>
      <c r="I2263">
        <f t="shared" si="139"/>
        <v>111.11111111111111</v>
      </c>
      <c r="J2263">
        <f t="shared" si="138"/>
        <v>50.399152222222227</v>
      </c>
      <c r="K2263">
        <v>0.40899999999999997</v>
      </c>
      <c r="L2263">
        <f t="shared" si="141"/>
        <v>20.613253258888889</v>
      </c>
    </row>
    <row r="2264" spans="1:12" x14ac:dyDescent="0.2">
      <c r="A2264" s="4">
        <v>43483</v>
      </c>
      <c r="B2264" t="s">
        <v>531</v>
      </c>
      <c r="C2264">
        <v>3</v>
      </c>
      <c r="D2264">
        <v>168</v>
      </c>
      <c r="E2264">
        <f>3.17/16</f>
        <v>0.198125</v>
      </c>
      <c r="F2264" t="s">
        <v>654</v>
      </c>
      <c r="G2264" t="s">
        <v>970</v>
      </c>
      <c r="H2264" s="6" t="s">
        <v>1071</v>
      </c>
      <c r="I2264">
        <f t="shared" si="139"/>
        <v>99.855000000000004</v>
      </c>
      <c r="J2264">
        <f t="shared" si="138"/>
        <v>45.293466106350003</v>
      </c>
      <c r="K2264">
        <v>2.2999999999999998</v>
      </c>
      <c r="L2264">
        <f t="shared" si="141"/>
        <v>104.174972044605</v>
      </c>
    </row>
    <row r="2265" spans="1:12" x14ac:dyDescent="0.2">
      <c r="A2265" s="4">
        <v>43488</v>
      </c>
      <c r="B2265" t="s">
        <v>531</v>
      </c>
      <c r="C2265">
        <v>1</v>
      </c>
      <c r="D2265">
        <v>210</v>
      </c>
      <c r="E2265">
        <f>1.2/16</f>
        <v>7.4999999999999997E-2</v>
      </c>
      <c r="F2265" t="s">
        <v>409</v>
      </c>
      <c r="G2265" t="s">
        <v>970</v>
      </c>
      <c r="H2265" s="6" t="s">
        <v>1071</v>
      </c>
      <c r="I2265">
        <f t="shared" si="139"/>
        <v>15.75</v>
      </c>
      <c r="J2265">
        <f t="shared" si="138"/>
        <v>7.1440798275000006</v>
      </c>
      <c r="K2265">
        <v>2.2999999999999998</v>
      </c>
      <c r="L2265">
        <f t="shared" si="141"/>
        <v>16.431383603250001</v>
      </c>
    </row>
    <row r="2266" spans="1:12" x14ac:dyDescent="0.2">
      <c r="A2266" s="4">
        <v>43483</v>
      </c>
      <c r="B2266" t="s">
        <v>531</v>
      </c>
      <c r="C2266">
        <v>1</v>
      </c>
      <c r="D2266">
        <v>24</v>
      </c>
      <c r="E2266">
        <v>1</v>
      </c>
      <c r="F2266" t="s">
        <v>653</v>
      </c>
      <c r="G2266" t="s">
        <v>969</v>
      </c>
      <c r="H2266" s="6" t="s">
        <v>1071</v>
      </c>
      <c r="I2266">
        <f t="shared" si="139"/>
        <v>24</v>
      </c>
      <c r="J2266">
        <f t="shared" si="138"/>
        <v>10.886216880000001</v>
      </c>
      <c r="K2266">
        <v>1.28</v>
      </c>
      <c r="L2266">
        <f t="shared" si="141"/>
        <v>13.934357606400001</v>
      </c>
    </row>
    <row r="2267" spans="1:12" x14ac:dyDescent="0.2">
      <c r="A2267" s="4">
        <v>43483</v>
      </c>
      <c r="B2267" t="s">
        <v>517</v>
      </c>
      <c r="C2267">
        <v>22</v>
      </c>
      <c r="D2267">
        <v>2</v>
      </c>
      <c r="E2267">
        <v>20</v>
      </c>
      <c r="F2267" t="s">
        <v>381</v>
      </c>
      <c r="G2267" t="s">
        <v>843</v>
      </c>
      <c r="H2267" s="6" t="s">
        <v>1073</v>
      </c>
      <c r="I2267">
        <f t="shared" si="139"/>
        <v>880</v>
      </c>
      <c r="J2267">
        <f t="shared" si="138"/>
        <v>399.16128559999999</v>
      </c>
      <c r="K2267">
        <v>3.754</v>
      </c>
      <c r="L2267">
        <f t="shared" si="141"/>
        <v>1498.4514661424</v>
      </c>
    </row>
    <row r="2268" spans="1:12" x14ac:dyDescent="0.2">
      <c r="A2268" s="4">
        <v>43483</v>
      </c>
      <c r="B2268" t="s">
        <v>517</v>
      </c>
      <c r="C2268">
        <v>1</v>
      </c>
      <c r="D2268">
        <v>15</v>
      </c>
      <c r="E2268">
        <v>2</v>
      </c>
      <c r="F2268" t="s">
        <v>385</v>
      </c>
      <c r="G2268" t="s">
        <v>843</v>
      </c>
      <c r="H2268" s="6" t="s">
        <v>1073</v>
      </c>
      <c r="I2268">
        <f t="shared" si="139"/>
        <v>30</v>
      </c>
      <c r="J2268">
        <f t="shared" si="138"/>
        <v>13.607771100000001</v>
      </c>
      <c r="K2268">
        <v>3.754</v>
      </c>
      <c r="L2268">
        <f t="shared" si="141"/>
        <v>51.083572709400002</v>
      </c>
    </row>
    <row r="2269" spans="1:12" x14ac:dyDescent="0.2">
      <c r="A2269" s="4">
        <v>43483</v>
      </c>
      <c r="B2269" t="s">
        <v>517</v>
      </c>
      <c r="C2269">
        <v>2</v>
      </c>
      <c r="D2269">
        <v>15</v>
      </c>
      <c r="E2269">
        <f>24/16</f>
        <v>1.5</v>
      </c>
      <c r="F2269" t="s">
        <v>386</v>
      </c>
      <c r="G2269" t="s">
        <v>843</v>
      </c>
      <c r="H2269" s="6" t="s">
        <v>1073</v>
      </c>
      <c r="I2269">
        <f t="shared" si="139"/>
        <v>45</v>
      </c>
      <c r="J2269">
        <f t="shared" si="138"/>
        <v>20.411656650000001</v>
      </c>
      <c r="K2269">
        <v>3.754</v>
      </c>
      <c r="L2269">
        <f t="shared" si="141"/>
        <v>76.62535906410001</v>
      </c>
    </row>
    <row r="2270" spans="1:12" x14ac:dyDescent="0.2">
      <c r="A2270" s="4">
        <v>43486</v>
      </c>
      <c r="B2270" t="s">
        <v>517</v>
      </c>
      <c r="C2270">
        <v>5</v>
      </c>
      <c r="D2270">
        <v>2</v>
      </c>
      <c r="E2270">
        <v>20</v>
      </c>
      <c r="F2270" t="s">
        <v>381</v>
      </c>
      <c r="G2270" t="s">
        <v>843</v>
      </c>
      <c r="H2270" s="6" t="s">
        <v>1073</v>
      </c>
      <c r="I2270">
        <f t="shared" si="139"/>
        <v>200</v>
      </c>
      <c r="J2270">
        <f t="shared" si="138"/>
        <v>90.718474000000001</v>
      </c>
      <c r="K2270">
        <v>3.754</v>
      </c>
      <c r="L2270">
        <f t="shared" si="141"/>
        <v>340.55715139599999</v>
      </c>
    </row>
    <row r="2271" spans="1:12" x14ac:dyDescent="0.2">
      <c r="A2271" s="4">
        <v>43486</v>
      </c>
      <c r="B2271" t="s">
        <v>517</v>
      </c>
      <c r="C2271">
        <v>2</v>
      </c>
      <c r="D2271">
        <v>15</v>
      </c>
      <c r="E2271">
        <v>2</v>
      </c>
      <c r="F2271" t="s">
        <v>385</v>
      </c>
      <c r="G2271" t="s">
        <v>843</v>
      </c>
      <c r="H2271" s="6" t="s">
        <v>1073</v>
      </c>
      <c r="I2271">
        <f t="shared" si="139"/>
        <v>60</v>
      </c>
      <c r="J2271">
        <f t="shared" si="138"/>
        <v>27.215542200000002</v>
      </c>
      <c r="K2271">
        <v>3.754</v>
      </c>
      <c r="L2271">
        <f t="shared" si="141"/>
        <v>102.1671454188</v>
      </c>
    </row>
    <row r="2272" spans="1:12" x14ac:dyDescent="0.2">
      <c r="A2272" s="4">
        <v>43486</v>
      </c>
      <c r="B2272" t="s">
        <v>517</v>
      </c>
      <c r="C2272">
        <v>3</v>
      </c>
      <c r="D2272">
        <v>15</v>
      </c>
      <c r="E2272">
        <f>24/16</f>
        <v>1.5</v>
      </c>
      <c r="F2272" t="s">
        <v>386</v>
      </c>
      <c r="G2272" t="s">
        <v>843</v>
      </c>
      <c r="H2272" s="6" t="s">
        <v>1073</v>
      </c>
      <c r="I2272">
        <f t="shared" si="139"/>
        <v>67.5</v>
      </c>
      <c r="J2272">
        <f t="shared" si="138"/>
        <v>30.617484975</v>
      </c>
      <c r="K2272">
        <v>3.754</v>
      </c>
      <c r="L2272">
        <f t="shared" si="141"/>
        <v>114.93803859614999</v>
      </c>
    </row>
    <row r="2273" spans="1:12" x14ac:dyDescent="0.2">
      <c r="A2273" s="4">
        <v>43488</v>
      </c>
      <c r="B2273" t="s">
        <v>517</v>
      </c>
      <c r="C2273">
        <v>5</v>
      </c>
      <c r="D2273">
        <v>2</v>
      </c>
      <c r="E2273">
        <v>20</v>
      </c>
      <c r="F2273" t="s">
        <v>381</v>
      </c>
      <c r="G2273" t="s">
        <v>843</v>
      </c>
      <c r="H2273" s="6" t="s">
        <v>1073</v>
      </c>
      <c r="I2273">
        <f t="shared" si="139"/>
        <v>200</v>
      </c>
      <c r="J2273">
        <f t="shared" si="138"/>
        <v>90.718474000000001</v>
      </c>
      <c r="K2273">
        <v>3.754</v>
      </c>
      <c r="L2273">
        <f t="shared" si="141"/>
        <v>340.55715139599999</v>
      </c>
    </row>
    <row r="2274" spans="1:12" x14ac:dyDescent="0.2">
      <c r="A2274" s="4">
        <v>43488</v>
      </c>
      <c r="B2274" t="s">
        <v>517</v>
      </c>
      <c r="C2274">
        <v>1</v>
      </c>
      <c r="D2274">
        <v>15</v>
      </c>
      <c r="E2274">
        <v>2</v>
      </c>
      <c r="F2274" t="s">
        <v>385</v>
      </c>
      <c r="G2274" t="s">
        <v>843</v>
      </c>
      <c r="H2274" s="6" t="s">
        <v>1073</v>
      </c>
      <c r="I2274">
        <f t="shared" si="139"/>
        <v>30</v>
      </c>
      <c r="J2274">
        <f t="shared" si="138"/>
        <v>13.607771100000001</v>
      </c>
      <c r="K2274">
        <v>3.754</v>
      </c>
      <c r="L2274">
        <f t="shared" si="141"/>
        <v>51.083572709400002</v>
      </c>
    </row>
    <row r="2275" spans="1:12" x14ac:dyDescent="0.2">
      <c r="A2275" s="4">
        <v>43486</v>
      </c>
      <c r="B2275" t="s">
        <v>48</v>
      </c>
      <c r="C2275" s="28">
        <v>2</v>
      </c>
      <c r="D2275" s="6">
        <v>1</v>
      </c>
      <c r="E2275">
        <f>10/9*35</f>
        <v>38.888888888888893</v>
      </c>
      <c r="F2275" t="s">
        <v>621</v>
      </c>
      <c r="G2275" t="s">
        <v>785</v>
      </c>
      <c r="H2275" s="6" t="s">
        <v>1071</v>
      </c>
      <c r="I2275">
        <f t="shared" si="139"/>
        <v>77.777777777777786</v>
      </c>
      <c r="J2275">
        <f t="shared" si="138"/>
        <v>35.27940655555556</v>
      </c>
      <c r="K2275">
        <v>0.52600000000000002</v>
      </c>
      <c r="L2275">
        <f t="shared" si="141"/>
        <v>18.556967848222225</v>
      </c>
    </row>
    <row r="2276" spans="1:12" x14ac:dyDescent="0.2">
      <c r="A2276" s="4">
        <v>43489</v>
      </c>
      <c r="B2276" t="s">
        <v>48</v>
      </c>
      <c r="C2276" s="28">
        <v>1</v>
      </c>
      <c r="D2276" s="6">
        <v>1</v>
      </c>
      <c r="E2276">
        <f>10/9*35</f>
        <v>38.888888888888893</v>
      </c>
      <c r="F2276" t="s">
        <v>621</v>
      </c>
      <c r="G2276" t="s">
        <v>785</v>
      </c>
      <c r="H2276" s="6" t="s">
        <v>1071</v>
      </c>
      <c r="I2276">
        <f t="shared" si="139"/>
        <v>38.888888888888893</v>
      </c>
      <c r="J2276">
        <f t="shared" si="138"/>
        <v>17.63970327777778</v>
      </c>
      <c r="K2276">
        <v>0.52600000000000002</v>
      </c>
      <c r="L2276">
        <f t="shared" si="141"/>
        <v>9.2784839241111126</v>
      </c>
    </row>
    <row r="2277" spans="1:12" x14ac:dyDescent="0.2">
      <c r="A2277" s="4">
        <v>43488</v>
      </c>
      <c r="B2277" t="s">
        <v>48</v>
      </c>
      <c r="C2277" s="28">
        <v>2</v>
      </c>
      <c r="D2277" s="6">
        <v>1</v>
      </c>
      <c r="E2277">
        <f>10/9*35</f>
        <v>38.888888888888893</v>
      </c>
      <c r="F2277" t="s">
        <v>621</v>
      </c>
      <c r="G2277" t="s">
        <v>785</v>
      </c>
      <c r="H2277" s="6" t="s">
        <v>1071</v>
      </c>
      <c r="I2277">
        <f t="shared" si="139"/>
        <v>77.777777777777786</v>
      </c>
      <c r="J2277">
        <f t="shared" si="138"/>
        <v>35.27940655555556</v>
      </c>
      <c r="K2277">
        <v>0.52600000000000002</v>
      </c>
      <c r="L2277">
        <f t="shared" si="141"/>
        <v>18.556967848222225</v>
      </c>
    </row>
    <row r="2278" spans="1:12" x14ac:dyDescent="0.2">
      <c r="A2278" s="4">
        <v>43483</v>
      </c>
      <c r="B2278" t="s">
        <v>48</v>
      </c>
      <c r="C2278" s="28">
        <v>2</v>
      </c>
      <c r="D2278" s="6">
        <v>1</v>
      </c>
      <c r="E2278">
        <f>10/9*35</f>
        <v>38.888888888888893</v>
      </c>
      <c r="F2278" t="s">
        <v>621</v>
      </c>
      <c r="G2278" t="s">
        <v>785</v>
      </c>
      <c r="H2278" s="6" t="s">
        <v>1071</v>
      </c>
      <c r="I2278">
        <f t="shared" si="139"/>
        <v>77.777777777777786</v>
      </c>
      <c r="J2278">
        <f t="shared" si="138"/>
        <v>35.27940655555556</v>
      </c>
      <c r="K2278">
        <v>0.52600000000000002</v>
      </c>
      <c r="L2278">
        <f t="shared" si="141"/>
        <v>18.556967848222225</v>
      </c>
    </row>
    <row r="2279" spans="1:12" x14ac:dyDescent="0.2">
      <c r="A2279" s="4">
        <v>43483</v>
      </c>
      <c r="B2279" t="s">
        <v>531</v>
      </c>
      <c r="C2279">
        <v>4</v>
      </c>
      <c r="D2279">
        <v>6</v>
      </c>
      <c r="E2279">
        <f>12*(2/16)</f>
        <v>1.5</v>
      </c>
      <c r="F2279" t="s">
        <v>1018</v>
      </c>
      <c r="G2279" s="6" t="s">
        <v>968</v>
      </c>
      <c r="H2279" s="6" t="s">
        <v>1071</v>
      </c>
      <c r="I2279">
        <f t="shared" si="139"/>
        <v>36</v>
      </c>
      <c r="J2279">
        <f t="shared" si="138"/>
        <v>16.329325319999999</v>
      </c>
      <c r="K2279">
        <v>1.28</v>
      </c>
      <c r="L2279">
        <f t="shared" si="141"/>
        <v>20.901536409599998</v>
      </c>
    </row>
    <row r="2280" spans="1:12" x14ac:dyDescent="0.2">
      <c r="A2280" s="4">
        <v>43483</v>
      </c>
      <c r="B2280" t="s">
        <v>538</v>
      </c>
      <c r="C2280">
        <v>2</v>
      </c>
      <c r="D2280">
        <v>6</v>
      </c>
      <c r="E2280">
        <v>2</v>
      </c>
      <c r="F2280" t="s">
        <v>664</v>
      </c>
      <c r="G2280" s="14" t="s">
        <v>978</v>
      </c>
      <c r="H2280" s="6" t="s">
        <v>1071</v>
      </c>
      <c r="I2280">
        <f t="shared" si="139"/>
        <v>24</v>
      </c>
      <c r="J2280">
        <f t="shared" si="138"/>
        <v>10.886216880000001</v>
      </c>
      <c r="L2280">
        <f t="shared" si="141"/>
        <v>0</v>
      </c>
    </row>
    <row r="2281" spans="1:12" x14ac:dyDescent="0.2">
      <c r="A2281" s="4">
        <v>43483</v>
      </c>
      <c r="B2281" t="s">
        <v>538</v>
      </c>
      <c r="C2281">
        <v>4</v>
      </c>
      <c r="D2281">
        <v>1</v>
      </c>
      <c r="E2281">
        <v>50</v>
      </c>
      <c r="F2281" t="s">
        <v>431</v>
      </c>
      <c r="G2281" t="s">
        <v>863</v>
      </c>
      <c r="H2281" s="6" t="s">
        <v>1071</v>
      </c>
      <c r="I2281">
        <f t="shared" si="139"/>
        <v>200</v>
      </c>
      <c r="J2281">
        <f t="shared" si="138"/>
        <v>90.718474000000001</v>
      </c>
      <c r="K2281">
        <v>0.35799999999999998</v>
      </c>
      <c r="L2281">
        <f t="shared" si="141"/>
        <v>32.477213691999999</v>
      </c>
    </row>
    <row r="2282" spans="1:12" x14ac:dyDescent="0.2">
      <c r="A2282" s="4">
        <v>43486</v>
      </c>
      <c r="B2282" t="s">
        <v>538</v>
      </c>
      <c r="C2282">
        <v>3</v>
      </c>
      <c r="D2282">
        <v>1</v>
      </c>
      <c r="E2282">
        <v>50</v>
      </c>
      <c r="F2282" t="s">
        <v>431</v>
      </c>
      <c r="G2282" t="s">
        <v>863</v>
      </c>
      <c r="H2282" s="6" t="s">
        <v>1071</v>
      </c>
      <c r="I2282">
        <f t="shared" si="139"/>
        <v>150</v>
      </c>
      <c r="J2282">
        <f t="shared" si="138"/>
        <v>68.038855500000011</v>
      </c>
      <c r="K2282">
        <v>0.35799999999999998</v>
      </c>
      <c r="L2282">
        <f t="shared" si="141"/>
        <v>24.357910269000001</v>
      </c>
    </row>
    <row r="2283" spans="1:12" x14ac:dyDescent="0.2">
      <c r="A2283" s="4">
        <v>43488</v>
      </c>
      <c r="B2283" t="s">
        <v>538</v>
      </c>
      <c r="C2283">
        <v>2</v>
      </c>
      <c r="D2283">
        <v>1</v>
      </c>
      <c r="E2283">
        <v>50</v>
      </c>
      <c r="F2283" t="s">
        <v>431</v>
      </c>
      <c r="G2283" t="s">
        <v>863</v>
      </c>
      <c r="H2283" s="6" t="s">
        <v>1071</v>
      </c>
      <c r="I2283">
        <f t="shared" si="139"/>
        <v>100</v>
      </c>
      <c r="J2283">
        <f t="shared" si="138"/>
        <v>45.359237</v>
      </c>
      <c r="K2283">
        <v>0.35799999999999998</v>
      </c>
      <c r="L2283">
        <f t="shared" si="141"/>
        <v>16.238606846</v>
      </c>
    </row>
    <row r="2284" spans="1:12" x14ac:dyDescent="0.2">
      <c r="A2284" s="4">
        <v>43487</v>
      </c>
      <c r="B2284" t="s">
        <v>48</v>
      </c>
      <c r="C2284" s="28">
        <v>1</v>
      </c>
      <c r="D2284" s="6">
        <v>1</v>
      </c>
      <c r="E2284">
        <f>4*8.35</f>
        <v>33.4</v>
      </c>
      <c r="F2284" t="s">
        <v>303</v>
      </c>
      <c r="G2284" t="s">
        <v>811</v>
      </c>
      <c r="H2284" s="6" t="s">
        <v>1071</v>
      </c>
      <c r="I2284">
        <f t="shared" si="139"/>
        <v>33.4</v>
      </c>
      <c r="J2284">
        <f t="shared" si="138"/>
        <v>15.149985158</v>
      </c>
      <c r="K2284">
        <v>0.74299999999999999</v>
      </c>
      <c r="L2284">
        <f t="shared" si="141"/>
        <v>11.256438972393999</v>
      </c>
    </row>
    <row r="2285" spans="1:12" x14ac:dyDescent="0.2">
      <c r="A2285" s="4">
        <v>43489</v>
      </c>
      <c r="B2285" t="s">
        <v>48</v>
      </c>
      <c r="C2285" s="28">
        <v>1</v>
      </c>
      <c r="D2285" s="6">
        <v>1</v>
      </c>
      <c r="E2285">
        <f>4*8.35</f>
        <v>33.4</v>
      </c>
      <c r="F2285" t="s">
        <v>303</v>
      </c>
      <c r="G2285" t="s">
        <v>811</v>
      </c>
      <c r="H2285" s="6" t="s">
        <v>1071</v>
      </c>
      <c r="I2285">
        <f t="shared" si="139"/>
        <v>33.4</v>
      </c>
      <c r="J2285">
        <f t="shared" si="138"/>
        <v>15.149985158</v>
      </c>
      <c r="K2285">
        <v>0.74299999999999999</v>
      </c>
      <c r="L2285">
        <f t="shared" si="141"/>
        <v>11.256438972393999</v>
      </c>
    </row>
    <row r="2286" spans="1:12" x14ac:dyDescent="0.2">
      <c r="A2286" s="4">
        <v>43488</v>
      </c>
      <c r="B2286" t="s">
        <v>48</v>
      </c>
      <c r="C2286" s="28">
        <v>1</v>
      </c>
      <c r="D2286" s="6">
        <v>1</v>
      </c>
      <c r="E2286">
        <f>4*8.35</f>
        <v>33.4</v>
      </c>
      <c r="F2286" t="s">
        <v>303</v>
      </c>
      <c r="G2286" t="s">
        <v>811</v>
      </c>
      <c r="H2286" s="6" t="s">
        <v>1071</v>
      </c>
      <c r="I2286">
        <f t="shared" si="139"/>
        <v>33.4</v>
      </c>
      <c r="J2286">
        <f t="shared" si="138"/>
        <v>15.149985158</v>
      </c>
      <c r="K2286">
        <v>0.74299999999999999</v>
      </c>
      <c r="L2286">
        <f t="shared" si="141"/>
        <v>11.256438972393999</v>
      </c>
    </row>
    <row r="2287" spans="1:12" x14ac:dyDescent="0.2">
      <c r="A2287" s="4">
        <v>43483</v>
      </c>
      <c r="B2287" t="s">
        <v>48</v>
      </c>
      <c r="C2287" s="28">
        <v>1</v>
      </c>
      <c r="D2287" s="6">
        <v>1</v>
      </c>
      <c r="E2287">
        <f>4*8.35</f>
        <v>33.4</v>
      </c>
      <c r="F2287" t="s">
        <v>303</v>
      </c>
      <c r="G2287" t="s">
        <v>811</v>
      </c>
      <c r="H2287" s="6" t="s">
        <v>1071</v>
      </c>
      <c r="I2287">
        <f t="shared" si="139"/>
        <v>33.4</v>
      </c>
      <c r="J2287">
        <f t="shared" si="138"/>
        <v>15.149985158</v>
      </c>
      <c r="K2287">
        <v>0.74299999999999999</v>
      </c>
      <c r="L2287">
        <f t="shared" si="141"/>
        <v>11.256438972393999</v>
      </c>
    </row>
    <row r="2288" spans="1:12" x14ac:dyDescent="0.2">
      <c r="A2288" s="4">
        <v>43488</v>
      </c>
      <c r="B2288" t="s">
        <v>48</v>
      </c>
      <c r="C2288" s="28">
        <v>2</v>
      </c>
      <c r="D2288" s="6">
        <v>1</v>
      </c>
      <c r="E2288">
        <v>25</v>
      </c>
      <c r="F2288" t="s">
        <v>493</v>
      </c>
      <c r="G2288" t="s">
        <v>839</v>
      </c>
      <c r="H2288" s="6" t="s">
        <v>1071</v>
      </c>
      <c r="I2288">
        <f t="shared" si="139"/>
        <v>50</v>
      </c>
      <c r="J2288">
        <f t="shared" si="138"/>
        <v>22.6796185</v>
      </c>
      <c r="K2288">
        <v>0.95</v>
      </c>
      <c r="L2288">
        <f t="shared" si="141"/>
        <v>21.545637575000001</v>
      </c>
    </row>
    <row r="2289" spans="1:12" x14ac:dyDescent="0.2">
      <c r="A2289" s="4">
        <v>43487</v>
      </c>
      <c r="B2289" t="s">
        <v>48</v>
      </c>
      <c r="C2289" s="28">
        <v>5</v>
      </c>
      <c r="D2289" s="6">
        <v>1</v>
      </c>
      <c r="E2289">
        <v>18</v>
      </c>
      <c r="F2289" t="s">
        <v>304</v>
      </c>
      <c r="G2289" t="s">
        <v>786</v>
      </c>
      <c r="H2289" s="6" t="s">
        <v>1071</v>
      </c>
      <c r="I2289">
        <f t="shared" si="139"/>
        <v>90</v>
      </c>
      <c r="J2289">
        <f t="shared" si="138"/>
        <v>40.823313300000002</v>
      </c>
      <c r="K2289">
        <v>0.47799999999999998</v>
      </c>
      <c r="L2289">
        <f t="shared" si="141"/>
        <v>19.513543757400001</v>
      </c>
    </row>
    <row r="2290" spans="1:12" x14ac:dyDescent="0.2">
      <c r="A2290" s="4">
        <v>43488</v>
      </c>
      <c r="B2290" t="s">
        <v>48</v>
      </c>
      <c r="C2290" s="28">
        <v>4</v>
      </c>
      <c r="D2290" s="6">
        <v>1</v>
      </c>
      <c r="E2290">
        <v>18</v>
      </c>
      <c r="F2290" t="s">
        <v>304</v>
      </c>
      <c r="G2290" t="s">
        <v>786</v>
      </c>
      <c r="H2290" s="6" t="s">
        <v>1071</v>
      </c>
      <c r="I2290">
        <f t="shared" si="139"/>
        <v>72</v>
      </c>
      <c r="J2290">
        <f t="shared" si="138"/>
        <v>32.658650639999998</v>
      </c>
      <c r="K2290">
        <v>0.47799999999999998</v>
      </c>
      <c r="L2290">
        <f t="shared" si="141"/>
        <v>15.610835005919999</v>
      </c>
    </row>
    <row r="2291" spans="1:12" x14ac:dyDescent="0.2">
      <c r="A2291" s="4">
        <v>43484</v>
      </c>
      <c r="B2291" t="s">
        <v>48</v>
      </c>
      <c r="C2291" s="28">
        <v>4</v>
      </c>
      <c r="D2291" s="6">
        <v>1</v>
      </c>
      <c r="E2291">
        <v>18</v>
      </c>
      <c r="F2291" t="s">
        <v>304</v>
      </c>
      <c r="G2291" t="s">
        <v>786</v>
      </c>
      <c r="H2291" s="6" t="s">
        <v>1071</v>
      </c>
      <c r="I2291">
        <f t="shared" si="139"/>
        <v>72</v>
      </c>
      <c r="J2291">
        <f t="shared" si="138"/>
        <v>32.658650639999998</v>
      </c>
      <c r="K2291">
        <v>0.47799999999999998</v>
      </c>
      <c r="L2291">
        <f t="shared" si="141"/>
        <v>15.610835005919999</v>
      </c>
    </row>
    <row r="2292" spans="1:12" x14ac:dyDescent="0.2">
      <c r="A2292" s="4">
        <v>43483</v>
      </c>
      <c r="B2292" t="s">
        <v>48</v>
      </c>
      <c r="C2292" s="28">
        <v>8</v>
      </c>
      <c r="D2292" s="6">
        <v>1</v>
      </c>
      <c r="E2292">
        <v>18</v>
      </c>
      <c r="F2292" t="s">
        <v>304</v>
      </c>
      <c r="G2292" t="s">
        <v>786</v>
      </c>
      <c r="H2292" s="6" t="s">
        <v>1071</v>
      </c>
      <c r="I2292">
        <f t="shared" si="139"/>
        <v>144</v>
      </c>
      <c r="J2292">
        <f t="shared" si="138"/>
        <v>65.317301279999995</v>
      </c>
      <c r="K2292">
        <v>0.47799999999999998</v>
      </c>
      <c r="L2292">
        <f t="shared" si="141"/>
        <v>31.221670011839997</v>
      </c>
    </row>
    <row r="2293" spans="1:12" x14ac:dyDescent="0.2">
      <c r="A2293" s="4">
        <v>43487</v>
      </c>
      <c r="B2293" t="s">
        <v>48</v>
      </c>
      <c r="C2293" s="28">
        <v>2</v>
      </c>
      <c r="D2293" s="6">
        <v>1</v>
      </c>
      <c r="E2293">
        <f>36*(8.7/16)</f>
        <v>19.574999999999999</v>
      </c>
      <c r="F2293" t="s">
        <v>481</v>
      </c>
      <c r="G2293" t="s">
        <v>836</v>
      </c>
      <c r="H2293" s="6" t="s">
        <v>1071</v>
      </c>
      <c r="I2293">
        <f t="shared" si="139"/>
        <v>39.15</v>
      </c>
      <c r="J2293">
        <f t="shared" si="138"/>
        <v>17.758141285500002</v>
      </c>
      <c r="K2293">
        <v>1.21</v>
      </c>
      <c r="L2293">
        <f t="shared" si="141"/>
        <v>21.487350955455003</v>
      </c>
    </row>
    <row r="2294" spans="1:12" x14ac:dyDescent="0.2">
      <c r="A2294" s="4">
        <v>43488</v>
      </c>
      <c r="B2294" t="s">
        <v>38</v>
      </c>
      <c r="C2294">
        <v>24</v>
      </c>
      <c r="D2294" s="6">
        <v>1</v>
      </c>
      <c r="E2294">
        <v>2.0499999999999998</v>
      </c>
      <c r="F2294" s="9" t="s">
        <v>610</v>
      </c>
      <c r="G2294" s="9" t="s">
        <v>957</v>
      </c>
      <c r="H2294" s="6" t="s">
        <v>1073</v>
      </c>
      <c r="I2294">
        <f t="shared" si="139"/>
        <v>49.199999999999996</v>
      </c>
      <c r="J2294">
        <f t="shared" si="138"/>
        <v>22.316744604</v>
      </c>
      <c r="K2294">
        <f>(0.5*1.323)+(0.5*5.2)</f>
        <v>3.2614999999999998</v>
      </c>
      <c r="L2294">
        <f t="shared" si="141"/>
        <v>72.786062525945994</v>
      </c>
    </row>
    <row r="2295" spans="1:12" x14ac:dyDescent="0.2">
      <c r="A2295" s="4">
        <v>43483</v>
      </c>
      <c r="B2295" t="s">
        <v>38</v>
      </c>
      <c r="C2295">
        <v>2</v>
      </c>
      <c r="D2295" s="6">
        <v>1</v>
      </c>
      <c r="E2295">
        <v>2.0499999999999998</v>
      </c>
      <c r="F2295" s="9" t="s">
        <v>610</v>
      </c>
      <c r="G2295" s="9" t="s">
        <v>957</v>
      </c>
      <c r="H2295" s="6" t="s">
        <v>1073</v>
      </c>
      <c r="I2295">
        <f t="shared" si="139"/>
        <v>4.0999999999999996</v>
      </c>
      <c r="J2295">
        <f t="shared" si="138"/>
        <v>1.8597287170000001</v>
      </c>
      <c r="K2295">
        <f>(0.5*1.323)+(0.5*5.2)</f>
        <v>3.2614999999999998</v>
      </c>
      <c r="L2295">
        <f t="shared" si="141"/>
        <v>6.0655052104955001</v>
      </c>
    </row>
    <row r="2296" spans="1:12" x14ac:dyDescent="0.2">
      <c r="A2296" s="4">
        <v>43487</v>
      </c>
      <c r="B2296" t="s">
        <v>48</v>
      </c>
      <c r="C2296" s="28">
        <v>1</v>
      </c>
      <c r="D2296" s="6">
        <v>1</v>
      </c>
      <c r="E2296">
        <v>1</v>
      </c>
      <c r="F2296" t="s">
        <v>307</v>
      </c>
      <c r="G2296" t="s">
        <v>812</v>
      </c>
      <c r="H2296" s="6" t="s">
        <v>1071</v>
      </c>
      <c r="I2296">
        <f t="shared" si="139"/>
        <v>1</v>
      </c>
      <c r="J2296">
        <f t="shared" si="138"/>
        <v>0.45359237000000002</v>
      </c>
      <c r="K2296">
        <v>0.221</v>
      </c>
      <c r="L2296">
        <f t="shared" si="141"/>
        <v>0.10024391377000001</v>
      </c>
    </row>
    <row r="2297" spans="1:12" x14ac:dyDescent="0.2">
      <c r="A2297" s="4">
        <v>43487</v>
      </c>
      <c r="B2297" t="s">
        <v>48</v>
      </c>
      <c r="C2297" s="28">
        <v>1</v>
      </c>
      <c r="D2297" s="6">
        <v>1</v>
      </c>
      <c r="E2297">
        <v>1</v>
      </c>
      <c r="F2297" t="s">
        <v>309</v>
      </c>
      <c r="G2297" t="s">
        <v>812</v>
      </c>
      <c r="H2297" s="6" t="s">
        <v>1071</v>
      </c>
      <c r="I2297">
        <f t="shared" si="139"/>
        <v>1</v>
      </c>
      <c r="J2297">
        <f t="shared" si="138"/>
        <v>0.45359237000000002</v>
      </c>
      <c r="K2297">
        <v>0.221</v>
      </c>
      <c r="L2297">
        <f t="shared" si="141"/>
        <v>0.10024391377000001</v>
      </c>
    </row>
    <row r="2298" spans="1:12" x14ac:dyDescent="0.2">
      <c r="A2298" s="4">
        <v>43489</v>
      </c>
      <c r="B2298" t="s">
        <v>48</v>
      </c>
      <c r="C2298" s="28">
        <v>1</v>
      </c>
      <c r="D2298" s="6">
        <v>1</v>
      </c>
      <c r="E2298">
        <v>1</v>
      </c>
      <c r="F2298" t="s">
        <v>307</v>
      </c>
      <c r="G2298" t="s">
        <v>812</v>
      </c>
      <c r="H2298" s="6" t="s">
        <v>1071</v>
      </c>
      <c r="I2298">
        <f t="shared" si="139"/>
        <v>1</v>
      </c>
      <c r="J2298">
        <f t="shared" si="138"/>
        <v>0.45359237000000002</v>
      </c>
      <c r="K2298">
        <v>0.221</v>
      </c>
      <c r="L2298">
        <f t="shared" si="141"/>
        <v>0.10024391377000001</v>
      </c>
    </row>
    <row r="2299" spans="1:12" x14ac:dyDescent="0.2">
      <c r="A2299" s="4">
        <v>43483</v>
      </c>
      <c r="B2299" t="s">
        <v>48</v>
      </c>
      <c r="C2299" s="28">
        <v>2</v>
      </c>
      <c r="D2299" s="6">
        <v>1</v>
      </c>
      <c r="E2299">
        <v>1</v>
      </c>
      <c r="F2299" t="s">
        <v>307</v>
      </c>
      <c r="G2299" t="s">
        <v>812</v>
      </c>
      <c r="H2299" s="6" t="s">
        <v>1071</v>
      </c>
      <c r="I2299">
        <f t="shared" si="139"/>
        <v>2</v>
      </c>
      <c r="J2299">
        <f t="shared" si="138"/>
        <v>0.90718474000000004</v>
      </c>
      <c r="K2299">
        <v>0.221</v>
      </c>
      <c r="L2299">
        <f t="shared" si="141"/>
        <v>0.20048782754000002</v>
      </c>
    </row>
    <row r="2300" spans="1:12" x14ac:dyDescent="0.2">
      <c r="A2300" s="4">
        <v>43483</v>
      </c>
      <c r="B2300" t="s">
        <v>48</v>
      </c>
      <c r="C2300" s="28">
        <v>1</v>
      </c>
      <c r="D2300" s="6">
        <v>1</v>
      </c>
      <c r="E2300">
        <v>1</v>
      </c>
      <c r="F2300" t="s">
        <v>308</v>
      </c>
      <c r="G2300" t="s">
        <v>812</v>
      </c>
      <c r="H2300" s="6" t="s">
        <v>1071</v>
      </c>
      <c r="I2300">
        <f t="shared" si="139"/>
        <v>1</v>
      </c>
      <c r="J2300">
        <f t="shared" si="138"/>
        <v>0.45359237000000002</v>
      </c>
      <c r="K2300">
        <v>0.221</v>
      </c>
      <c r="L2300">
        <f t="shared" si="141"/>
        <v>0.10024391377000001</v>
      </c>
    </row>
    <row r="2301" spans="1:12" x14ac:dyDescent="0.2">
      <c r="A2301" s="4">
        <v>43483</v>
      </c>
      <c r="B2301" t="s">
        <v>48</v>
      </c>
      <c r="C2301" s="28">
        <v>1</v>
      </c>
      <c r="D2301" s="6">
        <v>1</v>
      </c>
      <c r="E2301">
        <v>1</v>
      </c>
      <c r="F2301" t="s">
        <v>309</v>
      </c>
      <c r="G2301" t="s">
        <v>812</v>
      </c>
      <c r="H2301" s="6" t="s">
        <v>1071</v>
      </c>
      <c r="I2301">
        <f t="shared" si="139"/>
        <v>1</v>
      </c>
      <c r="J2301">
        <f t="shared" si="138"/>
        <v>0.45359237000000002</v>
      </c>
      <c r="K2301">
        <v>0.221</v>
      </c>
      <c r="L2301">
        <f t="shared" si="141"/>
        <v>0.10024391377000001</v>
      </c>
    </row>
    <row r="2302" spans="1:12" x14ac:dyDescent="0.2">
      <c r="A2302" s="4">
        <v>43483</v>
      </c>
      <c r="B2302" t="s">
        <v>48</v>
      </c>
      <c r="C2302" s="35">
        <v>3</v>
      </c>
      <c r="D2302" s="9">
        <v>1</v>
      </c>
      <c r="E2302" s="8">
        <v>30</v>
      </c>
      <c r="F2302" s="8" t="s">
        <v>644</v>
      </c>
      <c r="G2302" s="8" t="s">
        <v>782</v>
      </c>
      <c r="H2302" s="6" t="s">
        <v>1071</v>
      </c>
      <c r="I2302">
        <f t="shared" si="139"/>
        <v>90</v>
      </c>
      <c r="J2302">
        <f t="shared" si="138"/>
        <v>40.823313300000002</v>
      </c>
      <c r="K2302">
        <v>0.221</v>
      </c>
      <c r="L2302">
        <f t="shared" si="141"/>
        <v>9.0219522393000009</v>
      </c>
    </row>
    <row r="2303" spans="1:12" x14ac:dyDescent="0.2">
      <c r="A2303" s="4">
        <v>43488</v>
      </c>
      <c r="B2303" t="s">
        <v>538</v>
      </c>
      <c r="C2303">
        <v>1</v>
      </c>
      <c r="D2303">
        <v>6</v>
      </c>
      <c r="E2303">
        <v>5</v>
      </c>
      <c r="F2303" t="s">
        <v>571</v>
      </c>
      <c r="G2303" t="s">
        <v>878</v>
      </c>
      <c r="H2303" s="6" t="s">
        <v>1071</v>
      </c>
      <c r="I2303">
        <f t="shared" si="139"/>
        <v>30</v>
      </c>
      <c r="J2303">
        <f t="shared" si="138"/>
        <v>13.607771100000001</v>
      </c>
      <c r="K2303">
        <v>2.44</v>
      </c>
      <c r="L2303">
        <f t="shared" si="141"/>
        <v>33.202961483999999</v>
      </c>
    </row>
    <row r="2304" spans="1:12" x14ac:dyDescent="0.2">
      <c r="A2304" s="4">
        <v>43487</v>
      </c>
      <c r="B2304" t="s">
        <v>48</v>
      </c>
      <c r="C2304" s="28">
        <v>6</v>
      </c>
      <c r="D2304" s="6">
        <v>1</v>
      </c>
      <c r="E2304">
        <f>8*4</f>
        <v>32</v>
      </c>
      <c r="F2304" t="s">
        <v>312</v>
      </c>
      <c r="G2304" t="s">
        <v>789</v>
      </c>
      <c r="H2304" s="6" t="s">
        <v>1071</v>
      </c>
      <c r="I2304">
        <f t="shared" si="139"/>
        <v>192</v>
      </c>
      <c r="J2304">
        <f t="shared" si="138"/>
        <v>87.089735040000008</v>
      </c>
      <c r="K2304">
        <v>0.28399999999999997</v>
      </c>
      <c r="L2304">
        <f t="shared" si="141"/>
        <v>24.733484751359999</v>
      </c>
    </row>
    <row r="2305" spans="1:12" x14ac:dyDescent="0.2">
      <c r="A2305" s="4">
        <v>43489</v>
      </c>
      <c r="B2305" t="s">
        <v>48</v>
      </c>
      <c r="C2305" s="28">
        <v>6</v>
      </c>
      <c r="D2305" s="6">
        <v>1</v>
      </c>
      <c r="E2305">
        <f>6*4</f>
        <v>24</v>
      </c>
      <c r="F2305" t="s">
        <v>631</v>
      </c>
      <c r="G2305" t="s">
        <v>789</v>
      </c>
      <c r="H2305" s="6" t="s">
        <v>1071</v>
      </c>
      <c r="I2305">
        <f t="shared" si="139"/>
        <v>144</v>
      </c>
      <c r="J2305">
        <f t="shared" si="138"/>
        <v>65.317301279999995</v>
      </c>
      <c r="K2305">
        <v>0.28399999999999997</v>
      </c>
      <c r="L2305">
        <f t="shared" si="141"/>
        <v>18.550113563519997</v>
      </c>
    </row>
    <row r="2306" spans="1:12" x14ac:dyDescent="0.2">
      <c r="A2306" s="4">
        <v>43488</v>
      </c>
      <c r="B2306" t="s">
        <v>48</v>
      </c>
      <c r="C2306" s="28">
        <v>8</v>
      </c>
      <c r="D2306" s="6">
        <v>1</v>
      </c>
      <c r="E2306">
        <f>8*4</f>
        <v>32</v>
      </c>
      <c r="F2306" t="s">
        <v>312</v>
      </c>
      <c r="G2306" t="s">
        <v>789</v>
      </c>
      <c r="H2306" s="6" t="s">
        <v>1071</v>
      </c>
      <c r="I2306">
        <f t="shared" si="139"/>
        <v>256</v>
      </c>
      <c r="J2306">
        <f t="shared" si="138"/>
        <v>116.11964672000001</v>
      </c>
      <c r="K2306">
        <v>0.28399999999999997</v>
      </c>
      <c r="L2306">
        <f t="shared" si="141"/>
        <v>32.977979668479996</v>
      </c>
    </row>
    <row r="2307" spans="1:12" x14ac:dyDescent="0.2">
      <c r="A2307" s="4">
        <v>43484</v>
      </c>
      <c r="B2307" t="s">
        <v>48</v>
      </c>
      <c r="C2307" s="28">
        <v>6</v>
      </c>
      <c r="D2307" s="6">
        <v>1</v>
      </c>
      <c r="E2307">
        <f>8*4</f>
        <v>32</v>
      </c>
      <c r="F2307" t="s">
        <v>312</v>
      </c>
      <c r="G2307" t="s">
        <v>789</v>
      </c>
      <c r="H2307" s="6" t="s">
        <v>1071</v>
      </c>
      <c r="I2307">
        <f t="shared" si="139"/>
        <v>192</v>
      </c>
      <c r="J2307">
        <f t="shared" ref="J2307:J2370" si="142">CONVERT(I2307,"lbm","kg")</f>
        <v>87.089735040000008</v>
      </c>
      <c r="K2307">
        <v>0.28399999999999997</v>
      </c>
      <c r="L2307">
        <f t="shared" si="141"/>
        <v>24.733484751359999</v>
      </c>
    </row>
    <row r="2308" spans="1:12" x14ac:dyDescent="0.2">
      <c r="A2308" s="4">
        <v>43483</v>
      </c>
      <c r="B2308" t="s">
        <v>48</v>
      </c>
      <c r="C2308" s="28">
        <v>8</v>
      </c>
      <c r="D2308" s="6">
        <v>1</v>
      </c>
      <c r="E2308">
        <f>8*4</f>
        <v>32</v>
      </c>
      <c r="F2308" t="s">
        <v>312</v>
      </c>
      <c r="G2308" t="s">
        <v>789</v>
      </c>
      <c r="H2308" s="6" t="s">
        <v>1071</v>
      </c>
      <c r="I2308">
        <f t="shared" si="139"/>
        <v>256</v>
      </c>
      <c r="J2308">
        <f t="shared" si="142"/>
        <v>116.11964672000001</v>
      </c>
      <c r="K2308">
        <v>0.28399999999999997</v>
      </c>
      <c r="L2308">
        <f t="shared" si="141"/>
        <v>32.977979668479996</v>
      </c>
    </row>
    <row r="2309" spans="1:12" x14ac:dyDescent="0.2">
      <c r="A2309" s="10">
        <v>43483</v>
      </c>
      <c r="B2309" s="8" t="s">
        <v>946</v>
      </c>
      <c r="C2309" s="6">
        <v>1</v>
      </c>
      <c r="D2309" s="9">
        <v>1</v>
      </c>
      <c r="E2309" s="8">
        <v>50</v>
      </c>
      <c r="F2309" s="9" t="s">
        <v>947</v>
      </c>
      <c r="G2309" s="9" t="s">
        <v>950</v>
      </c>
      <c r="H2309" s="6" t="s">
        <v>1073</v>
      </c>
      <c r="I2309">
        <f t="shared" si="139"/>
        <v>50</v>
      </c>
      <c r="J2309">
        <f t="shared" si="142"/>
        <v>22.6796185</v>
      </c>
      <c r="K2309">
        <v>3.84</v>
      </c>
      <c r="L2309">
        <f t="shared" si="141"/>
        <v>87.089735039999994</v>
      </c>
    </row>
    <row r="2310" spans="1:12" x14ac:dyDescent="0.2">
      <c r="A2310" s="10">
        <v>43483</v>
      </c>
      <c r="B2310" s="8" t="s">
        <v>946</v>
      </c>
      <c r="C2310" s="6">
        <v>1</v>
      </c>
      <c r="D2310" s="9">
        <v>1</v>
      </c>
      <c r="E2310" s="8">
        <v>50</v>
      </c>
      <c r="F2310" s="9" t="s">
        <v>953</v>
      </c>
      <c r="G2310" s="9" t="s">
        <v>950</v>
      </c>
      <c r="H2310" s="6" t="s">
        <v>1073</v>
      </c>
      <c r="I2310">
        <f t="shared" si="139"/>
        <v>50</v>
      </c>
      <c r="J2310">
        <f t="shared" si="142"/>
        <v>22.6796185</v>
      </c>
      <c r="K2310">
        <v>3.84</v>
      </c>
      <c r="L2310">
        <f t="shared" si="141"/>
        <v>87.089735039999994</v>
      </c>
    </row>
    <row r="2311" spans="1:12" x14ac:dyDescent="0.2">
      <c r="A2311" s="10">
        <v>43483</v>
      </c>
      <c r="B2311" s="8" t="s">
        <v>946</v>
      </c>
      <c r="C2311" s="6">
        <v>1</v>
      </c>
      <c r="D2311" s="9">
        <v>1</v>
      </c>
      <c r="E2311" s="9">
        <v>25</v>
      </c>
      <c r="F2311" s="9" t="s">
        <v>955</v>
      </c>
      <c r="G2311" s="9" t="s">
        <v>950</v>
      </c>
      <c r="H2311" s="6" t="s">
        <v>1073</v>
      </c>
      <c r="I2311">
        <f t="shared" si="139"/>
        <v>25</v>
      </c>
      <c r="J2311">
        <f t="shared" si="142"/>
        <v>11.33980925</v>
      </c>
      <c r="K2311">
        <v>3.84</v>
      </c>
      <c r="L2311">
        <f t="shared" si="141"/>
        <v>43.544867519999997</v>
      </c>
    </row>
    <row r="2312" spans="1:12" x14ac:dyDescent="0.2">
      <c r="A2312" s="10">
        <v>43483</v>
      </c>
      <c r="B2312" s="8" t="s">
        <v>946</v>
      </c>
      <c r="C2312" s="6">
        <v>1</v>
      </c>
      <c r="D2312" s="9">
        <v>1</v>
      </c>
      <c r="E2312" s="9">
        <v>25</v>
      </c>
      <c r="F2312" s="9" t="s">
        <v>956</v>
      </c>
      <c r="G2312" s="9" t="s">
        <v>950</v>
      </c>
      <c r="H2312" s="6" t="s">
        <v>1073</v>
      </c>
      <c r="I2312">
        <f t="shared" si="139"/>
        <v>25</v>
      </c>
      <c r="J2312">
        <f t="shared" si="142"/>
        <v>11.33980925</v>
      </c>
      <c r="K2312">
        <v>3.84</v>
      </c>
      <c r="L2312">
        <f t="shared" si="141"/>
        <v>43.544867519999997</v>
      </c>
    </row>
    <row r="2313" spans="1:12" x14ac:dyDescent="0.2">
      <c r="A2313" s="4">
        <v>43486</v>
      </c>
      <c r="B2313" t="s">
        <v>517</v>
      </c>
      <c r="C2313">
        <v>1</v>
      </c>
      <c r="D2313">
        <v>1</v>
      </c>
      <c r="E2313">
        <f>3*6.07</f>
        <v>18.21</v>
      </c>
      <c r="F2313" t="s">
        <v>466</v>
      </c>
      <c r="G2313" t="s">
        <v>888</v>
      </c>
      <c r="H2313" s="6" t="s">
        <v>1073</v>
      </c>
      <c r="I2313">
        <f t="shared" si="139"/>
        <v>18.21</v>
      </c>
      <c r="J2313">
        <f t="shared" si="142"/>
        <v>8.259917057700001</v>
      </c>
      <c r="K2313">
        <v>3.84</v>
      </c>
      <c r="L2313">
        <f t="shared" si="141"/>
        <v>31.718081501568001</v>
      </c>
    </row>
    <row r="2314" spans="1:12" x14ac:dyDescent="0.2">
      <c r="A2314" s="4">
        <v>43486</v>
      </c>
      <c r="B2314" t="s">
        <v>517</v>
      </c>
      <c r="C2314">
        <v>2</v>
      </c>
      <c r="D2314">
        <v>1</v>
      </c>
      <c r="E2314">
        <f>3*6.07</f>
        <v>18.21</v>
      </c>
      <c r="F2314" t="s">
        <v>467</v>
      </c>
      <c r="G2314" t="s">
        <v>888</v>
      </c>
      <c r="H2314" s="6" t="s">
        <v>1073</v>
      </c>
      <c r="I2314">
        <f t="shared" si="139"/>
        <v>36.42</v>
      </c>
      <c r="J2314">
        <f t="shared" si="142"/>
        <v>16.519834115400002</v>
      </c>
      <c r="K2314">
        <v>3.84</v>
      </c>
      <c r="L2314">
        <f t="shared" si="141"/>
        <v>63.436163003136002</v>
      </c>
    </row>
    <row r="2315" spans="1:12" x14ac:dyDescent="0.2">
      <c r="A2315" s="4">
        <v>43486</v>
      </c>
      <c r="B2315" t="s">
        <v>517</v>
      </c>
      <c r="C2315">
        <v>2</v>
      </c>
      <c r="D2315">
        <v>1</v>
      </c>
      <c r="E2315">
        <f>3*6.07</f>
        <v>18.21</v>
      </c>
      <c r="F2315" t="s">
        <v>468</v>
      </c>
      <c r="G2315" t="s">
        <v>888</v>
      </c>
      <c r="H2315" s="6" t="s">
        <v>1073</v>
      </c>
      <c r="I2315">
        <f t="shared" si="139"/>
        <v>36.42</v>
      </c>
      <c r="J2315">
        <f t="shared" si="142"/>
        <v>16.519834115400002</v>
      </c>
      <c r="K2315">
        <v>3.84</v>
      </c>
      <c r="L2315">
        <f t="shared" si="141"/>
        <v>63.436163003136002</v>
      </c>
    </row>
    <row r="2316" spans="1:12" x14ac:dyDescent="0.2">
      <c r="A2316" s="4">
        <v>43486</v>
      </c>
      <c r="B2316" t="s">
        <v>517</v>
      </c>
      <c r="C2316">
        <v>3</v>
      </c>
      <c r="D2316">
        <v>1</v>
      </c>
      <c r="E2316">
        <f>3*6.07</f>
        <v>18.21</v>
      </c>
      <c r="F2316" t="s">
        <v>469</v>
      </c>
      <c r="G2316" t="s">
        <v>888</v>
      </c>
      <c r="H2316" s="6" t="s">
        <v>1073</v>
      </c>
      <c r="I2316">
        <f t="shared" si="139"/>
        <v>54.63</v>
      </c>
      <c r="J2316">
        <f t="shared" si="142"/>
        <v>24.779751173100003</v>
      </c>
      <c r="K2316">
        <v>3.84</v>
      </c>
      <c r="L2316">
        <f t="shared" si="141"/>
        <v>95.15424450470401</v>
      </c>
    </row>
    <row r="2317" spans="1:12" x14ac:dyDescent="0.2">
      <c r="A2317" s="4">
        <v>43486</v>
      </c>
      <c r="B2317" t="s">
        <v>517</v>
      </c>
      <c r="C2317">
        <v>1</v>
      </c>
      <c r="D2317">
        <v>1</v>
      </c>
      <c r="E2317">
        <f>3*6.07</f>
        <v>18.21</v>
      </c>
      <c r="F2317" t="s">
        <v>524</v>
      </c>
      <c r="G2317" t="s">
        <v>888</v>
      </c>
      <c r="H2317" s="6" t="s">
        <v>1073</v>
      </c>
      <c r="I2317">
        <f t="shared" ref="I2317:I2380" si="143">C2317*D2317*E2317</f>
        <v>18.21</v>
      </c>
      <c r="J2317">
        <f t="shared" si="142"/>
        <v>8.259917057700001</v>
      </c>
      <c r="K2317">
        <v>3.84</v>
      </c>
      <c r="L2317">
        <f t="shared" si="141"/>
        <v>31.718081501568001</v>
      </c>
    </row>
    <row r="2318" spans="1:12" x14ac:dyDescent="0.2">
      <c r="A2318" s="4">
        <v>43488</v>
      </c>
      <c r="B2318" t="s">
        <v>538</v>
      </c>
      <c r="C2318">
        <v>1</v>
      </c>
      <c r="D2318">
        <v>6</v>
      </c>
      <c r="E2318">
        <v>4</v>
      </c>
      <c r="F2318" t="s">
        <v>438</v>
      </c>
      <c r="G2318" t="s">
        <v>992</v>
      </c>
      <c r="H2318" s="6" t="s">
        <v>1071</v>
      </c>
      <c r="I2318">
        <f t="shared" si="143"/>
        <v>24</v>
      </c>
      <c r="J2318">
        <f t="shared" si="142"/>
        <v>10.886216880000001</v>
      </c>
      <c r="K2318">
        <v>3.1</v>
      </c>
      <c r="L2318">
        <f t="shared" si="141"/>
        <v>33.747272328000001</v>
      </c>
    </row>
    <row r="2319" spans="1:12" x14ac:dyDescent="0.2">
      <c r="A2319" s="4">
        <v>43484</v>
      </c>
      <c r="B2319" t="s">
        <v>538</v>
      </c>
      <c r="C2319">
        <v>1</v>
      </c>
      <c r="D2319">
        <v>6</v>
      </c>
      <c r="E2319">
        <v>4</v>
      </c>
      <c r="F2319" t="s">
        <v>438</v>
      </c>
      <c r="G2319" t="s">
        <v>866</v>
      </c>
      <c r="H2319" s="6" t="s">
        <v>1071</v>
      </c>
      <c r="I2319">
        <f t="shared" si="143"/>
        <v>24</v>
      </c>
      <c r="J2319">
        <f t="shared" si="142"/>
        <v>10.886216880000001</v>
      </c>
      <c r="K2319">
        <v>3.1</v>
      </c>
      <c r="L2319">
        <f t="shared" si="141"/>
        <v>33.747272328000001</v>
      </c>
    </row>
    <row r="2320" spans="1:12" x14ac:dyDescent="0.2">
      <c r="A2320" s="4">
        <v>43489</v>
      </c>
      <c r="B2320" t="s">
        <v>48</v>
      </c>
      <c r="C2320" s="28">
        <v>1</v>
      </c>
      <c r="D2320" s="6">
        <v>1</v>
      </c>
      <c r="E2320">
        <v>10</v>
      </c>
      <c r="F2320" t="s">
        <v>632</v>
      </c>
      <c r="G2320" t="s">
        <v>819</v>
      </c>
      <c r="H2320" s="6" t="s">
        <v>1071</v>
      </c>
      <c r="I2320">
        <f t="shared" si="143"/>
        <v>10</v>
      </c>
      <c r="J2320">
        <f t="shared" si="142"/>
        <v>4.5359237000000006</v>
      </c>
      <c r="K2320">
        <v>0.193</v>
      </c>
      <c r="L2320">
        <f t="shared" si="141"/>
        <v>0.87543327410000016</v>
      </c>
    </row>
    <row r="2321" spans="1:12" x14ac:dyDescent="0.2">
      <c r="A2321" s="4">
        <v>43488</v>
      </c>
      <c r="B2321" t="s">
        <v>48</v>
      </c>
      <c r="C2321" s="28">
        <v>3</v>
      </c>
      <c r="D2321" s="6">
        <v>1</v>
      </c>
      <c r="E2321">
        <v>10</v>
      </c>
      <c r="F2321" t="s">
        <v>632</v>
      </c>
      <c r="G2321" t="s">
        <v>819</v>
      </c>
      <c r="H2321" s="6" t="s">
        <v>1071</v>
      </c>
      <c r="I2321">
        <f t="shared" si="143"/>
        <v>30</v>
      </c>
      <c r="J2321">
        <f t="shared" si="142"/>
        <v>13.607771100000001</v>
      </c>
      <c r="K2321">
        <v>0.193</v>
      </c>
      <c r="L2321">
        <f t="shared" si="141"/>
        <v>2.6262998223</v>
      </c>
    </row>
    <row r="2322" spans="1:12" x14ac:dyDescent="0.2">
      <c r="A2322" s="4">
        <v>43484</v>
      </c>
      <c r="B2322" t="s">
        <v>48</v>
      </c>
      <c r="C2322" s="28">
        <v>2</v>
      </c>
      <c r="D2322" s="6">
        <v>1</v>
      </c>
      <c r="E2322">
        <v>10</v>
      </c>
      <c r="F2322" t="s">
        <v>632</v>
      </c>
      <c r="G2322" t="s">
        <v>819</v>
      </c>
      <c r="H2322" s="6" t="s">
        <v>1071</v>
      </c>
      <c r="I2322">
        <f t="shared" si="143"/>
        <v>20</v>
      </c>
      <c r="J2322">
        <f t="shared" si="142"/>
        <v>9.0718474000000011</v>
      </c>
      <c r="K2322">
        <v>0.193</v>
      </c>
      <c r="L2322">
        <f t="shared" si="141"/>
        <v>1.7508665482000003</v>
      </c>
    </row>
    <row r="2323" spans="1:12" x14ac:dyDescent="0.2">
      <c r="A2323" s="4">
        <v>43483</v>
      </c>
      <c r="B2323" t="s">
        <v>538</v>
      </c>
      <c r="C2323">
        <v>4</v>
      </c>
      <c r="D2323">
        <v>6</v>
      </c>
      <c r="E2323">
        <f>7+(2/16)</f>
        <v>7.125</v>
      </c>
      <c r="F2323" t="s">
        <v>1007</v>
      </c>
      <c r="G2323" t="s">
        <v>874</v>
      </c>
      <c r="H2323" s="6" t="s">
        <v>1071</v>
      </c>
      <c r="I2323">
        <f t="shared" si="143"/>
        <v>171</v>
      </c>
      <c r="J2323">
        <f t="shared" si="142"/>
        <v>77.564295270000002</v>
      </c>
      <c r="K2323">
        <v>3.2</v>
      </c>
      <c r="L2323">
        <f t="shared" si="141"/>
        <v>248.20574486400002</v>
      </c>
    </row>
    <row r="2324" spans="1:12" x14ac:dyDescent="0.2">
      <c r="A2324" s="4">
        <v>43487</v>
      </c>
      <c r="B2324" t="s">
        <v>48</v>
      </c>
      <c r="C2324" s="28">
        <v>1</v>
      </c>
      <c r="D2324" s="6">
        <v>1</v>
      </c>
      <c r="E2324">
        <f>12*4</f>
        <v>48</v>
      </c>
      <c r="F2324" t="s">
        <v>336</v>
      </c>
      <c r="G2324" t="s">
        <v>185</v>
      </c>
      <c r="H2324" s="6" t="s">
        <v>1071</v>
      </c>
      <c r="I2324">
        <f t="shared" si="143"/>
        <v>48</v>
      </c>
      <c r="J2324">
        <f t="shared" si="142"/>
        <v>21.772433760000002</v>
      </c>
      <c r="K2324">
        <v>0.33200000000000002</v>
      </c>
      <c r="L2324">
        <f t="shared" si="141"/>
        <v>7.2284480083200009</v>
      </c>
    </row>
    <row r="2325" spans="1:12" x14ac:dyDescent="0.2">
      <c r="A2325" s="4">
        <v>43483</v>
      </c>
      <c r="B2325" t="s">
        <v>538</v>
      </c>
      <c r="C2325">
        <v>1</v>
      </c>
      <c r="D2325">
        <v>1</v>
      </c>
      <c r="E2325">
        <v>20</v>
      </c>
      <c r="F2325" t="s">
        <v>656</v>
      </c>
      <c r="G2325" t="s">
        <v>973</v>
      </c>
      <c r="H2325" s="6" t="s">
        <v>1071</v>
      </c>
      <c r="I2325">
        <f t="shared" si="143"/>
        <v>20</v>
      </c>
      <c r="J2325">
        <f t="shared" si="142"/>
        <v>9.0718474000000011</v>
      </c>
      <c r="K2325">
        <v>1.88</v>
      </c>
      <c r="L2325">
        <f t="shared" ref="L2325:L2388" si="144">K2325*J2325</f>
        <v>17.055073112000002</v>
      </c>
    </row>
    <row r="2326" spans="1:12" x14ac:dyDescent="0.2">
      <c r="A2326" s="4">
        <v>43486</v>
      </c>
      <c r="B2326" t="s">
        <v>48</v>
      </c>
      <c r="C2326" s="28">
        <v>1</v>
      </c>
      <c r="D2326" s="6">
        <v>1</v>
      </c>
      <c r="E2326">
        <v>12</v>
      </c>
      <c r="F2326" t="s">
        <v>488</v>
      </c>
      <c r="G2326" t="s">
        <v>787</v>
      </c>
      <c r="H2326" s="6" t="s">
        <v>1071</v>
      </c>
      <c r="I2326">
        <f t="shared" si="143"/>
        <v>12</v>
      </c>
      <c r="J2326">
        <f t="shared" si="142"/>
        <v>5.4431084400000005</v>
      </c>
      <c r="K2326">
        <v>0.22</v>
      </c>
      <c r="L2326">
        <f t="shared" si="144"/>
        <v>1.1974838568000001</v>
      </c>
    </row>
    <row r="2327" spans="1:12" x14ac:dyDescent="0.2">
      <c r="A2327" s="4">
        <v>43487</v>
      </c>
      <c r="B2327" t="s">
        <v>48</v>
      </c>
      <c r="C2327" s="28">
        <v>2</v>
      </c>
      <c r="D2327" s="6">
        <v>1</v>
      </c>
      <c r="E2327">
        <v>12</v>
      </c>
      <c r="F2327" t="s">
        <v>488</v>
      </c>
      <c r="G2327" t="s">
        <v>787</v>
      </c>
      <c r="H2327" s="6" t="s">
        <v>1071</v>
      </c>
      <c r="I2327">
        <f t="shared" si="143"/>
        <v>24</v>
      </c>
      <c r="J2327">
        <f t="shared" si="142"/>
        <v>10.886216880000001</v>
      </c>
      <c r="K2327">
        <v>0.22</v>
      </c>
      <c r="L2327">
        <f t="shared" si="144"/>
        <v>2.3949677136000003</v>
      </c>
    </row>
    <row r="2328" spans="1:12" x14ac:dyDescent="0.2">
      <c r="A2328" s="4">
        <v>43489</v>
      </c>
      <c r="B2328" t="s">
        <v>48</v>
      </c>
      <c r="C2328" s="28">
        <v>2</v>
      </c>
      <c r="D2328" s="6">
        <v>1</v>
      </c>
      <c r="E2328">
        <v>12</v>
      </c>
      <c r="F2328" t="s">
        <v>488</v>
      </c>
      <c r="G2328" t="s">
        <v>787</v>
      </c>
      <c r="H2328" s="6" t="s">
        <v>1071</v>
      </c>
      <c r="I2328">
        <f t="shared" si="143"/>
        <v>24</v>
      </c>
      <c r="J2328">
        <f t="shared" si="142"/>
        <v>10.886216880000001</v>
      </c>
      <c r="K2328">
        <v>0.22</v>
      </c>
      <c r="L2328">
        <f t="shared" si="144"/>
        <v>2.3949677136000003</v>
      </c>
    </row>
    <row r="2329" spans="1:12" x14ac:dyDescent="0.2">
      <c r="A2329" s="4">
        <v>43488</v>
      </c>
      <c r="B2329" t="s">
        <v>48</v>
      </c>
      <c r="C2329" s="28">
        <v>2</v>
      </c>
      <c r="D2329" s="6">
        <v>1</v>
      </c>
      <c r="E2329">
        <v>12</v>
      </c>
      <c r="F2329" t="s">
        <v>488</v>
      </c>
      <c r="G2329" t="s">
        <v>787</v>
      </c>
      <c r="H2329" s="6" t="s">
        <v>1071</v>
      </c>
      <c r="I2329">
        <f t="shared" si="143"/>
        <v>24</v>
      </c>
      <c r="J2329">
        <f t="shared" si="142"/>
        <v>10.886216880000001</v>
      </c>
      <c r="K2329">
        <v>0.22</v>
      </c>
      <c r="L2329">
        <f t="shared" si="144"/>
        <v>2.3949677136000003</v>
      </c>
    </row>
    <row r="2330" spans="1:12" x14ac:dyDescent="0.2">
      <c r="A2330" s="4">
        <v>43488</v>
      </c>
      <c r="B2330" t="s">
        <v>48</v>
      </c>
      <c r="C2330" s="28">
        <v>1</v>
      </c>
      <c r="D2330" s="6">
        <v>1</v>
      </c>
      <c r="E2330">
        <v>10</v>
      </c>
      <c r="F2330" t="s">
        <v>310</v>
      </c>
      <c r="G2330" t="s">
        <v>787</v>
      </c>
      <c r="H2330" s="6" t="s">
        <v>1071</v>
      </c>
      <c r="I2330">
        <f t="shared" si="143"/>
        <v>10</v>
      </c>
      <c r="J2330">
        <f t="shared" si="142"/>
        <v>4.5359237000000006</v>
      </c>
      <c r="K2330">
        <v>0.22</v>
      </c>
      <c r="L2330">
        <f t="shared" si="144"/>
        <v>0.99790321400000015</v>
      </c>
    </row>
    <row r="2331" spans="1:12" x14ac:dyDescent="0.2">
      <c r="A2331" s="4">
        <v>43484</v>
      </c>
      <c r="B2331" t="s">
        <v>48</v>
      </c>
      <c r="C2331" s="28">
        <v>1</v>
      </c>
      <c r="D2331" s="6">
        <v>1</v>
      </c>
      <c r="E2331">
        <v>10</v>
      </c>
      <c r="F2331" t="s">
        <v>310</v>
      </c>
      <c r="G2331" t="s">
        <v>787</v>
      </c>
      <c r="H2331" s="6" t="s">
        <v>1071</v>
      </c>
      <c r="I2331">
        <f t="shared" si="143"/>
        <v>10</v>
      </c>
      <c r="J2331">
        <f t="shared" si="142"/>
        <v>4.5359237000000006</v>
      </c>
      <c r="K2331">
        <v>0.22</v>
      </c>
      <c r="L2331">
        <f t="shared" si="144"/>
        <v>0.99790321400000015</v>
      </c>
    </row>
    <row r="2332" spans="1:12" x14ac:dyDescent="0.2">
      <c r="A2332" s="4">
        <v>43483</v>
      </c>
      <c r="B2332" t="s">
        <v>48</v>
      </c>
      <c r="C2332" s="28">
        <v>2</v>
      </c>
      <c r="D2332" s="6">
        <v>1</v>
      </c>
      <c r="E2332">
        <v>12</v>
      </c>
      <c r="F2332" t="s">
        <v>488</v>
      </c>
      <c r="G2332" t="s">
        <v>787</v>
      </c>
      <c r="H2332" s="6" t="s">
        <v>1071</v>
      </c>
      <c r="I2332">
        <f t="shared" si="143"/>
        <v>24</v>
      </c>
      <c r="J2332">
        <f t="shared" si="142"/>
        <v>10.886216880000001</v>
      </c>
      <c r="K2332">
        <v>0.22</v>
      </c>
      <c r="L2332">
        <f t="shared" si="144"/>
        <v>2.3949677136000003</v>
      </c>
    </row>
    <row r="2333" spans="1:12" x14ac:dyDescent="0.2">
      <c r="A2333" s="4">
        <v>43483</v>
      </c>
      <c r="B2333" t="s">
        <v>48</v>
      </c>
      <c r="C2333" s="28">
        <v>1</v>
      </c>
      <c r="D2333" s="6">
        <v>1</v>
      </c>
      <c r="E2333">
        <v>10</v>
      </c>
      <c r="F2333" t="s">
        <v>310</v>
      </c>
      <c r="G2333" t="s">
        <v>787</v>
      </c>
      <c r="H2333" s="6" t="s">
        <v>1071</v>
      </c>
      <c r="I2333">
        <f t="shared" si="143"/>
        <v>10</v>
      </c>
      <c r="J2333">
        <f t="shared" si="142"/>
        <v>4.5359237000000006</v>
      </c>
      <c r="K2333">
        <v>0.22</v>
      </c>
      <c r="L2333">
        <f t="shared" si="144"/>
        <v>0.99790321400000015</v>
      </c>
    </row>
    <row r="2334" spans="1:12" x14ac:dyDescent="0.2">
      <c r="A2334" s="4">
        <v>43486</v>
      </c>
      <c r="B2334" t="s">
        <v>48</v>
      </c>
      <c r="C2334" s="28">
        <v>1</v>
      </c>
      <c r="D2334" s="6">
        <v>1</v>
      </c>
      <c r="E2334">
        <f>12*4</f>
        <v>48</v>
      </c>
      <c r="F2334" t="s">
        <v>622</v>
      </c>
      <c r="G2334" t="s">
        <v>101</v>
      </c>
      <c r="H2334" s="6" t="s">
        <v>1071</v>
      </c>
      <c r="I2334">
        <f t="shared" si="143"/>
        <v>48</v>
      </c>
      <c r="J2334">
        <f t="shared" si="142"/>
        <v>21.772433760000002</v>
      </c>
      <c r="K2334">
        <v>1.9430000000000001</v>
      </c>
      <c r="L2334">
        <f t="shared" si="144"/>
        <v>42.303838795680008</v>
      </c>
    </row>
    <row r="2335" spans="1:12" x14ac:dyDescent="0.2">
      <c r="A2335" s="4">
        <v>43483</v>
      </c>
      <c r="B2335" t="s">
        <v>517</v>
      </c>
      <c r="C2335">
        <v>1</v>
      </c>
      <c r="D2335">
        <v>6</v>
      </c>
      <c r="E2335">
        <v>5</v>
      </c>
      <c r="F2335" t="s">
        <v>646</v>
      </c>
      <c r="G2335" s="14" t="s">
        <v>926</v>
      </c>
      <c r="H2335" s="6" t="s">
        <v>1071</v>
      </c>
      <c r="I2335">
        <f t="shared" si="143"/>
        <v>30</v>
      </c>
      <c r="J2335">
        <f t="shared" si="142"/>
        <v>13.607771100000001</v>
      </c>
      <c r="L2335">
        <f t="shared" si="144"/>
        <v>0</v>
      </c>
    </row>
    <row r="2336" spans="1:12" x14ac:dyDescent="0.2">
      <c r="A2336" s="4">
        <v>43488</v>
      </c>
      <c r="B2336" t="s">
        <v>38</v>
      </c>
      <c r="C2336">
        <v>2</v>
      </c>
      <c r="D2336" s="6">
        <v>1</v>
      </c>
      <c r="E2336">
        <f t="shared" ref="E2336:E2344" si="145">8.6*5</f>
        <v>43</v>
      </c>
      <c r="F2336" s="9" t="s">
        <v>608</v>
      </c>
      <c r="G2336" s="9" t="s">
        <v>774</v>
      </c>
      <c r="H2336" s="6" t="s">
        <v>1073</v>
      </c>
      <c r="I2336">
        <f t="shared" si="143"/>
        <v>86</v>
      </c>
      <c r="J2336">
        <f t="shared" si="142"/>
        <v>39.008943819999999</v>
      </c>
      <c r="K2336">
        <v>1.23</v>
      </c>
      <c r="L2336">
        <f t="shared" si="144"/>
        <v>47.981000898600001</v>
      </c>
    </row>
    <row r="2337" spans="1:12" x14ac:dyDescent="0.2">
      <c r="A2337" s="4">
        <v>43488</v>
      </c>
      <c r="B2337" t="s">
        <v>38</v>
      </c>
      <c r="C2337">
        <v>5</v>
      </c>
      <c r="D2337" s="6">
        <v>1</v>
      </c>
      <c r="E2337">
        <f t="shared" si="145"/>
        <v>43</v>
      </c>
      <c r="F2337" s="9" t="s">
        <v>609</v>
      </c>
      <c r="G2337" s="9" t="s">
        <v>774</v>
      </c>
      <c r="H2337" s="6" t="s">
        <v>1073</v>
      </c>
      <c r="I2337">
        <f t="shared" si="143"/>
        <v>215</v>
      </c>
      <c r="J2337">
        <f t="shared" si="142"/>
        <v>97.522359550000004</v>
      </c>
      <c r="K2337">
        <v>1.23</v>
      </c>
      <c r="L2337">
        <f t="shared" si="144"/>
        <v>119.9525022465</v>
      </c>
    </row>
    <row r="2338" spans="1:12" x14ac:dyDescent="0.2">
      <c r="A2338" s="4">
        <v>43489</v>
      </c>
      <c r="B2338" t="s">
        <v>38</v>
      </c>
      <c r="C2338">
        <v>5</v>
      </c>
      <c r="D2338" s="6">
        <v>1</v>
      </c>
      <c r="E2338">
        <f t="shared" si="145"/>
        <v>43</v>
      </c>
      <c r="F2338" s="9" t="s">
        <v>608</v>
      </c>
      <c r="G2338" s="9" t="s">
        <v>774</v>
      </c>
      <c r="H2338" s="6" t="s">
        <v>1073</v>
      </c>
      <c r="I2338">
        <f t="shared" si="143"/>
        <v>215</v>
      </c>
      <c r="J2338">
        <f t="shared" si="142"/>
        <v>97.522359550000004</v>
      </c>
      <c r="K2338">
        <v>1.23</v>
      </c>
      <c r="L2338">
        <f t="shared" si="144"/>
        <v>119.9525022465</v>
      </c>
    </row>
    <row r="2339" spans="1:12" x14ac:dyDescent="0.2">
      <c r="A2339" s="4">
        <v>43489</v>
      </c>
      <c r="B2339" t="s">
        <v>38</v>
      </c>
      <c r="C2339">
        <v>4</v>
      </c>
      <c r="D2339" s="6">
        <v>1</v>
      </c>
      <c r="E2339">
        <f t="shared" si="145"/>
        <v>43</v>
      </c>
      <c r="F2339" s="9" t="s">
        <v>609</v>
      </c>
      <c r="G2339" s="9" t="s">
        <v>774</v>
      </c>
      <c r="H2339" s="6" t="s">
        <v>1073</v>
      </c>
      <c r="I2339">
        <f t="shared" si="143"/>
        <v>172</v>
      </c>
      <c r="J2339">
        <f t="shared" si="142"/>
        <v>78.017887639999998</v>
      </c>
      <c r="K2339">
        <v>1.23</v>
      </c>
      <c r="L2339">
        <f t="shared" si="144"/>
        <v>95.962001797200003</v>
      </c>
    </row>
    <row r="2340" spans="1:12" x14ac:dyDescent="0.2">
      <c r="A2340" s="4">
        <v>43489</v>
      </c>
      <c r="B2340" t="s">
        <v>38</v>
      </c>
      <c r="C2340">
        <v>2</v>
      </c>
      <c r="D2340" s="6">
        <v>1</v>
      </c>
      <c r="E2340">
        <f t="shared" si="145"/>
        <v>43</v>
      </c>
      <c r="F2340" s="9" t="s">
        <v>611</v>
      </c>
      <c r="G2340" s="9" t="s">
        <v>774</v>
      </c>
      <c r="H2340" s="6" t="s">
        <v>1073</v>
      </c>
      <c r="I2340">
        <f t="shared" si="143"/>
        <v>86</v>
      </c>
      <c r="J2340">
        <f t="shared" si="142"/>
        <v>39.008943819999999</v>
      </c>
      <c r="K2340">
        <v>1.23</v>
      </c>
      <c r="L2340">
        <f t="shared" si="144"/>
        <v>47.981000898600001</v>
      </c>
    </row>
    <row r="2341" spans="1:12" x14ac:dyDescent="0.2">
      <c r="A2341" s="4">
        <v>43489</v>
      </c>
      <c r="B2341" t="s">
        <v>38</v>
      </c>
      <c r="C2341">
        <v>8</v>
      </c>
      <c r="D2341" s="6">
        <v>1</v>
      </c>
      <c r="E2341">
        <f t="shared" si="145"/>
        <v>43</v>
      </c>
      <c r="F2341" s="9" t="s">
        <v>612</v>
      </c>
      <c r="G2341" s="9" t="s">
        <v>774</v>
      </c>
      <c r="H2341" s="6" t="s">
        <v>1073</v>
      </c>
      <c r="I2341">
        <f t="shared" si="143"/>
        <v>344</v>
      </c>
      <c r="J2341">
        <f t="shared" si="142"/>
        <v>156.03577528</v>
      </c>
      <c r="K2341">
        <v>1.23</v>
      </c>
      <c r="L2341">
        <f t="shared" si="144"/>
        <v>191.92400359440001</v>
      </c>
    </row>
    <row r="2342" spans="1:12" x14ac:dyDescent="0.2">
      <c r="A2342" s="4">
        <v>43483</v>
      </c>
      <c r="B2342" t="s">
        <v>38</v>
      </c>
      <c r="C2342">
        <v>4</v>
      </c>
      <c r="D2342" s="6">
        <v>1</v>
      </c>
      <c r="E2342">
        <f t="shared" si="145"/>
        <v>43</v>
      </c>
      <c r="F2342" s="9" t="s">
        <v>608</v>
      </c>
      <c r="G2342" s="9" t="s">
        <v>774</v>
      </c>
      <c r="H2342" s="6" t="s">
        <v>1073</v>
      </c>
      <c r="I2342">
        <f t="shared" si="143"/>
        <v>172</v>
      </c>
      <c r="J2342">
        <f t="shared" si="142"/>
        <v>78.017887639999998</v>
      </c>
      <c r="K2342">
        <v>1.23</v>
      </c>
      <c r="L2342">
        <f t="shared" si="144"/>
        <v>95.962001797200003</v>
      </c>
    </row>
    <row r="2343" spans="1:12" x14ac:dyDescent="0.2">
      <c r="A2343" s="4">
        <v>43483</v>
      </c>
      <c r="B2343" t="s">
        <v>38</v>
      </c>
      <c r="C2343">
        <v>5</v>
      </c>
      <c r="D2343" s="6">
        <v>1</v>
      </c>
      <c r="E2343">
        <f t="shared" si="145"/>
        <v>43</v>
      </c>
      <c r="F2343" s="9" t="s">
        <v>609</v>
      </c>
      <c r="G2343" s="9" t="s">
        <v>774</v>
      </c>
      <c r="H2343" s="6" t="s">
        <v>1073</v>
      </c>
      <c r="I2343">
        <f t="shared" si="143"/>
        <v>215</v>
      </c>
      <c r="J2343">
        <f t="shared" si="142"/>
        <v>97.522359550000004</v>
      </c>
      <c r="K2343">
        <v>1.23</v>
      </c>
      <c r="L2343">
        <f t="shared" si="144"/>
        <v>119.9525022465</v>
      </c>
    </row>
    <row r="2344" spans="1:12" x14ac:dyDescent="0.2">
      <c r="A2344" s="4">
        <v>43483</v>
      </c>
      <c r="B2344" t="s">
        <v>38</v>
      </c>
      <c r="C2344">
        <v>2</v>
      </c>
      <c r="D2344" s="6">
        <v>1</v>
      </c>
      <c r="E2344">
        <f t="shared" si="145"/>
        <v>43</v>
      </c>
      <c r="F2344" s="9" t="s">
        <v>611</v>
      </c>
      <c r="G2344" s="9" t="s">
        <v>774</v>
      </c>
      <c r="H2344" s="6" t="s">
        <v>1073</v>
      </c>
      <c r="I2344">
        <f t="shared" si="143"/>
        <v>86</v>
      </c>
      <c r="J2344">
        <f t="shared" si="142"/>
        <v>39.008943819999999</v>
      </c>
      <c r="K2344">
        <v>1.23</v>
      </c>
      <c r="L2344">
        <f t="shared" si="144"/>
        <v>47.981000898600001</v>
      </c>
    </row>
    <row r="2345" spans="1:12" x14ac:dyDescent="0.2">
      <c r="A2345" s="4">
        <v>43483</v>
      </c>
      <c r="B2345" t="s">
        <v>38</v>
      </c>
      <c r="C2345">
        <v>2</v>
      </c>
      <c r="D2345" s="6">
        <v>1</v>
      </c>
      <c r="E2345">
        <f>8.6</f>
        <v>8.6</v>
      </c>
      <c r="F2345" s="9" t="s">
        <v>613</v>
      </c>
      <c r="G2345" s="9" t="s">
        <v>774</v>
      </c>
      <c r="H2345" s="6" t="s">
        <v>1073</v>
      </c>
      <c r="I2345">
        <f t="shared" si="143"/>
        <v>17.2</v>
      </c>
      <c r="J2345">
        <f t="shared" si="142"/>
        <v>7.8017887640000003</v>
      </c>
      <c r="K2345">
        <v>1.23</v>
      </c>
      <c r="L2345">
        <f t="shared" si="144"/>
        <v>9.5962001797200003</v>
      </c>
    </row>
    <row r="2346" spans="1:12" x14ac:dyDescent="0.2">
      <c r="A2346" s="4">
        <v>43483</v>
      </c>
      <c r="B2346" t="s">
        <v>517</v>
      </c>
      <c r="C2346">
        <v>1</v>
      </c>
      <c r="D2346">
        <v>20</v>
      </c>
      <c r="E2346">
        <f>8/16</f>
        <v>0.5</v>
      </c>
      <c r="F2346" t="s">
        <v>465</v>
      </c>
      <c r="G2346" t="s">
        <v>842</v>
      </c>
      <c r="H2346" s="6" t="s">
        <v>1073</v>
      </c>
      <c r="I2346">
        <f t="shared" si="143"/>
        <v>10</v>
      </c>
      <c r="J2346">
        <f t="shared" si="142"/>
        <v>4.5359237000000006</v>
      </c>
      <c r="K2346">
        <v>1.23</v>
      </c>
      <c r="L2346">
        <f t="shared" si="144"/>
        <v>5.5791861510000009</v>
      </c>
    </row>
    <row r="2347" spans="1:12" x14ac:dyDescent="0.2">
      <c r="A2347" s="4">
        <v>43486</v>
      </c>
      <c r="B2347" t="s">
        <v>517</v>
      </c>
      <c r="C2347">
        <v>2</v>
      </c>
      <c r="D2347">
        <v>20</v>
      </c>
      <c r="E2347">
        <f>8/16</f>
        <v>0.5</v>
      </c>
      <c r="F2347" t="s">
        <v>465</v>
      </c>
      <c r="G2347" t="s">
        <v>842</v>
      </c>
      <c r="H2347" s="6" t="s">
        <v>1073</v>
      </c>
      <c r="I2347">
        <f t="shared" si="143"/>
        <v>20</v>
      </c>
      <c r="J2347">
        <f t="shared" si="142"/>
        <v>9.0718474000000011</v>
      </c>
      <c r="K2347">
        <v>1.23</v>
      </c>
      <c r="L2347">
        <f t="shared" si="144"/>
        <v>11.158372302000002</v>
      </c>
    </row>
    <row r="2348" spans="1:12" x14ac:dyDescent="0.2">
      <c r="A2348" s="4">
        <v>43488</v>
      </c>
      <c r="B2348" t="s">
        <v>517</v>
      </c>
      <c r="C2348">
        <v>2</v>
      </c>
      <c r="D2348">
        <v>20</v>
      </c>
      <c r="E2348">
        <f>8/16</f>
        <v>0.5</v>
      </c>
      <c r="F2348" t="s">
        <v>465</v>
      </c>
      <c r="G2348" t="s">
        <v>842</v>
      </c>
      <c r="H2348" s="6" t="s">
        <v>1073</v>
      </c>
      <c r="I2348">
        <f t="shared" si="143"/>
        <v>20</v>
      </c>
      <c r="J2348">
        <f t="shared" si="142"/>
        <v>9.0718474000000011</v>
      </c>
      <c r="K2348">
        <v>1.23</v>
      </c>
      <c r="L2348">
        <f t="shared" si="144"/>
        <v>11.158372302000002</v>
      </c>
    </row>
    <row r="2349" spans="1:12" x14ac:dyDescent="0.2">
      <c r="A2349" s="4">
        <v>43483</v>
      </c>
      <c r="B2349" t="s">
        <v>538</v>
      </c>
      <c r="C2349">
        <v>1</v>
      </c>
      <c r="D2349">
        <v>4</v>
      </c>
      <c r="E2349">
        <f>11.89</f>
        <v>11.89</v>
      </c>
      <c r="F2349" t="s">
        <v>547</v>
      </c>
      <c r="G2349" t="s">
        <v>975</v>
      </c>
      <c r="H2349" s="6" t="s">
        <v>1071</v>
      </c>
      <c r="I2349">
        <f t="shared" si="143"/>
        <v>47.56</v>
      </c>
      <c r="J2349">
        <f t="shared" si="142"/>
        <v>21.572853117200001</v>
      </c>
      <c r="K2349">
        <v>0.48799999999999999</v>
      </c>
      <c r="L2349">
        <f t="shared" si="144"/>
        <v>10.5275523211936</v>
      </c>
    </row>
    <row r="2350" spans="1:12" x14ac:dyDescent="0.2">
      <c r="A2350" s="4">
        <v>43486</v>
      </c>
      <c r="B2350" t="s">
        <v>538</v>
      </c>
      <c r="C2350">
        <v>1</v>
      </c>
      <c r="D2350">
        <v>4</v>
      </c>
      <c r="E2350">
        <f>11.89</f>
        <v>11.89</v>
      </c>
      <c r="F2350" t="s">
        <v>547</v>
      </c>
      <c r="G2350" t="s">
        <v>975</v>
      </c>
      <c r="H2350" s="6" t="s">
        <v>1071</v>
      </c>
      <c r="I2350">
        <f t="shared" si="143"/>
        <v>47.56</v>
      </c>
      <c r="J2350">
        <f t="shared" si="142"/>
        <v>21.572853117200001</v>
      </c>
      <c r="K2350">
        <v>0.48799999999999999</v>
      </c>
      <c r="L2350">
        <f t="shared" si="144"/>
        <v>10.5275523211936</v>
      </c>
    </row>
    <row r="2351" spans="1:12" x14ac:dyDescent="0.2">
      <c r="A2351" s="4">
        <v>43486</v>
      </c>
      <c r="B2351" t="s">
        <v>48</v>
      </c>
      <c r="C2351" s="28">
        <v>5</v>
      </c>
      <c r="D2351" s="6">
        <v>1</v>
      </c>
      <c r="E2351">
        <v>5</v>
      </c>
      <c r="F2351" t="s">
        <v>313</v>
      </c>
      <c r="G2351" t="s">
        <v>313</v>
      </c>
      <c r="H2351" s="6" t="s">
        <v>1071</v>
      </c>
      <c r="I2351">
        <f t="shared" si="143"/>
        <v>25</v>
      </c>
      <c r="J2351">
        <f t="shared" si="142"/>
        <v>11.33980925</v>
      </c>
      <c r="K2351">
        <v>3.093</v>
      </c>
      <c r="L2351">
        <f t="shared" si="144"/>
        <v>35.074030010249999</v>
      </c>
    </row>
    <row r="2352" spans="1:12" x14ac:dyDescent="0.2">
      <c r="A2352" s="4">
        <v>43487</v>
      </c>
      <c r="B2352" t="s">
        <v>48</v>
      </c>
      <c r="C2352" s="28">
        <v>4</v>
      </c>
      <c r="D2352" s="6">
        <v>1</v>
      </c>
      <c r="E2352">
        <v>5</v>
      </c>
      <c r="F2352" t="s">
        <v>626</v>
      </c>
      <c r="G2352" t="s">
        <v>313</v>
      </c>
      <c r="H2352" s="6" t="s">
        <v>1071</v>
      </c>
      <c r="I2352">
        <f t="shared" si="143"/>
        <v>20</v>
      </c>
      <c r="J2352">
        <f t="shared" si="142"/>
        <v>9.0718474000000011</v>
      </c>
      <c r="K2352">
        <v>3.093</v>
      </c>
      <c r="L2352">
        <f t="shared" si="144"/>
        <v>28.059224008200005</v>
      </c>
    </row>
    <row r="2353" spans="1:12" x14ac:dyDescent="0.2">
      <c r="A2353" s="4">
        <v>43489</v>
      </c>
      <c r="B2353" t="s">
        <v>48</v>
      </c>
      <c r="C2353" s="28">
        <v>2</v>
      </c>
      <c r="D2353" s="6">
        <v>1</v>
      </c>
      <c r="E2353">
        <v>10</v>
      </c>
      <c r="F2353" t="s">
        <v>313</v>
      </c>
      <c r="G2353" t="s">
        <v>313</v>
      </c>
      <c r="H2353" s="6" t="s">
        <v>1071</v>
      </c>
      <c r="I2353">
        <f t="shared" si="143"/>
        <v>20</v>
      </c>
      <c r="J2353">
        <f t="shared" si="142"/>
        <v>9.0718474000000011</v>
      </c>
      <c r="K2353">
        <v>3.093</v>
      </c>
      <c r="L2353">
        <f t="shared" si="144"/>
        <v>28.059224008200005</v>
      </c>
    </row>
    <row r="2354" spans="1:12" x14ac:dyDescent="0.2">
      <c r="A2354" s="4">
        <v>43488</v>
      </c>
      <c r="B2354" t="s">
        <v>48</v>
      </c>
      <c r="C2354" s="28">
        <v>8</v>
      </c>
      <c r="D2354" s="6">
        <v>1</v>
      </c>
      <c r="E2354">
        <v>5</v>
      </c>
      <c r="F2354" t="s">
        <v>313</v>
      </c>
      <c r="G2354" t="s">
        <v>313</v>
      </c>
      <c r="H2354" s="6" t="s">
        <v>1071</v>
      </c>
      <c r="I2354">
        <f t="shared" si="143"/>
        <v>40</v>
      </c>
      <c r="J2354">
        <f t="shared" si="142"/>
        <v>18.143694800000002</v>
      </c>
      <c r="K2354">
        <v>3.093</v>
      </c>
      <c r="L2354">
        <f t="shared" si="144"/>
        <v>56.118448016400009</v>
      </c>
    </row>
    <row r="2355" spans="1:12" x14ac:dyDescent="0.2">
      <c r="A2355" s="4">
        <v>43484</v>
      </c>
      <c r="B2355" t="s">
        <v>48</v>
      </c>
      <c r="C2355" s="28">
        <v>4</v>
      </c>
      <c r="D2355" s="6">
        <v>1</v>
      </c>
      <c r="E2355">
        <v>5</v>
      </c>
      <c r="F2355" t="s">
        <v>313</v>
      </c>
      <c r="G2355" t="s">
        <v>313</v>
      </c>
      <c r="H2355" s="6" t="s">
        <v>1071</v>
      </c>
      <c r="I2355">
        <f t="shared" si="143"/>
        <v>20</v>
      </c>
      <c r="J2355">
        <f t="shared" si="142"/>
        <v>9.0718474000000011</v>
      </c>
      <c r="K2355">
        <v>3.093</v>
      </c>
      <c r="L2355">
        <f t="shared" si="144"/>
        <v>28.059224008200005</v>
      </c>
    </row>
    <row r="2356" spans="1:12" x14ac:dyDescent="0.2">
      <c r="A2356" s="4">
        <v>43484</v>
      </c>
      <c r="B2356" t="s">
        <v>48</v>
      </c>
      <c r="C2356" s="28">
        <v>6</v>
      </c>
      <c r="D2356" s="6">
        <v>1</v>
      </c>
      <c r="E2356">
        <v>5</v>
      </c>
      <c r="F2356" t="s">
        <v>313</v>
      </c>
      <c r="G2356" t="s">
        <v>313</v>
      </c>
      <c r="H2356" s="6" t="s">
        <v>1071</v>
      </c>
      <c r="I2356">
        <f t="shared" si="143"/>
        <v>30</v>
      </c>
      <c r="J2356">
        <f t="shared" si="142"/>
        <v>13.607771100000001</v>
      </c>
      <c r="K2356">
        <v>3.093</v>
      </c>
      <c r="L2356">
        <f t="shared" si="144"/>
        <v>42.0888360123</v>
      </c>
    </row>
    <row r="2357" spans="1:12" x14ac:dyDescent="0.2">
      <c r="A2357" s="4">
        <v>43484</v>
      </c>
      <c r="B2357" t="s">
        <v>48</v>
      </c>
      <c r="C2357" s="28">
        <v>5</v>
      </c>
      <c r="D2357" s="6">
        <v>1</v>
      </c>
      <c r="E2357">
        <v>5</v>
      </c>
      <c r="F2357" t="s">
        <v>626</v>
      </c>
      <c r="G2357" t="s">
        <v>313</v>
      </c>
      <c r="H2357" s="6" t="s">
        <v>1071</v>
      </c>
      <c r="I2357">
        <f t="shared" si="143"/>
        <v>25</v>
      </c>
      <c r="J2357">
        <f t="shared" si="142"/>
        <v>11.33980925</v>
      </c>
      <c r="K2357">
        <v>3.093</v>
      </c>
      <c r="L2357">
        <f t="shared" si="144"/>
        <v>35.074030010249999</v>
      </c>
    </row>
    <row r="2358" spans="1:12" x14ac:dyDescent="0.2">
      <c r="A2358" s="4">
        <v>43483</v>
      </c>
      <c r="B2358" t="s">
        <v>48</v>
      </c>
      <c r="C2358" s="28">
        <v>4</v>
      </c>
      <c r="D2358" s="6">
        <v>1</v>
      </c>
      <c r="E2358">
        <v>5</v>
      </c>
      <c r="F2358" t="s">
        <v>313</v>
      </c>
      <c r="G2358" t="s">
        <v>313</v>
      </c>
      <c r="H2358" s="6" t="s">
        <v>1071</v>
      </c>
      <c r="I2358">
        <f t="shared" si="143"/>
        <v>20</v>
      </c>
      <c r="J2358">
        <f t="shared" si="142"/>
        <v>9.0718474000000011</v>
      </c>
      <c r="K2358">
        <v>3.093</v>
      </c>
      <c r="L2358">
        <f t="shared" si="144"/>
        <v>28.059224008200005</v>
      </c>
    </row>
    <row r="2359" spans="1:12" x14ac:dyDescent="0.2">
      <c r="A2359" s="4">
        <v>43483</v>
      </c>
      <c r="B2359" t="s">
        <v>48</v>
      </c>
      <c r="C2359" s="28">
        <v>10</v>
      </c>
      <c r="D2359" s="6">
        <v>1</v>
      </c>
      <c r="E2359">
        <v>5</v>
      </c>
      <c r="F2359" t="s">
        <v>313</v>
      </c>
      <c r="G2359" t="s">
        <v>313</v>
      </c>
      <c r="H2359" s="6" t="s">
        <v>1071</v>
      </c>
      <c r="I2359">
        <f t="shared" si="143"/>
        <v>50</v>
      </c>
      <c r="J2359">
        <f t="shared" si="142"/>
        <v>22.6796185</v>
      </c>
      <c r="K2359">
        <v>3.093</v>
      </c>
      <c r="L2359">
        <f t="shared" si="144"/>
        <v>70.148060020499997</v>
      </c>
    </row>
    <row r="2360" spans="1:12" x14ac:dyDescent="0.2">
      <c r="A2360" s="4">
        <v>43486</v>
      </c>
      <c r="B2360" t="s">
        <v>538</v>
      </c>
      <c r="C2360">
        <v>6</v>
      </c>
      <c r="D2360">
        <v>6</v>
      </c>
      <c r="E2360">
        <v>10</v>
      </c>
      <c r="F2360" t="s">
        <v>682</v>
      </c>
      <c r="G2360" t="s">
        <v>876</v>
      </c>
      <c r="H2360" s="6" t="s">
        <v>1071</v>
      </c>
      <c r="I2360">
        <f t="shared" si="143"/>
        <v>360</v>
      </c>
      <c r="J2360">
        <f t="shared" si="142"/>
        <v>163.29325320000001</v>
      </c>
      <c r="K2360" s="6">
        <v>5.99</v>
      </c>
      <c r="L2360">
        <f t="shared" si="144"/>
        <v>978.12658666800007</v>
      </c>
    </row>
    <row r="2361" spans="1:12" x14ac:dyDescent="0.2">
      <c r="A2361" s="4">
        <v>43486</v>
      </c>
      <c r="B2361" t="s">
        <v>538</v>
      </c>
      <c r="C2361">
        <v>3</v>
      </c>
      <c r="D2361">
        <v>4</v>
      </c>
      <c r="E2361">
        <v>5</v>
      </c>
      <c r="F2361" t="s">
        <v>586</v>
      </c>
      <c r="G2361" t="s">
        <v>876</v>
      </c>
      <c r="H2361" s="6" t="s">
        <v>1071</v>
      </c>
      <c r="I2361">
        <f t="shared" si="143"/>
        <v>60</v>
      </c>
      <c r="J2361">
        <f t="shared" si="142"/>
        <v>27.215542200000002</v>
      </c>
      <c r="K2361" s="6">
        <v>5.99</v>
      </c>
      <c r="L2361">
        <f t="shared" si="144"/>
        <v>163.02109777800001</v>
      </c>
    </row>
    <row r="2362" spans="1:12" x14ac:dyDescent="0.2">
      <c r="A2362" s="4">
        <v>43486</v>
      </c>
      <c r="B2362" t="s">
        <v>538</v>
      </c>
      <c r="C2362">
        <v>1</v>
      </c>
      <c r="D2362">
        <v>6</v>
      </c>
      <c r="E2362">
        <v>10</v>
      </c>
      <c r="F2362" t="s">
        <v>445</v>
      </c>
      <c r="G2362" t="s">
        <v>883</v>
      </c>
      <c r="H2362" s="6" t="s">
        <v>1071</v>
      </c>
      <c r="I2362">
        <f t="shared" si="143"/>
        <v>60</v>
      </c>
      <c r="J2362">
        <f t="shared" si="142"/>
        <v>27.215542200000002</v>
      </c>
      <c r="K2362">
        <v>0.48199999999999998</v>
      </c>
      <c r="L2362">
        <f t="shared" si="144"/>
        <v>13.1178913404</v>
      </c>
    </row>
    <row r="2363" spans="1:12" x14ac:dyDescent="0.2">
      <c r="A2363" s="4">
        <v>43488</v>
      </c>
      <c r="B2363" t="s">
        <v>538</v>
      </c>
      <c r="C2363">
        <v>1</v>
      </c>
      <c r="D2363">
        <v>6</v>
      </c>
      <c r="E2363">
        <v>10</v>
      </c>
      <c r="F2363" t="s">
        <v>445</v>
      </c>
      <c r="G2363" t="s">
        <v>883</v>
      </c>
      <c r="H2363" s="6" t="s">
        <v>1071</v>
      </c>
      <c r="I2363">
        <f t="shared" si="143"/>
        <v>60</v>
      </c>
      <c r="J2363">
        <f t="shared" si="142"/>
        <v>27.215542200000002</v>
      </c>
      <c r="K2363">
        <v>0.48199999999999998</v>
      </c>
      <c r="L2363">
        <f t="shared" si="144"/>
        <v>13.1178913404</v>
      </c>
    </row>
    <row r="2364" spans="1:12" x14ac:dyDescent="0.2">
      <c r="A2364" s="4">
        <v>43486</v>
      </c>
      <c r="B2364" t="s">
        <v>48</v>
      </c>
      <c r="C2364" s="28">
        <v>1</v>
      </c>
      <c r="D2364" s="6">
        <v>1</v>
      </c>
      <c r="E2364">
        <v>25</v>
      </c>
      <c r="F2364" t="s">
        <v>340</v>
      </c>
      <c r="G2364" t="s">
        <v>790</v>
      </c>
      <c r="H2364" s="6" t="s">
        <v>1071</v>
      </c>
      <c r="I2364">
        <f t="shared" si="143"/>
        <v>25</v>
      </c>
      <c r="J2364">
        <f t="shared" si="142"/>
        <v>11.33980925</v>
      </c>
      <c r="K2364">
        <v>0.26900000000000002</v>
      </c>
      <c r="L2364">
        <f t="shared" si="144"/>
        <v>3.0504086882500001</v>
      </c>
    </row>
    <row r="2365" spans="1:12" x14ac:dyDescent="0.2">
      <c r="A2365" s="4">
        <v>43486</v>
      </c>
      <c r="B2365" t="s">
        <v>48</v>
      </c>
      <c r="C2365" s="28">
        <v>1</v>
      </c>
      <c r="D2365" s="6">
        <v>1</v>
      </c>
      <c r="E2365">
        <v>50</v>
      </c>
      <c r="F2365" t="s">
        <v>315</v>
      </c>
      <c r="G2365" t="s">
        <v>790</v>
      </c>
      <c r="H2365" s="6" t="s">
        <v>1071</v>
      </c>
      <c r="I2365">
        <f t="shared" si="143"/>
        <v>50</v>
      </c>
      <c r="J2365">
        <f t="shared" si="142"/>
        <v>22.6796185</v>
      </c>
      <c r="K2365">
        <v>0.26900000000000002</v>
      </c>
      <c r="L2365">
        <f t="shared" si="144"/>
        <v>6.1008173765000002</v>
      </c>
    </row>
    <row r="2366" spans="1:12" x14ac:dyDescent="0.2">
      <c r="A2366" s="4">
        <v>43486</v>
      </c>
      <c r="B2366" t="s">
        <v>48</v>
      </c>
      <c r="C2366" s="28">
        <v>1</v>
      </c>
      <c r="D2366" s="6">
        <v>1</v>
      </c>
      <c r="E2366">
        <v>20</v>
      </c>
      <c r="F2366" t="s">
        <v>326</v>
      </c>
      <c r="G2366" t="s">
        <v>790</v>
      </c>
      <c r="H2366" s="6" t="s">
        <v>1071</v>
      </c>
      <c r="I2366">
        <f t="shared" si="143"/>
        <v>20</v>
      </c>
      <c r="J2366">
        <f t="shared" si="142"/>
        <v>9.0718474000000011</v>
      </c>
      <c r="K2366">
        <v>0.26900000000000002</v>
      </c>
      <c r="L2366">
        <f t="shared" si="144"/>
        <v>2.4403269506000003</v>
      </c>
    </row>
    <row r="2367" spans="1:12" x14ac:dyDescent="0.2">
      <c r="A2367" s="4">
        <v>43489</v>
      </c>
      <c r="B2367" t="s">
        <v>48</v>
      </c>
      <c r="C2367" s="28">
        <v>1</v>
      </c>
      <c r="D2367" s="6">
        <v>1</v>
      </c>
      <c r="E2367">
        <v>50</v>
      </c>
      <c r="F2367" t="s">
        <v>315</v>
      </c>
      <c r="G2367" t="s">
        <v>790</v>
      </c>
      <c r="H2367" s="6" t="s">
        <v>1071</v>
      </c>
      <c r="I2367">
        <f t="shared" si="143"/>
        <v>50</v>
      </c>
      <c r="J2367">
        <f t="shared" si="142"/>
        <v>22.6796185</v>
      </c>
      <c r="K2367">
        <v>0.26900000000000002</v>
      </c>
      <c r="L2367">
        <f t="shared" si="144"/>
        <v>6.1008173765000002</v>
      </c>
    </row>
    <row r="2368" spans="1:12" x14ac:dyDescent="0.2">
      <c r="A2368" s="4">
        <v>43489</v>
      </c>
      <c r="B2368" t="s">
        <v>48</v>
      </c>
      <c r="C2368" s="28">
        <v>1</v>
      </c>
      <c r="D2368" s="6">
        <v>1</v>
      </c>
      <c r="E2368">
        <v>20</v>
      </c>
      <c r="F2368" t="s">
        <v>326</v>
      </c>
      <c r="G2368" t="s">
        <v>790</v>
      </c>
      <c r="H2368" s="6" t="s">
        <v>1071</v>
      </c>
      <c r="I2368">
        <f t="shared" si="143"/>
        <v>20</v>
      </c>
      <c r="J2368">
        <f t="shared" si="142"/>
        <v>9.0718474000000011</v>
      </c>
      <c r="K2368">
        <v>0.26900000000000002</v>
      </c>
      <c r="L2368">
        <f t="shared" si="144"/>
        <v>2.4403269506000003</v>
      </c>
    </row>
    <row r="2369" spans="1:12" x14ac:dyDescent="0.2">
      <c r="A2369" s="4">
        <v>43489</v>
      </c>
      <c r="B2369" t="s">
        <v>48</v>
      </c>
      <c r="C2369" s="28">
        <v>1</v>
      </c>
      <c r="D2369" s="6">
        <v>1</v>
      </c>
      <c r="E2369">
        <v>20</v>
      </c>
      <c r="F2369" t="s">
        <v>326</v>
      </c>
      <c r="G2369" t="s">
        <v>790</v>
      </c>
      <c r="H2369" s="6" t="s">
        <v>1071</v>
      </c>
      <c r="I2369">
        <f t="shared" si="143"/>
        <v>20</v>
      </c>
      <c r="J2369">
        <f t="shared" si="142"/>
        <v>9.0718474000000011</v>
      </c>
      <c r="K2369">
        <v>0.26900000000000002</v>
      </c>
      <c r="L2369">
        <f t="shared" si="144"/>
        <v>2.4403269506000003</v>
      </c>
    </row>
    <row r="2370" spans="1:12" x14ac:dyDescent="0.2">
      <c r="A2370" s="4">
        <v>43488</v>
      </c>
      <c r="B2370" t="s">
        <v>48</v>
      </c>
      <c r="C2370" s="28">
        <v>2</v>
      </c>
      <c r="D2370" s="6">
        <v>1</v>
      </c>
      <c r="E2370">
        <v>25</v>
      </c>
      <c r="F2370" t="s">
        <v>340</v>
      </c>
      <c r="G2370" t="s">
        <v>790</v>
      </c>
      <c r="H2370" s="6" t="s">
        <v>1071</v>
      </c>
      <c r="I2370">
        <f t="shared" si="143"/>
        <v>50</v>
      </c>
      <c r="J2370">
        <f t="shared" si="142"/>
        <v>22.6796185</v>
      </c>
      <c r="K2370">
        <v>0.26900000000000002</v>
      </c>
      <c r="L2370">
        <f t="shared" si="144"/>
        <v>6.1008173765000002</v>
      </c>
    </row>
    <row r="2371" spans="1:12" x14ac:dyDescent="0.2">
      <c r="A2371" s="4">
        <v>43488</v>
      </c>
      <c r="B2371" t="s">
        <v>48</v>
      </c>
      <c r="C2371" s="28">
        <v>2</v>
      </c>
      <c r="D2371" s="6">
        <v>1</v>
      </c>
      <c r="E2371">
        <v>50</v>
      </c>
      <c r="F2371" t="s">
        <v>315</v>
      </c>
      <c r="G2371" t="s">
        <v>790</v>
      </c>
      <c r="H2371" s="6" t="s">
        <v>1071</v>
      </c>
      <c r="I2371">
        <f t="shared" si="143"/>
        <v>100</v>
      </c>
      <c r="J2371">
        <f t="shared" ref="J2371:J2434" si="146">CONVERT(I2371,"lbm","kg")</f>
        <v>45.359237</v>
      </c>
      <c r="K2371">
        <v>0.26900000000000002</v>
      </c>
      <c r="L2371">
        <f t="shared" si="144"/>
        <v>12.201634753</v>
      </c>
    </row>
    <row r="2372" spans="1:12" x14ac:dyDescent="0.2">
      <c r="A2372" s="4">
        <v>43488</v>
      </c>
      <c r="B2372" t="s">
        <v>48</v>
      </c>
      <c r="C2372" s="28">
        <v>1</v>
      </c>
      <c r="D2372" s="6">
        <v>1</v>
      </c>
      <c r="E2372">
        <v>20</v>
      </c>
      <c r="F2372" t="s">
        <v>326</v>
      </c>
      <c r="G2372" t="s">
        <v>790</v>
      </c>
      <c r="H2372" s="6" t="s">
        <v>1071</v>
      </c>
      <c r="I2372">
        <f t="shared" si="143"/>
        <v>20</v>
      </c>
      <c r="J2372">
        <f t="shared" si="146"/>
        <v>9.0718474000000011</v>
      </c>
      <c r="K2372">
        <v>0.26900000000000002</v>
      </c>
      <c r="L2372">
        <f t="shared" si="144"/>
        <v>2.4403269506000003</v>
      </c>
    </row>
    <row r="2373" spans="1:12" x14ac:dyDescent="0.2">
      <c r="A2373" s="4">
        <v>43484</v>
      </c>
      <c r="B2373" t="s">
        <v>48</v>
      </c>
      <c r="C2373" s="28">
        <v>3</v>
      </c>
      <c r="D2373" s="6">
        <v>1</v>
      </c>
      <c r="E2373">
        <v>20</v>
      </c>
      <c r="F2373" t="s">
        <v>326</v>
      </c>
      <c r="G2373" t="s">
        <v>790</v>
      </c>
      <c r="H2373" s="6" t="s">
        <v>1071</v>
      </c>
      <c r="I2373">
        <f t="shared" si="143"/>
        <v>60</v>
      </c>
      <c r="J2373">
        <f t="shared" si="146"/>
        <v>27.215542200000002</v>
      </c>
      <c r="K2373">
        <v>0.26900000000000002</v>
      </c>
      <c r="L2373">
        <f t="shared" si="144"/>
        <v>7.3209808518000008</v>
      </c>
    </row>
    <row r="2374" spans="1:12" x14ac:dyDescent="0.2">
      <c r="A2374" s="4">
        <v>43483</v>
      </c>
      <c r="B2374" t="s">
        <v>48</v>
      </c>
      <c r="C2374" s="28">
        <v>1</v>
      </c>
      <c r="D2374" s="6">
        <v>1</v>
      </c>
      <c r="E2374">
        <v>25</v>
      </c>
      <c r="F2374" t="s">
        <v>340</v>
      </c>
      <c r="G2374" t="s">
        <v>790</v>
      </c>
      <c r="H2374" s="6" t="s">
        <v>1071</v>
      </c>
      <c r="I2374">
        <f t="shared" si="143"/>
        <v>25</v>
      </c>
      <c r="J2374">
        <f t="shared" si="146"/>
        <v>11.33980925</v>
      </c>
      <c r="K2374">
        <v>0.26900000000000002</v>
      </c>
      <c r="L2374">
        <f t="shared" si="144"/>
        <v>3.0504086882500001</v>
      </c>
    </row>
    <row r="2375" spans="1:12" x14ac:dyDescent="0.2">
      <c r="A2375" s="4">
        <v>43483</v>
      </c>
      <c r="B2375" t="s">
        <v>48</v>
      </c>
      <c r="C2375" s="28">
        <v>1</v>
      </c>
      <c r="D2375" s="6">
        <v>1</v>
      </c>
      <c r="E2375">
        <v>50</v>
      </c>
      <c r="F2375" t="s">
        <v>315</v>
      </c>
      <c r="G2375" t="s">
        <v>790</v>
      </c>
      <c r="H2375" s="6" t="s">
        <v>1071</v>
      </c>
      <c r="I2375">
        <f t="shared" si="143"/>
        <v>50</v>
      </c>
      <c r="J2375">
        <f t="shared" si="146"/>
        <v>22.6796185</v>
      </c>
      <c r="K2375">
        <v>0.26900000000000002</v>
      </c>
      <c r="L2375">
        <f t="shared" si="144"/>
        <v>6.1008173765000002</v>
      </c>
    </row>
    <row r="2376" spans="1:12" x14ac:dyDescent="0.2">
      <c r="A2376" s="4">
        <v>43483</v>
      </c>
      <c r="B2376" t="s">
        <v>48</v>
      </c>
      <c r="C2376" s="28">
        <v>2</v>
      </c>
      <c r="D2376" s="6">
        <v>1</v>
      </c>
      <c r="E2376">
        <v>20</v>
      </c>
      <c r="F2376" t="s">
        <v>326</v>
      </c>
      <c r="G2376" t="s">
        <v>790</v>
      </c>
      <c r="H2376" s="6" t="s">
        <v>1071</v>
      </c>
      <c r="I2376">
        <f t="shared" si="143"/>
        <v>40</v>
      </c>
      <c r="J2376">
        <f t="shared" si="146"/>
        <v>18.143694800000002</v>
      </c>
      <c r="K2376">
        <v>0.26900000000000002</v>
      </c>
      <c r="L2376">
        <f t="shared" si="144"/>
        <v>4.8806539012000005</v>
      </c>
    </row>
    <row r="2377" spans="1:12" x14ac:dyDescent="0.2">
      <c r="A2377" s="4">
        <v>43488</v>
      </c>
      <c r="B2377" t="s">
        <v>48</v>
      </c>
      <c r="C2377" s="28">
        <v>1</v>
      </c>
      <c r="D2377" s="6">
        <v>1</v>
      </c>
      <c r="E2377">
        <f>24/16</f>
        <v>1.5</v>
      </c>
      <c r="F2377" t="s">
        <v>314</v>
      </c>
      <c r="G2377" t="s">
        <v>824</v>
      </c>
      <c r="H2377" s="6" t="s">
        <v>1071</v>
      </c>
      <c r="I2377">
        <f t="shared" si="143"/>
        <v>1.5</v>
      </c>
      <c r="J2377">
        <f t="shared" si="146"/>
        <v>0.68038855500000006</v>
      </c>
      <c r="K2377">
        <v>8.5000000000000006E-2</v>
      </c>
      <c r="L2377">
        <f t="shared" si="144"/>
        <v>5.783302717500001E-2</v>
      </c>
    </row>
    <row r="2378" spans="1:12" x14ac:dyDescent="0.2">
      <c r="A2378" s="4">
        <v>43483</v>
      </c>
      <c r="B2378" t="s">
        <v>48</v>
      </c>
      <c r="C2378" s="28">
        <v>2</v>
      </c>
      <c r="D2378" s="6">
        <v>1</v>
      </c>
      <c r="E2378">
        <f>24/16</f>
        <v>1.5</v>
      </c>
      <c r="F2378" t="s">
        <v>314</v>
      </c>
      <c r="G2378" t="s">
        <v>824</v>
      </c>
      <c r="H2378" s="6" t="s">
        <v>1071</v>
      </c>
      <c r="I2378">
        <f t="shared" si="143"/>
        <v>3</v>
      </c>
      <c r="J2378">
        <f t="shared" si="146"/>
        <v>1.3607771100000001</v>
      </c>
      <c r="K2378">
        <v>8.5000000000000006E-2</v>
      </c>
      <c r="L2378">
        <f t="shared" si="144"/>
        <v>0.11566605435000002</v>
      </c>
    </row>
    <row r="2379" spans="1:12" x14ac:dyDescent="0.2">
      <c r="A2379" s="13">
        <v>43483</v>
      </c>
      <c r="B2379" s="6" t="s">
        <v>22</v>
      </c>
      <c r="C2379" s="6">
        <v>1</v>
      </c>
      <c r="D2379" s="6">
        <v>1</v>
      </c>
      <c r="E2379" s="6">
        <v>79.2</v>
      </c>
      <c r="F2379" s="6" t="s">
        <v>606</v>
      </c>
      <c r="G2379" s="6" t="s">
        <v>923</v>
      </c>
      <c r="H2379" s="6" t="s">
        <v>1071</v>
      </c>
      <c r="I2379">
        <f t="shared" si="143"/>
        <v>79.2</v>
      </c>
      <c r="J2379">
        <f t="shared" si="146"/>
        <v>35.924515704000008</v>
      </c>
      <c r="K2379">
        <v>0.29399999999999998</v>
      </c>
      <c r="L2379">
        <f t="shared" si="144"/>
        <v>10.561807616976001</v>
      </c>
    </row>
    <row r="2380" spans="1:12" x14ac:dyDescent="0.2">
      <c r="A2380" s="13">
        <v>43487</v>
      </c>
      <c r="B2380" s="6" t="s">
        <v>22</v>
      </c>
      <c r="C2380" s="6">
        <v>1</v>
      </c>
      <c r="D2380" s="6">
        <v>1</v>
      </c>
      <c r="E2380" s="6">
        <v>79.2</v>
      </c>
      <c r="F2380" s="6" t="s">
        <v>606</v>
      </c>
      <c r="G2380" s="6" t="s">
        <v>55</v>
      </c>
      <c r="H2380" s="6" t="s">
        <v>1071</v>
      </c>
      <c r="I2380">
        <f t="shared" si="143"/>
        <v>79.2</v>
      </c>
      <c r="J2380">
        <f t="shared" si="146"/>
        <v>35.924515704000008</v>
      </c>
      <c r="K2380">
        <v>0.29399999999999998</v>
      </c>
      <c r="L2380">
        <f t="shared" si="144"/>
        <v>10.561807616976001</v>
      </c>
    </row>
    <row r="2381" spans="1:12" x14ac:dyDescent="0.2">
      <c r="A2381" s="4">
        <v>43486</v>
      </c>
      <c r="B2381" t="s">
        <v>48</v>
      </c>
      <c r="C2381" s="28">
        <v>20</v>
      </c>
      <c r="D2381" s="6">
        <v>1</v>
      </c>
      <c r="E2381">
        <f t="shared" ref="E2381:E2386" si="147">113*0.288806</f>
        <v>32.635078</v>
      </c>
      <c r="F2381" t="s">
        <v>55</v>
      </c>
      <c r="G2381" t="s">
        <v>55</v>
      </c>
      <c r="H2381" s="6" t="s">
        <v>1071</v>
      </c>
      <c r="I2381">
        <f t="shared" ref="I2381:I2444" si="148">C2381*D2381*E2381</f>
        <v>652.70155999999997</v>
      </c>
      <c r="J2381">
        <f t="shared" si="146"/>
        <v>296.06044750309718</v>
      </c>
      <c r="K2381">
        <v>0.29399999999999998</v>
      </c>
      <c r="L2381">
        <f t="shared" si="144"/>
        <v>87.041771565910565</v>
      </c>
    </row>
    <row r="2382" spans="1:12" x14ac:dyDescent="0.2">
      <c r="A2382" s="4">
        <v>43487</v>
      </c>
      <c r="B2382" t="s">
        <v>48</v>
      </c>
      <c r="C2382" s="28">
        <v>20</v>
      </c>
      <c r="D2382" s="6">
        <v>1</v>
      </c>
      <c r="E2382">
        <f t="shared" si="147"/>
        <v>32.635078</v>
      </c>
      <c r="F2382" t="s">
        <v>55</v>
      </c>
      <c r="G2382" t="s">
        <v>55</v>
      </c>
      <c r="H2382" s="6" t="s">
        <v>1071</v>
      </c>
      <c r="I2382">
        <f t="shared" si="148"/>
        <v>652.70155999999997</v>
      </c>
      <c r="J2382">
        <f t="shared" si="146"/>
        <v>296.06044750309718</v>
      </c>
      <c r="K2382">
        <v>0.29399999999999998</v>
      </c>
      <c r="L2382">
        <f t="shared" si="144"/>
        <v>87.041771565910565</v>
      </c>
    </row>
    <row r="2383" spans="1:12" x14ac:dyDescent="0.2">
      <c r="A2383" s="4">
        <v>43488</v>
      </c>
      <c r="B2383" t="s">
        <v>48</v>
      </c>
      <c r="C2383" s="28">
        <v>20</v>
      </c>
      <c r="D2383" s="6">
        <v>1</v>
      </c>
      <c r="E2383">
        <f t="shared" si="147"/>
        <v>32.635078</v>
      </c>
      <c r="F2383" t="s">
        <v>55</v>
      </c>
      <c r="G2383" t="s">
        <v>55</v>
      </c>
      <c r="H2383" s="6" t="s">
        <v>1071</v>
      </c>
      <c r="I2383">
        <f t="shared" si="148"/>
        <v>652.70155999999997</v>
      </c>
      <c r="J2383">
        <f t="shared" si="146"/>
        <v>296.06044750309718</v>
      </c>
      <c r="K2383">
        <v>0.29399999999999998</v>
      </c>
      <c r="L2383">
        <f t="shared" si="144"/>
        <v>87.041771565910565</v>
      </c>
    </row>
    <row r="2384" spans="1:12" x14ac:dyDescent="0.2">
      <c r="A2384" s="4">
        <v>43489</v>
      </c>
      <c r="B2384" t="s">
        <v>48</v>
      </c>
      <c r="C2384" s="28">
        <v>17</v>
      </c>
      <c r="D2384" s="6">
        <v>1</v>
      </c>
      <c r="E2384">
        <f t="shared" si="147"/>
        <v>32.635078</v>
      </c>
      <c r="F2384" t="s">
        <v>55</v>
      </c>
      <c r="G2384" t="s">
        <v>55</v>
      </c>
      <c r="H2384" s="6" t="s">
        <v>1071</v>
      </c>
      <c r="I2384">
        <f t="shared" si="148"/>
        <v>554.79632600000002</v>
      </c>
      <c r="J2384">
        <f t="shared" si="146"/>
        <v>251.65138037763265</v>
      </c>
      <c r="K2384">
        <v>0.29399999999999998</v>
      </c>
      <c r="L2384">
        <f t="shared" si="144"/>
        <v>73.985505831024</v>
      </c>
    </row>
    <row r="2385" spans="1:12" x14ac:dyDescent="0.2">
      <c r="A2385" s="4">
        <v>43483</v>
      </c>
      <c r="B2385" t="s">
        <v>48</v>
      </c>
      <c r="C2385" s="28">
        <v>20</v>
      </c>
      <c r="D2385" s="6">
        <v>1</v>
      </c>
      <c r="E2385">
        <f t="shared" si="147"/>
        <v>32.635078</v>
      </c>
      <c r="F2385" t="s">
        <v>55</v>
      </c>
      <c r="G2385" t="s">
        <v>55</v>
      </c>
      <c r="H2385" s="6" t="s">
        <v>1071</v>
      </c>
      <c r="I2385">
        <f t="shared" si="148"/>
        <v>652.70155999999997</v>
      </c>
      <c r="J2385">
        <f t="shared" si="146"/>
        <v>296.06044750309718</v>
      </c>
      <c r="K2385">
        <v>0.29399999999999998</v>
      </c>
      <c r="L2385">
        <f t="shared" si="144"/>
        <v>87.041771565910565</v>
      </c>
    </row>
    <row r="2386" spans="1:12" x14ac:dyDescent="0.2">
      <c r="A2386" s="4">
        <v>43484</v>
      </c>
      <c r="B2386" t="s">
        <v>48</v>
      </c>
      <c r="C2386" s="28">
        <v>30</v>
      </c>
      <c r="D2386" s="6">
        <v>1</v>
      </c>
      <c r="E2386">
        <f t="shared" si="147"/>
        <v>32.635078</v>
      </c>
      <c r="F2386" t="s">
        <v>55</v>
      </c>
      <c r="G2386" t="s">
        <v>55</v>
      </c>
      <c r="H2386" s="6" t="s">
        <v>1071</v>
      </c>
      <c r="I2386">
        <f t="shared" si="148"/>
        <v>979.05233999999996</v>
      </c>
      <c r="J2386">
        <f t="shared" si="146"/>
        <v>444.09067125464583</v>
      </c>
      <c r="K2386">
        <v>0.29399999999999998</v>
      </c>
      <c r="L2386">
        <f t="shared" si="144"/>
        <v>130.56265734886586</v>
      </c>
    </row>
    <row r="2387" spans="1:12" x14ac:dyDescent="0.2">
      <c r="A2387" s="4">
        <v>43483</v>
      </c>
      <c r="B2387" t="s">
        <v>538</v>
      </c>
      <c r="C2387">
        <v>2</v>
      </c>
      <c r="D2387">
        <v>6</v>
      </c>
      <c r="E2387">
        <v>5</v>
      </c>
      <c r="F2387" t="s">
        <v>439</v>
      </c>
      <c r="G2387" s="14" t="s">
        <v>976</v>
      </c>
      <c r="H2387" s="6" t="s">
        <v>1071</v>
      </c>
      <c r="I2387">
        <f t="shared" si="148"/>
        <v>60</v>
      </c>
      <c r="J2387">
        <f t="shared" si="146"/>
        <v>27.215542200000002</v>
      </c>
      <c r="L2387">
        <f t="shared" si="144"/>
        <v>0</v>
      </c>
    </row>
    <row r="2388" spans="1:12" x14ac:dyDescent="0.2">
      <c r="A2388" s="4">
        <v>43488</v>
      </c>
      <c r="B2388" t="s">
        <v>538</v>
      </c>
      <c r="C2388">
        <v>2</v>
      </c>
      <c r="D2388">
        <v>6</v>
      </c>
      <c r="E2388">
        <v>5</v>
      </c>
      <c r="F2388" t="s">
        <v>439</v>
      </c>
      <c r="G2388" s="14" t="s">
        <v>976</v>
      </c>
      <c r="H2388" s="6" t="s">
        <v>1071</v>
      </c>
      <c r="I2388">
        <f t="shared" si="148"/>
        <v>60</v>
      </c>
      <c r="J2388">
        <f t="shared" si="146"/>
        <v>27.215542200000002</v>
      </c>
      <c r="L2388">
        <f t="shared" si="144"/>
        <v>0</v>
      </c>
    </row>
    <row r="2389" spans="1:12" x14ac:dyDescent="0.2">
      <c r="A2389" s="4">
        <v>43486</v>
      </c>
      <c r="B2389" t="s">
        <v>48</v>
      </c>
      <c r="C2389" s="28">
        <v>1</v>
      </c>
      <c r="D2389" s="6">
        <v>1</v>
      </c>
      <c r="E2389">
        <f>30*(1/8)</f>
        <v>3.75</v>
      </c>
      <c r="F2389" t="s">
        <v>316</v>
      </c>
      <c r="G2389" t="s">
        <v>814</v>
      </c>
      <c r="H2389" s="6" t="s">
        <v>1071</v>
      </c>
      <c r="I2389">
        <f t="shared" si="148"/>
        <v>3.75</v>
      </c>
      <c r="J2389">
        <f t="shared" si="146"/>
        <v>1.7009713875000001</v>
      </c>
      <c r="K2389">
        <v>0.23200000000000001</v>
      </c>
      <c r="L2389">
        <f t="shared" ref="L2389:L2452" si="149">K2389*J2389</f>
        <v>0.39462536190000003</v>
      </c>
    </row>
    <row r="2390" spans="1:12" x14ac:dyDescent="0.2">
      <c r="A2390" s="4">
        <v>43488</v>
      </c>
      <c r="B2390" t="s">
        <v>48</v>
      </c>
      <c r="C2390" s="28">
        <v>1</v>
      </c>
      <c r="D2390" s="6">
        <v>1</v>
      </c>
      <c r="E2390">
        <f>30*(1/8)</f>
        <v>3.75</v>
      </c>
      <c r="F2390" t="s">
        <v>316</v>
      </c>
      <c r="G2390" t="s">
        <v>814</v>
      </c>
      <c r="H2390" s="6" t="s">
        <v>1071</v>
      </c>
      <c r="I2390">
        <f t="shared" si="148"/>
        <v>3.75</v>
      </c>
      <c r="J2390">
        <f t="shared" si="146"/>
        <v>1.7009713875000001</v>
      </c>
      <c r="K2390">
        <v>0.23200000000000001</v>
      </c>
      <c r="L2390">
        <f t="shared" si="149"/>
        <v>0.39462536190000003</v>
      </c>
    </row>
    <row r="2391" spans="1:12" x14ac:dyDescent="0.2">
      <c r="A2391" s="4">
        <v>43483</v>
      </c>
      <c r="B2391" t="s">
        <v>48</v>
      </c>
      <c r="C2391" s="28">
        <v>2</v>
      </c>
      <c r="D2391" s="6">
        <v>1</v>
      </c>
      <c r="E2391">
        <f>30*(1/8)</f>
        <v>3.75</v>
      </c>
      <c r="F2391" t="s">
        <v>316</v>
      </c>
      <c r="G2391" t="s">
        <v>814</v>
      </c>
      <c r="H2391" s="6" t="s">
        <v>1071</v>
      </c>
      <c r="I2391">
        <f t="shared" si="148"/>
        <v>7.5</v>
      </c>
      <c r="J2391">
        <f t="shared" si="146"/>
        <v>3.4019427750000002</v>
      </c>
      <c r="K2391">
        <v>0.23200000000000001</v>
      </c>
      <c r="L2391">
        <f t="shared" si="149"/>
        <v>0.78925072380000005</v>
      </c>
    </row>
    <row r="2392" spans="1:12" x14ac:dyDescent="0.2">
      <c r="A2392" s="4">
        <v>43483</v>
      </c>
      <c r="B2392" t="s">
        <v>538</v>
      </c>
      <c r="C2392">
        <v>4</v>
      </c>
      <c r="D2392">
        <v>2</v>
      </c>
      <c r="E2392">
        <v>10</v>
      </c>
      <c r="F2392" t="s">
        <v>462</v>
      </c>
      <c r="G2392" t="s">
        <v>875</v>
      </c>
      <c r="H2392" s="6" t="s">
        <v>1071</v>
      </c>
      <c r="I2392">
        <f t="shared" si="148"/>
        <v>80</v>
      </c>
      <c r="J2392">
        <f t="shared" si="146"/>
        <v>36.287389600000004</v>
      </c>
      <c r="K2392" s="6">
        <v>5.99</v>
      </c>
      <c r="L2392">
        <f t="shared" si="149"/>
        <v>217.36146370400004</v>
      </c>
    </row>
    <row r="2393" spans="1:12" x14ac:dyDescent="0.2">
      <c r="A2393" s="4">
        <v>43483</v>
      </c>
      <c r="B2393" t="s">
        <v>538</v>
      </c>
      <c r="C2393">
        <v>3</v>
      </c>
      <c r="D2393">
        <v>2</v>
      </c>
      <c r="E2393">
        <v>10</v>
      </c>
      <c r="F2393" t="s">
        <v>566</v>
      </c>
      <c r="G2393" t="s">
        <v>875</v>
      </c>
      <c r="H2393" s="6" t="s">
        <v>1071</v>
      </c>
      <c r="I2393">
        <f t="shared" si="148"/>
        <v>60</v>
      </c>
      <c r="J2393">
        <f t="shared" si="146"/>
        <v>27.215542200000002</v>
      </c>
      <c r="K2393" s="6">
        <v>5.99</v>
      </c>
      <c r="L2393">
        <f t="shared" si="149"/>
        <v>163.02109777800001</v>
      </c>
    </row>
    <row r="2394" spans="1:12" x14ac:dyDescent="0.2">
      <c r="A2394" s="4">
        <v>43483</v>
      </c>
      <c r="B2394" t="s">
        <v>538</v>
      </c>
      <c r="C2394">
        <v>3</v>
      </c>
      <c r="D2394">
        <v>2</v>
      </c>
      <c r="E2394">
        <v>10</v>
      </c>
      <c r="F2394" t="s">
        <v>669</v>
      </c>
      <c r="G2394" t="s">
        <v>875</v>
      </c>
      <c r="H2394" s="6" t="s">
        <v>1071</v>
      </c>
      <c r="I2394">
        <f t="shared" si="148"/>
        <v>60</v>
      </c>
      <c r="J2394">
        <f t="shared" si="146"/>
        <v>27.215542200000002</v>
      </c>
      <c r="K2394" s="6">
        <v>5.99</v>
      </c>
      <c r="L2394">
        <f t="shared" si="149"/>
        <v>163.02109777800001</v>
      </c>
    </row>
    <row r="2395" spans="1:12" x14ac:dyDescent="0.2">
      <c r="A2395" s="4">
        <v>43483</v>
      </c>
      <c r="B2395" t="s">
        <v>538</v>
      </c>
      <c r="C2395">
        <v>2</v>
      </c>
      <c r="D2395">
        <v>8</v>
      </c>
      <c r="E2395">
        <f>12/16</f>
        <v>0.75</v>
      </c>
      <c r="F2395" t="s">
        <v>670</v>
      </c>
      <c r="G2395" t="s">
        <v>875</v>
      </c>
      <c r="H2395" s="6" t="s">
        <v>1071</v>
      </c>
      <c r="I2395">
        <f t="shared" si="148"/>
        <v>12</v>
      </c>
      <c r="J2395">
        <f t="shared" si="146"/>
        <v>5.4431084400000005</v>
      </c>
      <c r="K2395" s="6">
        <v>5.99</v>
      </c>
      <c r="L2395">
        <f t="shared" si="149"/>
        <v>32.604219555600004</v>
      </c>
    </row>
    <row r="2396" spans="1:12" x14ac:dyDescent="0.2">
      <c r="A2396" s="4">
        <v>43486</v>
      </c>
      <c r="B2396" t="s">
        <v>538</v>
      </c>
      <c r="C2396">
        <v>3</v>
      </c>
      <c r="D2396">
        <v>2</v>
      </c>
      <c r="E2396">
        <v>10</v>
      </c>
      <c r="F2396" t="s">
        <v>679</v>
      </c>
      <c r="G2396" t="s">
        <v>875</v>
      </c>
      <c r="H2396" s="6" t="s">
        <v>1071</v>
      </c>
      <c r="I2396">
        <f t="shared" si="148"/>
        <v>60</v>
      </c>
      <c r="J2396">
        <f t="shared" si="146"/>
        <v>27.215542200000002</v>
      </c>
      <c r="K2396" s="6">
        <v>5.99</v>
      </c>
      <c r="L2396">
        <f t="shared" si="149"/>
        <v>163.02109777800001</v>
      </c>
    </row>
    <row r="2397" spans="1:12" x14ac:dyDescent="0.2">
      <c r="A2397" s="4">
        <v>43486</v>
      </c>
      <c r="B2397" t="s">
        <v>538</v>
      </c>
      <c r="C2397">
        <v>2</v>
      </c>
      <c r="D2397">
        <v>2</v>
      </c>
      <c r="E2397">
        <v>10</v>
      </c>
      <c r="F2397" t="s">
        <v>685</v>
      </c>
      <c r="G2397" t="s">
        <v>875</v>
      </c>
      <c r="H2397" s="6" t="s">
        <v>1071</v>
      </c>
      <c r="I2397">
        <f t="shared" si="148"/>
        <v>40</v>
      </c>
      <c r="J2397">
        <f t="shared" si="146"/>
        <v>18.143694800000002</v>
      </c>
      <c r="K2397" s="6">
        <v>5.99</v>
      </c>
      <c r="L2397">
        <f t="shared" si="149"/>
        <v>108.68073185200002</v>
      </c>
    </row>
    <row r="2398" spans="1:12" x14ac:dyDescent="0.2">
      <c r="A2398" s="4">
        <v>43486</v>
      </c>
      <c r="B2398" t="s">
        <v>538</v>
      </c>
      <c r="C2398">
        <v>4</v>
      </c>
      <c r="D2398">
        <v>2</v>
      </c>
      <c r="E2398">
        <v>10</v>
      </c>
      <c r="F2398" t="s">
        <v>458</v>
      </c>
      <c r="G2398" t="s">
        <v>875</v>
      </c>
      <c r="H2398" s="6" t="s">
        <v>1071</v>
      </c>
      <c r="I2398">
        <f t="shared" si="148"/>
        <v>80</v>
      </c>
      <c r="J2398">
        <f t="shared" si="146"/>
        <v>36.287389600000004</v>
      </c>
      <c r="K2398" s="6">
        <v>5.99</v>
      </c>
      <c r="L2398">
        <f t="shared" si="149"/>
        <v>217.36146370400004</v>
      </c>
    </row>
    <row r="2399" spans="1:12" x14ac:dyDescent="0.2">
      <c r="A2399" s="4">
        <v>43486</v>
      </c>
      <c r="B2399" t="s">
        <v>538</v>
      </c>
      <c r="C2399">
        <v>3</v>
      </c>
      <c r="D2399">
        <v>2</v>
      </c>
      <c r="E2399">
        <v>10</v>
      </c>
      <c r="F2399" t="s">
        <v>461</v>
      </c>
      <c r="G2399" t="s">
        <v>875</v>
      </c>
      <c r="H2399" s="6" t="s">
        <v>1071</v>
      </c>
      <c r="I2399">
        <f t="shared" si="148"/>
        <v>60</v>
      </c>
      <c r="J2399">
        <f t="shared" si="146"/>
        <v>27.215542200000002</v>
      </c>
      <c r="K2399" s="6">
        <v>5.99</v>
      </c>
      <c r="L2399">
        <f t="shared" si="149"/>
        <v>163.02109777800001</v>
      </c>
    </row>
    <row r="2400" spans="1:12" x14ac:dyDescent="0.2">
      <c r="A2400" s="4">
        <v>43486</v>
      </c>
      <c r="B2400" t="s">
        <v>538</v>
      </c>
      <c r="C2400">
        <v>4</v>
      </c>
      <c r="D2400">
        <v>2</v>
      </c>
      <c r="E2400">
        <v>10</v>
      </c>
      <c r="F2400" t="s">
        <v>462</v>
      </c>
      <c r="G2400" t="s">
        <v>875</v>
      </c>
      <c r="H2400" s="6" t="s">
        <v>1071</v>
      </c>
      <c r="I2400">
        <f t="shared" si="148"/>
        <v>80</v>
      </c>
      <c r="J2400">
        <f t="shared" si="146"/>
        <v>36.287389600000004</v>
      </c>
      <c r="K2400" s="6">
        <v>5.99</v>
      </c>
      <c r="L2400">
        <f t="shared" si="149"/>
        <v>217.36146370400004</v>
      </c>
    </row>
    <row r="2401" spans="1:12" x14ac:dyDescent="0.2">
      <c r="A2401" s="4">
        <v>43486</v>
      </c>
      <c r="B2401" t="s">
        <v>538</v>
      </c>
      <c r="C2401">
        <v>4</v>
      </c>
      <c r="D2401">
        <v>2</v>
      </c>
      <c r="E2401">
        <v>10</v>
      </c>
      <c r="F2401" t="s">
        <v>566</v>
      </c>
      <c r="G2401" t="s">
        <v>875</v>
      </c>
      <c r="H2401" s="6" t="s">
        <v>1071</v>
      </c>
      <c r="I2401">
        <f t="shared" si="148"/>
        <v>80</v>
      </c>
      <c r="J2401">
        <f t="shared" si="146"/>
        <v>36.287389600000004</v>
      </c>
      <c r="K2401" s="6">
        <v>5.99</v>
      </c>
      <c r="L2401">
        <f t="shared" si="149"/>
        <v>217.36146370400004</v>
      </c>
    </row>
    <row r="2402" spans="1:12" x14ac:dyDescent="0.2">
      <c r="A2402" s="4">
        <v>43488</v>
      </c>
      <c r="B2402" t="s">
        <v>538</v>
      </c>
      <c r="C2402">
        <v>1</v>
      </c>
      <c r="D2402">
        <v>2</v>
      </c>
      <c r="E2402">
        <v>5</v>
      </c>
      <c r="F2402" t="s">
        <v>666</v>
      </c>
      <c r="G2402" t="s">
        <v>994</v>
      </c>
      <c r="H2402" s="6" t="s">
        <v>1071</v>
      </c>
      <c r="I2402">
        <f t="shared" si="148"/>
        <v>10</v>
      </c>
      <c r="J2402">
        <f t="shared" si="146"/>
        <v>4.5359237000000006</v>
      </c>
      <c r="K2402">
        <v>1.1319999999999999</v>
      </c>
      <c r="L2402">
        <f t="shared" si="149"/>
        <v>5.1346656284000005</v>
      </c>
    </row>
    <row r="2403" spans="1:12" x14ac:dyDescent="0.2">
      <c r="A2403" s="4">
        <v>43487</v>
      </c>
      <c r="B2403" t="s">
        <v>48</v>
      </c>
      <c r="C2403" s="28">
        <v>2</v>
      </c>
      <c r="D2403" s="6">
        <v>1</v>
      </c>
      <c r="E2403">
        <f>120*0.39</f>
        <v>46.800000000000004</v>
      </c>
      <c r="F2403" t="s">
        <v>317</v>
      </c>
      <c r="G2403" t="s">
        <v>791</v>
      </c>
      <c r="H2403" s="6" t="s">
        <v>1071</v>
      </c>
      <c r="I2403">
        <f t="shared" si="148"/>
        <v>93.600000000000009</v>
      </c>
      <c r="J2403">
        <f t="shared" si="146"/>
        <v>42.456245832000008</v>
      </c>
      <c r="K2403">
        <v>0.249</v>
      </c>
      <c r="L2403">
        <f t="shared" si="149"/>
        <v>10.571605212168002</v>
      </c>
    </row>
    <row r="2404" spans="1:12" x14ac:dyDescent="0.2">
      <c r="A2404" s="4">
        <v>43486</v>
      </c>
      <c r="B2404" t="s">
        <v>48</v>
      </c>
      <c r="C2404" s="28">
        <v>2</v>
      </c>
      <c r="D2404" s="6">
        <v>1</v>
      </c>
      <c r="E2404">
        <f t="shared" ref="E2404:E2411" si="150">10/9*30</f>
        <v>33.333333333333336</v>
      </c>
      <c r="F2404" t="s">
        <v>320</v>
      </c>
      <c r="G2404" t="s">
        <v>792</v>
      </c>
      <c r="H2404" s="6" t="s">
        <v>1071</v>
      </c>
      <c r="I2404">
        <f t="shared" si="148"/>
        <v>66.666666666666671</v>
      </c>
      <c r="J2404">
        <f t="shared" si="146"/>
        <v>30.239491333333337</v>
      </c>
      <c r="K2404">
        <v>0.52500000000000002</v>
      </c>
      <c r="L2404">
        <f t="shared" si="149"/>
        <v>15.875732950000003</v>
      </c>
    </row>
    <row r="2405" spans="1:12" x14ac:dyDescent="0.2">
      <c r="A2405" s="4">
        <v>43486</v>
      </c>
      <c r="B2405" t="s">
        <v>48</v>
      </c>
      <c r="C2405" s="28">
        <v>1</v>
      </c>
      <c r="D2405" s="6">
        <v>1</v>
      </c>
      <c r="E2405">
        <f t="shared" si="150"/>
        <v>33.333333333333336</v>
      </c>
      <c r="F2405" t="s">
        <v>321</v>
      </c>
      <c r="G2405" t="s">
        <v>792</v>
      </c>
      <c r="H2405" s="6" t="s">
        <v>1071</v>
      </c>
      <c r="I2405">
        <f t="shared" si="148"/>
        <v>33.333333333333336</v>
      </c>
      <c r="J2405">
        <f t="shared" si="146"/>
        <v>15.119745666666669</v>
      </c>
      <c r="K2405">
        <v>0.52500000000000002</v>
      </c>
      <c r="L2405">
        <f t="shared" si="149"/>
        <v>7.9378664750000016</v>
      </c>
    </row>
    <row r="2406" spans="1:12" x14ac:dyDescent="0.2">
      <c r="A2406" s="4">
        <v>43489</v>
      </c>
      <c r="B2406" t="s">
        <v>48</v>
      </c>
      <c r="C2406" s="28">
        <v>1</v>
      </c>
      <c r="D2406" s="6">
        <v>1</v>
      </c>
      <c r="E2406">
        <f t="shared" si="150"/>
        <v>33.333333333333336</v>
      </c>
      <c r="F2406" t="s">
        <v>320</v>
      </c>
      <c r="G2406" t="s">
        <v>792</v>
      </c>
      <c r="H2406" s="6" t="s">
        <v>1071</v>
      </c>
      <c r="I2406">
        <f t="shared" si="148"/>
        <v>33.333333333333336</v>
      </c>
      <c r="J2406">
        <f t="shared" si="146"/>
        <v>15.119745666666669</v>
      </c>
      <c r="K2406">
        <v>0.52500000000000002</v>
      </c>
      <c r="L2406">
        <f t="shared" si="149"/>
        <v>7.9378664750000016</v>
      </c>
    </row>
    <row r="2407" spans="1:12" x14ac:dyDescent="0.2">
      <c r="A2407" s="4">
        <v>43489</v>
      </c>
      <c r="B2407" t="s">
        <v>48</v>
      </c>
      <c r="C2407" s="28">
        <v>1</v>
      </c>
      <c r="D2407" s="6">
        <v>1</v>
      </c>
      <c r="E2407">
        <f t="shared" si="150"/>
        <v>33.333333333333336</v>
      </c>
      <c r="F2407" t="s">
        <v>321</v>
      </c>
      <c r="G2407" t="s">
        <v>792</v>
      </c>
      <c r="H2407" s="6" t="s">
        <v>1071</v>
      </c>
      <c r="I2407">
        <f t="shared" si="148"/>
        <v>33.333333333333336</v>
      </c>
      <c r="J2407">
        <f t="shared" si="146"/>
        <v>15.119745666666669</v>
      </c>
      <c r="K2407">
        <v>0.52500000000000002</v>
      </c>
      <c r="L2407">
        <f t="shared" si="149"/>
        <v>7.9378664750000016</v>
      </c>
    </row>
    <row r="2408" spans="1:12" x14ac:dyDescent="0.2">
      <c r="A2408" s="4">
        <v>43488</v>
      </c>
      <c r="B2408" t="s">
        <v>48</v>
      </c>
      <c r="C2408" s="28">
        <v>4</v>
      </c>
      <c r="D2408" s="6">
        <v>1</v>
      </c>
      <c r="E2408">
        <f t="shared" si="150"/>
        <v>33.333333333333336</v>
      </c>
      <c r="F2408" t="s">
        <v>320</v>
      </c>
      <c r="G2408" t="s">
        <v>792</v>
      </c>
      <c r="H2408" s="6" t="s">
        <v>1071</v>
      </c>
      <c r="I2408">
        <f t="shared" si="148"/>
        <v>133.33333333333334</v>
      </c>
      <c r="J2408">
        <f t="shared" si="146"/>
        <v>60.478982666666674</v>
      </c>
      <c r="K2408">
        <v>0.52500000000000002</v>
      </c>
      <c r="L2408">
        <f t="shared" si="149"/>
        <v>31.751465900000007</v>
      </c>
    </row>
    <row r="2409" spans="1:12" x14ac:dyDescent="0.2">
      <c r="A2409" s="4">
        <v>43488</v>
      </c>
      <c r="B2409" t="s">
        <v>48</v>
      </c>
      <c r="C2409" s="28">
        <v>1</v>
      </c>
      <c r="D2409" s="6">
        <v>1</v>
      </c>
      <c r="E2409">
        <f t="shared" si="150"/>
        <v>33.333333333333336</v>
      </c>
      <c r="F2409" t="s">
        <v>321</v>
      </c>
      <c r="G2409" t="s">
        <v>792</v>
      </c>
      <c r="H2409" s="6" t="s">
        <v>1071</v>
      </c>
      <c r="I2409">
        <f t="shared" si="148"/>
        <v>33.333333333333336</v>
      </c>
      <c r="J2409">
        <f t="shared" si="146"/>
        <v>15.119745666666669</v>
      </c>
      <c r="K2409">
        <v>0.52500000000000002</v>
      </c>
      <c r="L2409">
        <f t="shared" si="149"/>
        <v>7.9378664750000016</v>
      </c>
    </row>
    <row r="2410" spans="1:12" x14ac:dyDescent="0.2">
      <c r="A2410" s="4">
        <v>43484</v>
      </c>
      <c r="B2410" t="s">
        <v>48</v>
      </c>
      <c r="C2410" s="28">
        <v>1</v>
      </c>
      <c r="D2410" s="6">
        <v>1</v>
      </c>
      <c r="E2410">
        <f t="shared" si="150"/>
        <v>33.333333333333336</v>
      </c>
      <c r="F2410" t="s">
        <v>320</v>
      </c>
      <c r="G2410" t="s">
        <v>792</v>
      </c>
      <c r="H2410" s="6" t="s">
        <v>1071</v>
      </c>
      <c r="I2410">
        <f t="shared" si="148"/>
        <v>33.333333333333336</v>
      </c>
      <c r="J2410">
        <f t="shared" si="146"/>
        <v>15.119745666666669</v>
      </c>
      <c r="K2410">
        <v>0.52500000000000002</v>
      </c>
      <c r="L2410">
        <f t="shared" si="149"/>
        <v>7.9378664750000016</v>
      </c>
    </row>
    <row r="2411" spans="1:12" x14ac:dyDescent="0.2">
      <c r="A2411" s="4">
        <v>43484</v>
      </c>
      <c r="B2411" t="s">
        <v>48</v>
      </c>
      <c r="C2411" s="28">
        <v>1</v>
      </c>
      <c r="D2411" s="6">
        <v>1</v>
      </c>
      <c r="E2411">
        <f t="shared" si="150"/>
        <v>33.333333333333336</v>
      </c>
      <c r="F2411" t="s">
        <v>321</v>
      </c>
      <c r="G2411" t="s">
        <v>792</v>
      </c>
      <c r="H2411" s="6" t="s">
        <v>1071</v>
      </c>
      <c r="I2411">
        <f t="shared" si="148"/>
        <v>33.333333333333336</v>
      </c>
      <c r="J2411">
        <f t="shared" si="146"/>
        <v>15.119745666666669</v>
      </c>
      <c r="K2411">
        <v>0.52500000000000002</v>
      </c>
      <c r="L2411">
        <f t="shared" si="149"/>
        <v>7.9378664750000016</v>
      </c>
    </row>
    <row r="2412" spans="1:12" x14ac:dyDescent="0.2">
      <c r="A2412" s="4">
        <v>43484</v>
      </c>
      <c r="B2412" t="s">
        <v>48</v>
      </c>
      <c r="C2412" s="28">
        <v>3</v>
      </c>
      <c r="D2412" s="6">
        <v>1</v>
      </c>
      <c r="E2412">
        <v>20</v>
      </c>
      <c r="F2412" t="s">
        <v>485</v>
      </c>
      <c r="G2412" t="s">
        <v>792</v>
      </c>
      <c r="H2412" s="6" t="s">
        <v>1071</v>
      </c>
      <c r="I2412">
        <f t="shared" si="148"/>
        <v>60</v>
      </c>
      <c r="J2412">
        <f t="shared" si="146"/>
        <v>27.215542200000002</v>
      </c>
      <c r="K2412">
        <v>0.52500000000000002</v>
      </c>
      <c r="L2412">
        <f t="shared" si="149"/>
        <v>14.288159655000001</v>
      </c>
    </row>
    <row r="2413" spans="1:12" x14ac:dyDescent="0.2">
      <c r="A2413" s="4">
        <v>43483</v>
      </c>
      <c r="B2413" t="s">
        <v>48</v>
      </c>
      <c r="C2413" s="28">
        <v>2</v>
      </c>
      <c r="D2413" s="6">
        <v>1</v>
      </c>
      <c r="E2413">
        <f>10/9*30</f>
        <v>33.333333333333336</v>
      </c>
      <c r="F2413" t="s">
        <v>639</v>
      </c>
      <c r="G2413" t="s">
        <v>792</v>
      </c>
      <c r="H2413" s="6" t="s">
        <v>1071</v>
      </c>
      <c r="I2413">
        <f t="shared" si="148"/>
        <v>66.666666666666671</v>
      </c>
      <c r="J2413">
        <f t="shared" si="146"/>
        <v>30.239491333333337</v>
      </c>
      <c r="K2413">
        <v>0.52500000000000002</v>
      </c>
      <c r="L2413">
        <f t="shared" si="149"/>
        <v>15.875732950000003</v>
      </c>
    </row>
    <row r="2414" spans="1:12" x14ac:dyDescent="0.2">
      <c r="A2414" s="4">
        <v>43483</v>
      </c>
      <c r="B2414" t="s">
        <v>48</v>
      </c>
      <c r="C2414" s="28">
        <v>2</v>
      </c>
      <c r="D2414" s="6">
        <v>1</v>
      </c>
      <c r="E2414">
        <f>10/9*30</f>
        <v>33.333333333333336</v>
      </c>
      <c r="F2414" t="s">
        <v>321</v>
      </c>
      <c r="G2414" t="s">
        <v>792</v>
      </c>
      <c r="H2414" s="6" t="s">
        <v>1071</v>
      </c>
      <c r="I2414">
        <f t="shared" si="148"/>
        <v>66.666666666666671</v>
      </c>
      <c r="J2414">
        <f t="shared" si="146"/>
        <v>30.239491333333337</v>
      </c>
      <c r="K2414">
        <v>0.52500000000000002</v>
      </c>
      <c r="L2414">
        <f t="shared" si="149"/>
        <v>15.875732950000003</v>
      </c>
    </row>
    <row r="2415" spans="1:12" x14ac:dyDescent="0.2">
      <c r="A2415" s="4">
        <v>43486</v>
      </c>
      <c r="B2415" t="s">
        <v>538</v>
      </c>
      <c r="C2415">
        <v>1</v>
      </c>
      <c r="D2415">
        <v>3</v>
      </c>
      <c r="E2415">
        <v>5</v>
      </c>
      <c r="F2415" t="s">
        <v>556</v>
      </c>
      <c r="G2415" t="s">
        <v>909</v>
      </c>
      <c r="H2415" s="6" t="s">
        <v>1071</v>
      </c>
      <c r="I2415">
        <f t="shared" si="148"/>
        <v>15</v>
      </c>
      <c r="J2415">
        <f t="shared" si="146"/>
        <v>6.8038855500000004</v>
      </c>
      <c r="K2415">
        <v>0.87</v>
      </c>
      <c r="L2415">
        <f t="shared" si="149"/>
        <v>5.9193804285000002</v>
      </c>
    </row>
    <row r="2416" spans="1:12" x14ac:dyDescent="0.2">
      <c r="A2416" s="4">
        <v>43486</v>
      </c>
      <c r="B2416" t="s">
        <v>48</v>
      </c>
      <c r="C2416" s="28">
        <v>2</v>
      </c>
      <c r="D2416" s="6">
        <v>1</v>
      </c>
      <c r="E2416">
        <f>10/9*30</f>
        <v>33.333333333333336</v>
      </c>
      <c r="F2416" t="s">
        <v>624</v>
      </c>
      <c r="G2416" t="s">
        <v>961</v>
      </c>
      <c r="H2416" s="6" t="s">
        <v>1071</v>
      </c>
      <c r="I2416">
        <f t="shared" si="148"/>
        <v>66.666666666666671</v>
      </c>
      <c r="J2416">
        <f t="shared" si="146"/>
        <v>30.239491333333337</v>
      </c>
      <c r="K2416">
        <v>0.79900000000000004</v>
      </c>
      <c r="L2416">
        <f t="shared" si="149"/>
        <v>24.161353575333337</v>
      </c>
    </row>
    <row r="2417" spans="1:12" x14ac:dyDescent="0.2">
      <c r="A2417" s="4">
        <v>43486</v>
      </c>
      <c r="B2417" t="s">
        <v>538</v>
      </c>
      <c r="C2417">
        <v>1</v>
      </c>
      <c r="D2417">
        <v>4</v>
      </c>
      <c r="E2417">
        <v>4.54</v>
      </c>
      <c r="F2417" t="s">
        <v>684</v>
      </c>
      <c r="G2417" t="s">
        <v>937</v>
      </c>
      <c r="H2417" s="6" t="s">
        <v>1071</v>
      </c>
      <c r="I2417">
        <f t="shared" si="148"/>
        <v>18.16</v>
      </c>
      <c r="J2417">
        <f t="shared" si="146"/>
        <v>8.2372374392000012</v>
      </c>
      <c r="K2417">
        <v>0.79900000000000004</v>
      </c>
      <c r="L2417">
        <f t="shared" si="149"/>
        <v>6.581552713920801</v>
      </c>
    </row>
    <row r="2418" spans="1:12" x14ac:dyDescent="0.2">
      <c r="A2418" s="4">
        <v>43486</v>
      </c>
      <c r="B2418" t="s">
        <v>538</v>
      </c>
      <c r="C2418">
        <v>1</v>
      </c>
      <c r="D2418">
        <v>4</v>
      </c>
      <c r="E2418">
        <v>8.35</v>
      </c>
      <c r="F2418" t="s">
        <v>541</v>
      </c>
      <c r="G2418" t="s">
        <v>937</v>
      </c>
      <c r="H2418" s="6" t="s">
        <v>1071</v>
      </c>
      <c r="I2418">
        <f t="shared" si="148"/>
        <v>33.4</v>
      </c>
      <c r="J2418">
        <f t="shared" si="146"/>
        <v>15.149985158</v>
      </c>
      <c r="K2418">
        <v>0.79900000000000004</v>
      </c>
      <c r="L2418">
        <f t="shared" si="149"/>
        <v>12.104838141242</v>
      </c>
    </row>
    <row r="2419" spans="1:12" x14ac:dyDescent="0.2">
      <c r="A2419" s="4">
        <v>43486</v>
      </c>
      <c r="B2419" t="s">
        <v>525</v>
      </c>
      <c r="C2419">
        <v>2</v>
      </c>
      <c r="D2419">
        <v>2</v>
      </c>
      <c r="E2419">
        <v>5</v>
      </c>
      <c r="F2419" t="s">
        <v>398</v>
      </c>
      <c r="G2419" t="s">
        <v>851</v>
      </c>
      <c r="H2419" s="6" t="s">
        <v>1072</v>
      </c>
      <c r="I2419">
        <f t="shared" si="148"/>
        <v>20</v>
      </c>
      <c r="J2419">
        <f t="shared" si="146"/>
        <v>9.0718474000000011</v>
      </c>
      <c r="K2419">
        <f>(0.5*32.846)+(0.5*5.56)</f>
        <v>19.202999999999999</v>
      </c>
      <c r="L2419">
        <f t="shared" si="149"/>
        <v>174.20668562220001</v>
      </c>
    </row>
    <row r="2420" spans="1:12" x14ac:dyDescent="0.2">
      <c r="A2420" s="4">
        <v>43486</v>
      </c>
      <c r="B2420" t="s">
        <v>48</v>
      </c>
      <c r="C2420" s="28">
        <v>2</v>
      </c>
      <c r="D2420" s="6">
        <v>1</v>
      </c>
      <c r="E2420">
        <v>20</v>
      </c>
      <c r="F2420" t="s">
        <v>341</v>
      </c>
      <c r="G2420" t="s">
        <v>793</v>
      </c>
      <c r="H2420" s="6" t="s">
        <v>1071</v>
      </c>
      <c r="I2420">
        <f t="shared" si="148"/>
        <v>40</v>
      </c>
      <c r="J2420">
        <f t="shared" si="146"/>
        <v>18.143694800000002</v>
      </c>
      <c r="K2420">
        <v>0.91400000000000003</v>
      </c>
      <c r="L2420">
        <f t="shared" si="149"/>
        <v>16.583337047200004</v>
      </c>
    </row>
    <row r="2421" spans="1:12" x14ac:dyDescent="0.2">
      <c r="A2421" s="4">
        <v>43487</v>
      </c>
      <c r="B2421" t="s">
        <v>48</v>
      </c>
      <c r="C2421" s="28">
        <v>6</v>
      </c>
      <c r="D2421" s="6">
        <v>1</v>
      </c>
      <c r="E2421">
        <v>20</v>
      </c>
      <c r="F2421" t="s">
        <v>341</v>
      </c>
      <c r="G2421" t="s">
        <v>793</v>
      </c>
      <c r="H2421" s="6" t="s">
        <v>1071</v>
      </c>
      <c r="I2421">
        <f t="shared" si="148"/>
        <v>120</v>
      </c>
      <c r="J2421">
        <f t="shared" si="146"/>
        <v>54.431084400000003</v>
      </c>
      <c r="K2421">
        <v>0.91400000000000003</v>
      </c>
      <c r="L2421">
        <f t="shared" si="149"/>
        <v>49.750011141600005</v>
      </c>
    </row>
    <row r="2422" spans="1:12" x14ac:dyDescent="0.2">
      <c r="A2422" s="4">
        <v>43489</v>
      </c>
      <c r="B2422" t="s">
        <v>48</v>
      </c>
      <c r="C2422" s="28">
        <v>6</v>
      </c>
      <c r="D2422" s="6">
        <v>1</v>
      </c>
      <c r="E2422">
        <v>20</v>
      </c>
      <c r="F2422" t="s">
        <v>341</v>
      </c>
      <c r="G2422" t="s">
        <v>793</v>
      </c>
      <c r="H2422" s="6" t="s">
        <v>1071</v>
      </c>
      <c r="I2422">
        <f t="shared" si="148"/>
        <v>120</v>
      </c>
      <c r="J2422">
        <f t="shared" si="146"/>
        <v>54.431084400000003</v>
      </c>
      <c r="K2422">
        <v>0.91400000000000003</v>
      </c>
      <c r="L2422">
        <f t="shared" si="149"/>
        <v>49.750011141600005</v>
      </c>
    </row>
    <row r="2423" spans="1:12" x14ac:dyDescent="0.2">
      <c r="A2423" s="4">
        <v>43488</v>
      </c>
      <c r="B2423" t="s">
        <v>48</v>
      </c>
      <c r="C2423" s="28">
        <v>6</v>
      </c>
      <c r="D2423" s="6">
        <v>1</v>
      </c>
      <c r="E2423">
        <v>20</v>
      </c>
      <c r="F2423" t="s">
        <v>341</v>
      </c>
      <c r="G2423" t="s">
        <v>793</v>
      </c>
      <c r="H2423" s="6" t="s">
        <v>1071</v>
      </c>
      <c r="I2423">
        <f t="shared" si="148"/>
        <v>120</v>
      </c>
      <c r="J2423">
        <f t="shared" si="146"/>
        <v>54.431084400000003</v>
      </c>
      <c r="K2423">
        <v>0.91400000000000003</v>
      </c>
      <c r="L2423">
        <f t="shared" si="149"/>
        <v>49.750011141600005</v>
      </c>
    </row>
    <row r="2424" spans="1:12" x14ac:dyDescent="0.2">
      <c r="A2424" s="4">
        <v>43483</v>
      </c>
      <c r="B2424" t="s">
        <v>48</v>
      </c>
      <c r="C2424" s="28">
        <v>8</v>
      </c>
      <c r="D2424" s="6">
        <v>1</v>
      </c>
      <c r="E2424">
        <v>20</v>
      </c>
      <c r="F2424" t="s">
        <v>341</v>
      </c>
      <c r="G2424" t="s">
        <v>793</v>
      </c>
      <c r="H2424" s="6" t="s">
        <v>1071</v>
      </c>
      <c r="I2424">
        <f t="shared" si="148"/>
        <v>160</v>
      </c>
      <c r="J2424">
        <f t="shared" si="146"/>
        <v>72.574779200000009</v>
      </c>
      <c r="K2424">
        <v>0.91400000000000003</v>
      </c>
      <c r="L2424">
        <f t="shared" si="149"/>
        <v>66.333348188800016</v>
      </c>
    </row>
    <row r="2425" spans="1:12" x14ac:dyDescent="0.2">
      <c r="A2425" s="13">
        <v>43483</v>
      </c>
      <c r="B2425" s="6" t="s">
        <v>13</v>
      </c>
      <c r="C2425" s="6">
        <v>1</v>
      </c>
      <c r="D2425" s="6">
        <v>1</v>
      </c>
      <c r="E2425" s="6">
        <v>100</v>
      </c>
      <c r="F2425" s="6" t="s">
        <v>14</v>
      </c>
      <c r="G2425" s="6" t="s">
        <v>15</v>
      </c>
      <c r="H2425" s="6" t="s">
        <v>1072</v>
      </c>
      <c r="I2425">
        <f t="shared" si="148"/>
        <v>100</v>
      </c>
      <c r="J2425">
        <f t="shared" si="146"/>
        <v>45.359237</v>
      </c>
      <c r="K2425">
        <v>5.56</v>
      </c>
      <c r="L2425">
        <f t="shared" si="149"/>
        <v>252.19735771999999</v>
      </c>
    </row>
    <row r="2426" spans="1:12" x14ac:dyDescent="0.2">
      <c r="A2426" s="13">
        <v>43483</v>
      </c>
      <c r="B2426" s="6" t="s">
        <v>13</v>
      </c>
      <c r="C2426" s="6">
        <v>1</v>
      </c>
      <c r="D2426" s="6">
        <v>1</v>
      </c>
      <c r="E2426" s="6">
        <v>180</v>
      </c>
      <c r="F2426" s="6" t="s">
        <v>20</v>
      </c>
      <c r="G2426" s="6" t="s">
        <v>15</v>
      </c>
      <c r="H2426" s="6" t="s">
        <v>1072</v>
      </c>
      <c r="I2426">
        <f t="shared" si="148"/>
        <v>180</v>
      </c>
      <c r="J2426">
        <f t="shared" si="146"/>
        <v>81.646626600000005</v>
      </c>
      <c r="K2426">
        <v>5.56</v>
      </c>
      <c r="L2426">
        <f t="shared" si="149"/>
        <v>453.95524389600001</v>
      </c>
    </row>
    <row r="2427" spans="1:12" x14ac:dyDescent="0.2">
      <c r="A2427" s="13">
        <v>43483</v>
      </c>
      <c r="B2427" s="6" t="s">
        <v>13</v>
      </c>
      <c r="C2427" s="6">
        <v>1</v>
      </c>
      <c r="D2427" s="6">
        <v>1</v>
      </c>
      <c r="E2427" s="6">
        <v>120</v>
      </c>
      <c r="F2427" s="6" t="s">
        <v>19</v>
      </c>
      <c r="G2427" s="6" t="s">
        <v>15</v>
      </c>
      <c r="H2427" s="6" t="s">
        <v>1072</v>
      </c>
      <c r="I2427">
        <f t="shared" si="148"/>
        <v>120</v>
      </c>
      <c r="J2427">
        <f t="shared" si="146"/>
        <v>54.431084400000003</v>
      </c>
      <c r="K2427">
        <v>5.56</v>
      </c>
      <c r="L2427">
        <f t="shared" si="149"/>
        <v>302.63682926399997</v>
      </c>
    </row>
    <row r="2428" spans="1:12" x14ac:dyDescent="0.2">
      <c r="A2428" s="13">
        <v>43483</v>
      </c>
      <c r="B2428" s="6" t="s">
        <v>13</v>
      </c>
      <c r="C2428" s="6">
        <v>1</v>
      </c>
      <c r="D2428" s="6">
        <v>1</v>
      </c>
      <c r="E2428" s="6">
        <v>307.56</v>
      </c>
      <c r="F2428" s="6" t="s">
        <v>179</v>
      </c>
      <c r="G2428" s="6" t="s">
        <v>15</v>
      </c>
      <c r="H2428" s="6" t="s">
        <v>1072</v>
      </c>
      <c r="I2428">
        <f t="shared" si="148"/>
        <v>307.56</v>
      </c>
      <c r="J2428">
        <f t="shared" si="146"/>
        <v>139.5068693172</v>
      </c>
      <c r="K2428">
        <v>5.56</v>
      </c>
      <c r="L2428">
        <f t="shared" si="149"/>
        <v>775.65819340363191</v>
      </c>
    </row>
    <row r="2429" spans="1:12" x14ac:dyDescent="0.2">
      <c r="A2429" s="13">
        <v>43483</v>
      </c>
      <c r="B2429" s="6" t="s">
        <v>13</v>
      </c>
      <c r="C2429" s="6">
        <v>1</v>
      </c>
      <c r="D2429" s="6">
        <v>1</v>
      </c>
      <c r="E2429" s="6">
        <v>200.3</v>
      </c>
      <c r="F2429" s="6" t="s">
        <v>286</v>
      </c>
      <c r="G2429" s="6" t="s">
        <v>15</v>
      </c>
      <c r="H2429" s="6" t="s">
        <v>1072</v>
      </c>
      <c r="I2429">
        <f t="shared" si="148"/>
        <v>200.3</v>
      </c>
      <c r="J2429">
        <f t="shared" si="146"/>
        <v>90.854551711000013</v>
      </c>
      <c r="K2429">
        <v>5.56</v>
      </c>
      <c r="L2429">
        <f t="shared" si="149"/>
        <v>505.15130751316002</v>
      </c>
    </row>
    <row r="2430" spans="1:12" x14ac:dyDescent="0.2">
      <c r="A2430" s="4">
        <v>43486</v>
      </c>
      <c r="B2430" t="s">
        <v>525</v>
      </c>
      <c r="C2430">
        <v>1</v>
      </c>
      <c r="D2430">
        <v>1</v>
      </c>
      <c r="E2430">
        <v>10.09</v>
      </c>
      <c r="F2430" t="s">
        <v>677</v>
      </c>
      <c r="G2430" t="s">
        <v>15</v>
      </c>
      <c r="H2430" s="6" t="s">
        <v>1072</v>
      </c>
      <c r="I2430">
        <f t="shared" si="148"/>
        <v>10.09</v>
      </c>
      <c r="J2430">
        <f t="shared" si="146"/>
        <v>4.5767470132999994</v>
      </c>
      <c r="K2430">
        <v>5.56</v>
      </c>
      <c r="L2430">
        <f t="shared" si="149"/>
        <v>25.446713393947995</v>
      </c>
    </row>
    <row r="2431" spans="1:12" x14ac:dyDescent="0.2">
      <c r="A2431" s="4">
        <v>43487</v>
      </c>
      <c r="B2431" t="s">
        <v>48</v>
      </c>
      <c r="C2431" s="28">
        <v>2</v>
      </c>
      <c r="D2431" s="6">
        <v>1</v>
      </c>
      <c r="E2431">
        <v>50</v>
      </c>
      <c r="F2431" t="s">
        <v>342</v>
      </c>
      <c r="G2431" t="s">
        <v>343</v>
      </c>
      <c r="H2431" s="6" t="s">
        <v>1071</v>
      </c>
      <c r="I2431">
        <f t="shared" si="148"/>
        <v>100</v>
      </c>
      <c r="J2431">
        <f t="shared" si="146"/>
        <v>45.359237</v>
      </c>
      <c r="K2431">
        <v>0.217</v>
      </c>
      <c r="L2431">
        <f t="shared" si="149"/>
        <v>9.8429544290000006</v>
      </c>
    </row>
    <row r="2432" spans="1:12" x14ac:dyDescent="0.2">
      <c r="A2432" s="4">
        <v>43489</v>
      </c>
      <c r="B2432" t="s">
        <v>48</v>
      </c>
      <c r="C2432" s="28">
        <v>1</v>
      </c>
      <c r="D2432" s="6">
        <v>1</v>
      </c>
      <c r="E2432">
        <v>40</v>
      </c>
      <c r="F2432" t="s">
        <v>343</v>
      </c>
      <c r="G2432" t="s">
        <v>343</v>
      </c>
      <c r="H2432" s="6" t="s">
        <v>1071</v>
      </c>
      <c r="I2432">
        <f t="shared" si="148"/>
        <v>40</v>
      </c>
      <c r="J2432">
        <f t="shared" si="146"/>
        <v>18.143694800000002</v>
      </c>
      <c r="K2432">
        <v>0.217</v>
      </c>
      <c r="L2432">
        <f t="shared" si="149"/>
        <v>3.9371817716000006</v>
      </c>
    </row>
    <row r="2433" spans="1:12" x14ac:dyDescent="0.2">
      <c r="A2433" s="4">
        <v>43488</v>
      </c>
      <c r="B2433" t="s">
        <v>48</v>
      </c>
      <c r="C2433" s="28">
        <v>2</v>
      </c>
      <c r="D2433" s="6">
        <v>1</v>
      </c>
      <c r="E2433">
        <v>50</v>
      </c>
      <c r="F2433" t="s">
        <v>342</v>
      </c>
      <c r="G2433" t="s">
        <v>343</v>
      </c>
      <c r="H2433" s="6" t="s">
        <v>1071</v>
      </c>
      <c r="I2433">
        <f t="shared" si="148"/>
        <v>100</v>
      </c>
      <c r="J2433">
        <f t="shared" si="146"/>
        <v>45.359237</v>
      </c>
      <c r="K2433">
        <v>0.217</v>
      </c>
      <c r="L2433">
        <f t="shared" si="149"/>
        <v>9.8429544290000006</v>
      </c>
    </row>
    <row r="2434" spans="1:12" x14ac:dyDescent="0.2">
      <c r="A2434" s="4">
        <v>43488</v>
      </c>
      <c r="B2434" t="s">
        <v>48</v>
      </c>
      <c r="C2434" s="28">
        <v>2</v>
      </c>
      <c r="D2434" s="6">
        <v>1</v>
      </c>
      <c r="E2434">
        <v>50</v>
      </c>
      <c r="F2434" t="s">
        <v>343</v>
      </c>
      <c r="G2434" t="s">
        <v>343</v>
      </c>
      <c r="H2434" s="6" t="s">
        <v>1071</v>
      </c>
      <c r="I2434">
        <f t="shared" si="148"/>
        <v>100</v>
      </c>
      <c r="J2434">
        <f t="shared" si="146"/>
        <v>45.359237</v>
      </c>
      <c r="K2434">
        <v>0.217</v>
      </c>
      <c r="L2434">
        <f t="shared" si="149"/>
        <v>9.8429544290000006</v>
      </c>
    </row>
    <row r="2435" spans="1:12" x14ac:dyDescent="0.2">
      <c r="A2435" s="4">
        <v>43483</v>
      </c>
      <c r="B2435" t="s">
        <v>48</v>
      </c>
      <c r="C2435" s="28">
        <v>4</v>
      </c>
      <c r="D2435" s="6">
        <v>1</v>
      </c>
      <c r="E2435">
        <v>50</v>
      </c>
      <c r="F2435" t="s">
        <v>343</v>
      </c>
      <c r="G2435" t="s">
        <v>343</v>
      </c>
      <c r="H2435" s="6" t="s">
        <v>1071</v>
      </c>
      <c r="I2435">
        <f t="shared" si="148"/>
        <v>200</v>
      </c>
      <c r="J2435">
        <f t="shared" ref="J2435:J2498" si="151">CONVERT(I2435,"lbm","kg")</f>
        <v>90.718474000000001</v>
      </c>
      <c r="K2435">
        <v>0.217</v>
      </c>
      <c r="L2435">
        <f t="shared" si="149"/>
        <v>19.685908858000001</v>
      </c>
    </row>
    <row r="2436" spans="1:12" x14ac:dyDescent="0.2">
      <c r="A2436" s="4">
        <v>43483</v>
      </c>
      <c r="B2436" t="s">
        <v>48</v>
      </c>
      <c r="C2436" s="28">
        <v>3</v>
      </c>
      <c r="D2436" s="6">
        <v>1</v>
      </c>
      <c r="E2436">
        <v>50</v>
      </c>
      <c r="F2436" t="s">
        <v>641</v>
      </c>
      <c r="G2436" t="s">
        <v>343</v>
      </c>
      <c r="H2436" s="6" t="s">
        <v>1071</v>
      </c>
      <c r="I2436">
        <f t="shared" si="148"/>
        <v>150</v>
      </c>
      <c r="J2436">
        <f t="shared" si="151"/>
        <v>68.038855500000011</v>
      </c>
      <c r="K2436">
        <v>0.217</v>
      </c>
      <c r="L2436">
        <f t="shared" si="149"/>
        <v>14.764431643500002</v>
      </c>
    </row>
    <row r="2437" spans="1:12" x14ac:dyDescent="0.2">
      <c r="A2437" s="4">
        <v>43483</v>
      </c>
      <c r="B2437" t="s">
        <v>531</v>
      </c>
      <c r="C2437">
        <v>4</v>
      </c>
      <c r="D2437">
        <v>6</v>
      </c>
      <c r="E2437">
        <v>5</v>
      </c>
      <c r="F2437" t="s">
        <v>650</v>
      </c>
      <c r="G2437" t="s">
        <v>854</v>
      </c>
      <c r="H2437" s="6" t="s">
        <v>1071</v>
      </c>
      <c r="I2437">
        <f t="shared" si="148"/>
        <v>120</v>
      </c>
      <c r="J2437">
        <f t="shared" si="151"/>
        <v>54.431084400000003</v>
      </c>
      <c r="K2437">
        <v>0.217</v>
      </c>
      <c r="L2437">
        <f t="shared" si="149"/>
        <v>11.8115453148</v>
      </c>
    </row>
    <row r="2438" spans="1:12" x14ac:dyDescent="0.2">
      <c r="A2438" s="4">
        <v>43483</v>
      </c>
      <c r="B2438" t="s">
        <v>531</v>
      </c>
      <c r="C2438">
        <v>7</v>
      </c>
      <c r="D2438">
        <v>6</v>
      </c>
      <c r="E2438">
        <v>6</v>
      </c>
      <c r="F2438" t="s">
        <v>533</v>
      </c>
      <c r="G2438" t="s">
        <v>854</v>
      </c>
      <c r="H2438" s="6" t="s">
        <v>1071</v>
      </c>
      <c r="I2438">
        <f t="shared" si="148"/>
        <v>252</v>
      </c>
      <c r="J2438">
        <f t="shared" si="151"/>
        <v>114.30527724000001</v>
      </c>
      <c r="K2438">
        <v>0.217</v>
      </c>
      <c r="L2438">
        <f t="shared" si="149"/>
        <v>24.804245161080001</v>
      </c>
    </row>
    <row r="2439" spans="1:12" x14ac:dyDescent="0.2">
      <c r="A2439" s="4">
        <v>43483</v>
      </c>
      <c r="B2439" t="s">
        <v>531</v>
      </c>
      <c r="C2439">
        <v>4</v>
      </c>
      <c r="D2439">
        <v>6</v>
      </c>
      <c r="E2439">
        <v>5</v>
      </c>
      <c r="F2439" t="s">
        <v>403</v>
      </c>
      <c r="G2439" t="s">
        <v>854</v>
      </c>
      <c r="H2439" s="6" t="s">
        <v>1071</v>
      </c>
      <c r="I2439">
        <f t="shared" si="148"/>
        <v>120</v>
      </c>
      <c r="J2439">
        <f t="shared" si="151"/>
        <v>54.431084400000003</v>
      </c>
      <c r="K2439">
        <v>0.217</v>
      </c>
      <c r="L2439">
        <f t="shared" si="149"/>
        <v>11.8115453148</v>
      </c>
    </row>
    <row r="2440" spans="1:12" x14ac:dyDescent="0.2">
      <c r="A2440" s="4">
        <v>43483</v>
      </c>
      <c r="B2440" t="s">
        <v>531</v>
      </c>
      <c r="C2440">
        <v>2</v>
      </c>
      <c r="D2440">
        <v>6</v>
      </c>
      <c r="E2440">
        <v>3</v>
      </c>
      <c r="F2440" t="s">
        <v>404</v>
      </c>
      <c r="G2440" t="s">
        <v>854</v>
      </c>
      <c r="H2440" s="6" t="s">
        <v>1071</v>
      </c>
      <c r="I2440">
        <f t="shared" si="148"/>
        <v>36</v>
      </c>
      <c r="J2440">
        <f t="shared" si="151"/>
        <v>16.329325319999999</v>
      </c>
      <c r="K2440">
        <v>0.217</v>
      </c>
      <c r="L2440">
        <f t="shared" si="149"/>
        <v>3.5434635944399999</v>
      </c>
    </row>
    <row r="2441" spans="1:12" x14ac:dyDescent="0.2">
      <c r="A2441" s="4">
        <v>43483</v>
      </c>
      <c r="B2441" t="s">
        <v>531</v>
      </c>
      <c r="C2441">
        <v>3</v>
      </c>
      <c r="D2441">
        <v>6</v>
      </c>
      <c r="E2441">
        <v>5</v>
      </c>
      <c r="F2441" t="s">
        <v>406</v>
      </c>
      <c r="G2441" t="s">
        <v>854</v>
      </c>
      <c r="H2441" s="6" t="s">
        <v>1071</v>
      </c>
      <c r="I2441">
        <f t="shared" si="148"/>
        <v>90</v>
      </c>
      <c r="J2441">
        <f t="shared" si="151"/>
        <v>40.823313300000002</v>
      </c>
      <c r="K2441">
        <v>0.217</v>
      </c>
      <c r="L2441">
        <f t="shared" si="149"/>
        <v>8.8586589861</v>
      </c>
    </row>
    <row r="2442" spans="1:12" x14ac:dyDescent="0.2">
      <c r="A2442" s="4">
        <v>43483</v>
      </c>
      <c r="B2442" t="s">
        <v>531</v>
      </c>
      <c r="C2442">
        <v>8</v>
      </c>
      <c r="D2442">
        <v>6</v>
      </c>
      <c r="E2442">
        <v>5</v>
      </c>
      <c r="F2442" t="s">
        <v>419</v>
      </c>
      <c r="G2442" t="s">
        <v>854</v>
      </c>
      <c r="H2442" s="6" t="s">
        <v>1071</v>
      </c>
      <c r="I2442">
        <f t="shared" si="148"/>
        <v>240</v>
      </c>
      <c r="J2442">
        <f t="shared" si="151"/>
        <v>108.86216880000001</v>
      </c>
      <c r="K2442">
        <v>0.217</v>
      </c>
      <c r="L2442">
        <f t="shared" si="149"/>
        <v>23.6230906296</v>
      </c>
    </row>
    <row r="2443" spans="1:12" x14ac:dyDescent="0.2">
      <c r="A2443" s="4">
        <v>43483</v>
      </c>
      <c r="B2443" t="s">
        <v>531</v>
      </c>
      <c r="C2443">
        <v>3</v>
      </c>
      <c r="D2443">
        <v>6</v>
      </c>
      <c r="E2443">
        <v>5</v>
      </c>
      <c r="F2443" t="s">
        <v>406</v>
      </c>
      <c r="G2443" t="s">
        <v>854</v>
      </c>
      <c r="H2443" s="6" t="s">
        <v>1071</v>
      </c>
      <c r="I2443">
        <f t="shared" si="148"/>
        <v>90</v>
      </c>
      <c r="J2443">
        <f t="shared" si="151"/>
        <v>40.823313300000002</v>
      </c>
      <c r="K2443">
        <v>0.217</v>
      </c>
      <c r="L2443">
        <f t="shared" si="149"/>
        <v>8.8586589861</v>
      </c>
    </row>
    <row r="2444" spans="1:12" x14ac:dyDescent="0.2">
      <c r="A2444" s="4">
        <v>43483</v>
      </c>
      <c r="B2444" t="s">
        <v>531</v>
      </c>
      <c r="C2444">
        <v>6</v>
      </c>
      <c r="D2444">
        <v>6</v>
      </c>
      <c r="E2444">
        <v>5</v>
      </c>
      <c r="F2444" t="s">
        <v>419</v>
      </c>
      <c r="G2444" t="s">
        <v>854</v>
      </c>
      <c r="H2444" s="6" t="s">
        <v>1071</v>
      </c>
      <c r="I2444">
        <f t="shared" si="148"/>
        <v>180</v>
      </c>
      <c r="J2444">
        <f t="shared" si="151"/>
        <v>81.646626600000005</v>
      </c>
      <c r="K2444">
        <v>0.217</v>
      </c>
      <c r="L2444">
        <f t="shared" si="149"/>
        <v>17.7173179722</v>
      </c>
    </row>
    <row r="2445" spans="1:12" x14ac:dyDescent="0.2">
      <c r="A2445" s="4">
        <v>43484</v>
      </c>
      <c r="B2445" t="s">
        <v>531</v>
      </c>
      <c r="C2445">
        <v>6</v>
      </c>
      <c r="D2445">
        <v>6</v>
      </c>
      <c r="E2445">
        <v>5</v>
      </c>
      <c r="F2445" t="s">
        <v>403</v>
      </c>
      <c r="G2445" t="s">
        <v>854</v>
      </c>
      <c r="H2445" s="6" t="s">
        <v>1071</v>
      </c>
      <c r="I2445">
        <f t="shared" ref="I2445:I2508" si="152">C2445*D2445*E2445</f>
        <v>180</v>
      </c>
      <c r="J2445">
        <f t="shared" si="151"/>
        <v>81.646626600000005</v>
      </c>
      <c r="K2445">
        <v>0.217</v>
      </c>
      <c r="L2445">
        <f t="shared" si="149"/>
        <v>17.7173179722</v>
      </c>
    </row>
    <row r="2446" spans="1:12" x14ac:dyDescent="0.2">
      <c r="A2446" s="4">
        <v>43486</v>
      </c>
      <c r="B2446" t="s">
        <v>531</v>
      </c>
      <c r="C2446">
        <v>4</v>
      </c>
      <c r="D2446">
        <v>6</v>
      </c>
      <c r="E2446">
        <v>3</v>
      </c>
      <c r="F2446" t="s">
        <v>404</v>
      </c>
      <c r="G2446" t="s">
        <v>854</v>
      </c>
      <c r="H2446" s="6" t="s">
        <v>1071</v>
      </c>
      <c r="I2446">
        <f t="shared" si="152"/>
        <v>72</v>
      </c>
      <c r="J2446">
        <f t="shared" si="151"/>
        <v>32.658650639999998</v>
      </c>
      <c r="K2446">
        <v>0.217</v>
      </c>
      <c r="L2446">
        <f t="shared" si="149"/>
        <v>7.0869271888799998</v>
      </c>
    </row>
    <row r="2447" spans="1:12" x14ac:dyDescent="0.2">
      <c r="A2447" s="4">
        <v>43488</v>
      </c>
      <c r="B2447" t="s">
        <v>531</v>
      </c>
      <c r="C2447">
        <v>3</v>
      </c>
      <c r="D2447">
        <v>6</v>
      </c>
      <c r="E2447">
        <v>6</v>
      </c>
      <c r="F2447" t="s">
        <v>533</v>
      </c>
      <c r="G2447" t="s">
        <v>854</v>
      </c>
      <c r="H2447" s="6" t="s">
        <v>1071</v>
      </c>
      <c r="I2447">
        <f t="shared" si="152"/>
        <v>108</v>
      </c>
      <c r="J2447">
        <f t="shared" si="151"/>
        <v>48.987975960000007</v>
      </c>
      <c r="K2447">
        <v>0.217</v>
      </c>
      <c r="L2447">
        <f t="shared" si="149"/>
        <v>10.630390783320001</v>
      </c>
    </row>
    <row r="2448" spans="1:12" x14ac:dyDescent="0.2">
      <c r="A2448" s="4">
        <v>43488</v>
      </c>
      <c r="B2448" t="s">
        <v>531</v>
      </c>
      <c r="C2448">
        <v>10</v>
      </c>
      <c r="D2448">
        <v>6</v>
      </c>
      <c r="E2448">
        <v>5</v>
      </c>
      <c r="F2448" t="s">
        <v>419</v>
      </c>
      <c r="G2448" t="s">
        <v>854</v>
      </c>
      <c r="H2448" s="6" t="s">
        <v>1071</v>
      </c>
      <c r="I2448">
        <f t="shared" si="152"/>
        <v>300</v>
      </c>
      <c r="J2448">
        <f t="shared" si="151"/>
        <v>136.07771100000002</v>
      </c>
      <c r="K2448">
        <v>0.217</v>
      </c>
      <c r="L2448">
        <f t="shared" si="149"/>
        <v>29.528863287000004</v>
      </c>
    </row>
    <row r="2449" spans="1:12" x14ac:dyDescent="0.2">
      <c r="A2449" s="4">
        <v>43483</v>
      </c>
      <c r="B2449" t="s">
        <v>538</v>
      </c>
      <c r="C2449">
        <v>2</v>
      </c>
      <c r="D2449">
        <v>6</v>
      </c>
      <c r="E2449">
        <v>2</v>
      </c>
      <c r="F2449" t="s">
        <v>570</v>
      </c>
      <c r="G2449" t="s">
        <v>877</v>
      </c>
      <c r="H2449" s="6" t="s">
        <v>1071</v>
      </c>
      <c r="I2449">
        <f t="shared" si="152"/>
        <v>24</v>
      </c>
      <c r="J2449">
        <f t="shared" si="151"/>
        <v>10.886216880000001</v>
      </c>
      <c r="K2449">
        <v>0.34699999999999998</v>
      </c>
      <c r="L2449">
        <f t="shared" si="149"/>
        <v>3.77751725736</v>
      </c>
    </row>
    <row r="2450" spans="1:12" x14ac:dyDescent="0.2">
      <c r="A2450" s="4">
        <v>43486</v>
      </c>
      <c r="B2450" t="s">
        <v>538</v>
      </c>
      <c r="C2450">
        <v>2</v>
      </c>
      <c r="D2450">
        <v>6</v>
      </c>
      <c r="E2450">
        <v>2</v>
      </c>
      <c r="F2450" t="s">
        <v>570</v>
      </c>
      <c r="G2450" t="s">
        <v>877</v>
      </c>
      <c r="H2450" s="6" t="s">
        <v>1071</v>
      </c>
      <c r="I2450">
        <f t="shared" si="152"/>
        <v>24</v>
      </c>
      <c r="J2450">
        <f t="shared" si="151"/>
        <v>10.886216880000001</v>
      </c>
      <c r="K2450">
        <v>0.34699999999999998</v>
      </c>
      <c r="L2450">
        <f t="shared" si="149"/>
        <v>3.77751725736</v>
      </c>
    </row>
    <row r="2451" spans="1:12" x14ac:dyDescent="0.2">
      <c r="A2451" s="4">
        <v>43483</v>
      </c>
      <c r="B2451" t="s">
        <v>538</v>
      </c>
      <c r="C2451">
        <v>2</v>
      </c>
      <c r="D2451">
        <v>1</v>
      </c>
      <c r="E2451">
        <v>25</v>
      </c>
      <c r="F2451" t="s">
        <v>424</v>
      </c>
      <c r="G2451" t="s">
        <v>859</v>
      </c>
      <c r="H2451" s="6" t="s">
        <v>1071</v>
      </c>
      <c r="I2451">
        <f t="shared" si="152"/>
        <v>50</v>
      </c>
      <c r="J2451">
        <f t="shared" si="151"/>
        <v>22.6796185</v>
      </c>
      <c r="K2451">
        <v>1.5409999999999999</v>
      </c>
      <c r="L2451">
        <f t="shared" si="149"/>
        <v>34.949292108499996</v>
      </c>
    </row>
    <row r="2452" spans="1:12" x14ac:dyDescent="0.2">
      <c r="A2452" s="4">
        <v>43483</v>
      </c>
      <c r="B2452" t="s">
        <v>538</v>
      </c>
      <c r="C2452">
        <v>4</v>
      </c>
      <c r="D2452">
        <v>2</v>
      </c>
      <c r="E2452">
        <v>5</v>
      </c>
      <c r="F2452" t="s">
        <v>429</v>
      </c>
      <c r="G2452" t="s">
        <v>859</v>
      </c>
      <c r="H2452" s="6" t="s">
        <v>1071</v>
      </c>
      <c r="I2452">
        <f t="shared" si="152"/>
        <v>40</v>
      </c>
      <c r="J2452">
        <f t="shared" si="151"/>
        <v>18.143694800000002</v>
      </c>
      <c r="K2452">
        <v>1.5409999999999999</v>
      </c>
      <c r="L2452">
        <f t="shared" si="149"/>
        <v>27.959433686800001</v>
      </c>
    </row>
    <row r="2453" spans="1:12" x14ac:dyDescent="0.2">
      <c r="A2453" s="4">
        <v>43483</v>
      </c>
      <c r="B2453" t="s">
        <v>538</v>
      </c>
      <c r="C2453">
        <v>3</v>
      </c>
      <c r="D2453">
        <v>1</v>
      </c>
      <c r="E2453">
        <v>25</v>
      </c>
      <c r="F2453" t="s">
        <v>452</v>
      </c>
      <c r="G2453" t="s">
        <v>859</v>
      </c>
      <c r="H2453" s="6" t="s">
        <v>1071</v>
      </c>
      <c r="I2453">
        <f t="shared" si="152"/>
        <v>75</v>
      </c>
      <c r="J2453">
        <f t="shared" si="151"/>
        <v>34.019427750000006</v>
      </c>
      <c r="K2453">
        <v>1.5409999999999999</v>
      </c>
      <c r="L2453">
        <f t="shared" ref="L2453:L2516" si="153">K2453*J2453</f>
        <v>52.423938162750005</v>
      </c>
    </row>
    <row r="2454" spans="1:12" x14ac:dyDescent="0.2">
      <c r="A2454" s="4">
        <v>43483</v>
      </c>
      <c r="B2454" t="s">
        <v>538</v>
      </c>
      <c r="C2454">
        <v>2</v>
      </c>
      <c r="D2454">
        <v>1</v>
      </c>
      <c r="E2454">
        <v>50</v>
      </c>
      <c r="F2454" t="s">
        <v>459</v>
      </c>
      <c r="G2454" t="s">
        <v>859</v>
      </c>
      <c r="H2454" s="6" t="s">
        <v>1071</v>
      </c>
      <c r="I2454">
        <f t="shared" si="152"/>
        <v>100</v>
      </c>
      <c r="J2454">
        <f t="shared" si="151"/>
        <v>45.359237</v>
      </c>
      <c r="K2454">
        <v>1.5409999999999999</v>
      </c>
      <c r="L2454">
        <f t="shared" si="153"/>
        <v>69.898584216999993</v>
      </c>
    </row>
    <row r="2455" spans="1:12" x14ac:dyDescent="0.2">
      <c r="A2455" s="4">
        <v>43484</v>
      </c>
      <c r="B2455" t="s">
        <v>538</v>
      </c>
      <c r="C2455">
        <v>1</v>
      </c>
      <c r="D2455">
        <v>1</v>
      </c>
      <c r="E2455">
        <v>25</v>
      </c>
      <c r="F2455" t="s">
        <v>424</v>
      </c>
      <c r="G2455" t="s">
        <v>859</v>
      </c>
      <c r="H2455" s="6" t="s">
        <v>1071</v>
      </c>
      <c r="I2455">
        <f t="shared" si="152"/>
        <v>25</v>
      </c>
      <c r="J2455">
        <f t="shared" si="151"/>
        <v>11.33980925</v>
      </c>
      <c r="K2455">
        <v>1.5409999999999999</v>
      </c>
      <c r="L2455">
        <f t="shared" si="153"/>
        <v>17.474646054249998</v>
      </c>
    </row>
    <row r="2456" spans="1:12" x14ac:dyDescent="0.2">
      <c r="A2456" s="4">
        <v>43484</v>
      </c>
      <c r="B2456" t="s">
        <v>538</v>
      </c>
      <c r="C2456">
        <v>2</v>
      </c>
      <c r="D2456">
        <v>1</v>
      </c>
      <c r="E2456">
        <v>25</v>
      </c>
      <c r="F2456" t="s">
        <v>452</v>
      </c>
      <c r="G2456" t="s">
        <v>859</v>
      </c>
      <c r="H2456" s="6" t="s">
        <v>1071</v>
      </c>
      <c r="I2456">
        <f t="shared" si="152"/>
        <v>50</v>
      </c>
      <c r="J2456">
        <f t="shared" si="151"/>
        <v>22.6796185</v>
      </c>
      <c r="K2456">
        <v>1.5409999999999999</v>
      </c>
      <c r="L2456">
        <f t="shared" si="153"/>
        <v>34.949292108499996</v>
      </c>
    </row>
    <row r="2457" spans="1:12" x14ac:dyDescent="0.2">
      <c r="A2457" s="4">
        <v>43486</v>
      </c>
      <c r="B2457" t="s">
        <v>538</v>
      </c>
      <c r="C2457">
        <v>3</v>
      </c>
      <c r="D2457">
        <v>1</v>
      </c>
      <c r="E2457">
        <v>25</v>
      </c>
      <c r="F2457" t="s">
        <v>424</v>
      </c>
      <c r="G2457" t="s">
        <v>859</v>
      </c>
      <c r="H2457" s="6" t="s">
        <v>1071</v>
      </c>
      <c r="I2457">
        <f t="shared" si="152"/>
        <v>75</v>
      </c>
      <c r="J2457">
        <f t="shared" si="151"/>
        <v>34.019427750000006</v>
      </c>
      <c r="K2457">
        <v>1.5409999999999999</v>
      </c>
      <c r="L2457">
        <f t="shared" si="153"/>
        <v>52.423938162750005</v>
      </c>
    </row>
    <row r="2458" spans="1:12" x14ac:dyDescent="0.2">
      <c r="A2458" s="4">
        <v>43486</v>
      </c>
      <c r="B2458" t="s">
        <v>538</v>
      </c>
      <c r="C2458">
        <v>2</v>
      </c>
      <c r="D2458">
        <v>1</v>
      </c>
      <c r="E2458">
        <v>25</v>
      </c>
      <c r="F2458" t="s">
        <v>452</v>
      </c>
      <c r="G2458" t="s">
        <v>859</v>
      </c>
      <c r="H2458" s="6" t="s">
        <v>1071</v>
      </c>
      <c r="I2458">
        <f t="shared" si="152"/>
        <v>50</v>
      </c>
      <c r="J2458">
        <f t="shared" si="151"/>
        <v>22.6796185</v>
      </c>
      <c r="K2458">
        <v>1.5409999999999999</v>
      </c>
      <c r="L2458">
        <f t="shared" si="153"/>
        <v>34.949292108499996</v>
      </c>
    </row>
    <row r="2459" spans="1:12" x14ac:dyDescent="0.2">
      <c r="A2459" s="4">
        <v>43486</v>
      </c>
      <c r="B2459" t="s">
        <v>538</v>
      </c>
      <c r="C2459">
        <v>2</v>
      </c>
      <c r="D2459">
        <v>2</v>
      </c>
      <c r="E2459">
        <v>5</v>
      </c>
      <c r="F2459" t="s">
        <v>564</v>
      </c>
      <c r="G2459" t="s">
        <v>859</v>
      </c>
      <c r="H2459" s="6" t="s">
        <v>1071</v>
      </c>
      <c r="I2459">
        <f t="shared" si="152"/>
        <v>20</v>
      </c>
      <c r="J2459">
        <f t="shared" si="151"/>
        <v>9.0718474000000011</v>
      </c>
      <c r="K2459">
        <v>1.5409999999999999</v>
      </c>
      <c r="L2459">
        <f t="shared" si="153"/>
        <v>13.9797168434</v>
      </c>
    </row>
    <row r="2460" spans="1:12" x14ac:dyDescent="0.2">
      <c r="A2460" s="4">
        <v>43488</v>
      </c>
      <c r="B2460" t="s">
        <v>538</v>
      </c>
      <c r="C2460">
        <v>2</v>
      </c>
      <c r="D2460">
        <v>1</v>
      </c>
      <c r="E2460">
        <v>25</v>
      </c>
      <c r="F2460" t="s">
        <v>424</v>
      </c>
      <c r="G2460" t="s">
        <v>859</v>
      </c>
      <c r="H2460" s="6" t="s">
        <v>1071</v>
      </c>
      <c r="I2460">
        <f t="shared" si="152"/>
        <v>50</v>
      </c>
      <c r="J2460">
        <f t="shared" si="151"/>
        <v>22.6796185</v>
      </c>
      <c r="K2460">
        <v>1.5409999999999999</v>
      </c>
      <c r="L2460">
        <f t="shared" si="153"/>
        <v>34.949292108499996</v>
      </c>
    </row>
    <row r="2461" spans="1:12" x14ac:dyDescent="0.2">
      <c r="A2461" s="4">
        <v>43488</v>
      </c>
      <c r="B2461" t="s">
        <v>538</v>
      </c>
      <c r="C2461">
        <v>3</v>
      </c>
      <c r="D2461">
        <v>1</v>
      </c>
      <c r="E2461">
        <v>25</v>
      </c>
      <c r="F2461" t="s">
        <v>452</v>
      </c>
      <c r="G2461" t="s">
        <v>859</v>
      </c>
      <c r="H2461" s="6" t="s">
        <v>1071</v>
      </c>
      <c r="I2461">
        <f t="shared" si="152"/>
        <v>75</v>
      </c>
      <c r="J2461">
        <f t="shared" si="151"/>
        <v>34.019427750000006</v>
      </c>
      <c r="K2461">
        <v>1.5409999999999999</v>
      </c>
      <c r="L2461">
        <f t="shared" si="153"/>
        <v>52.423938162750005</v>
      </c>
    </row>
    <row r="2462" spans="1:12" x14ac:dyDescent="0.2">
      <c r="A2462" s="4">
        <v>43488</v>
      </c>
      <c r="B2462" t="s">
        <v>538</v>
      </c>
      <c r="C2462">
        <v>2</v>
      </c>
      <c r="D2462">
        <v>2</v>
      </c>
      <c r="E2462">
        <v>5</v>
      </c>
      <c r="F2462" t="s">
        <v>686</v>
      </c>
      <c r="G2462" t="s">
        <v>859</v>
      </c>
      <c r="H2462" s="6" t="s">
        <v>1071</v>
      </c>
      <c r="I2462">
        <f t="shared" si="152"/>
        <v>20</v>
      </c>
      <c r="J2462">
        <f t="shared" si="151"/>
        <v>9.0718474000000011</v>
      </c>
      <c r="K2462">
        <v>1.5409999999999999</v>
      </c>
      <c r="L2462">
        <f t="shared" si="153"/>
        <v>13.9797168434</v>
      </c>
    </row>
    <row r="2463" spans="1:12" x14ac:dyDescent="0.2">
      <c r="A2463" s="4">
        <v>43483</v>
      </c>
      <c r="B2463" t="s">
        <v>527</v>
      </c>
      <c r="C2463">
        <v>15</v>
      </c>
      <c r="D2463">
        <v>1</v>
      </c>
      <c r="E2463">
        <v>10</v>
      </c>
      <c r="F2463" t="s">
        <v>399</v>
      </c>
      <c r="G2463" t="s">
        <v>928</v>
      </c>
      <c r="H2463" s="6" t="s">
        <v>1072</v>
      </c>
      <c r="I2463">
        <f t="shared" si="152"/>
        <v>150</v>
      </c>
      <c r="J2463">
        <f t="shared" si="151"/>
        <v>68.038855500000011</v>
      </c>
      <c r="K2463">
        <v>3.0209999999999999</v>
      </c>
      <c r="L2463">
        <f t="shared" si="153"/>
        <v>205.54538246550004</v>
      </c>
    </row>
    <row r="2464" spans="1:12" x14ac:dyDescent="0.2">
      <c r="A2464" s="4">
        <v>43488</v>
      </c>
      <c r="B2464" t="s">
        <v>527</v>
      </c>
      <c r="C2464">
        <v>8</v>
      </c>
      <c r="D2464">
        <v>1</v>
      </c>
      <c r="E2464">
        <v>10</v>
      </c>
      <c r="F2464" t="s">
        <v>399</v>
      </c>
      <c r="G2464" t="s">
        <v>928</v>
      </c>
      <c r="H2464" s="6" t="s">
        <v>1072</v>
      </c>
      <c r="I2464">
        <f t="shared" si="152"/>
        <v>80</v>
      </c>
      <c r="J2464">
        <f t="shared" si="151"/>
        <v>36.287389600000004</v>
      </c>
      <c r="K2464">
        <v>3.0209999999999999</v>
      </c>
      <c r="L2464">
        <f t="shared" si="153"/>
        <v>109.6242039816</v>
      </c>
    </row>
    <row r="2465" spans="1:12" x14ac:dyDescent="0.2">
      <c r="A2465" s="4">
        <v>43488</v>
      </c>
      <c r="B2465" t="s">
        <v>48</v>
      </c>
      <c r="C2465" s="28">
        <v>1</v>
      </c>
      <c r="D2465" s="6">
        <v>1</v>
      </c>
      <c r="E2465">
        <f>4*4.54</f>
        <v>18.16</v>
      </c>
      <c r="F2465" t="s">
        <v>492</v>
      </c>
      <c r="G2465" t="s">
        <v>838</v>
      </c>
      <c r="H2465" s="6" t="s">
        <v>1071</v>
      </c>
      <c r="I2465">
        <f t="shared" si="152"/>
        <v>18.16</v>
      </c>
      <c r="J2465">
        <f t="shared" si="151"/>
        <v>8.2372374392000012</v>
      </c>
      <c r="K2465">
        <v>0.27500000000000002</v>
      </c>
      <c r="L2465">
        <f t="shared" si="153"/>
        <v>2.2652402957800004</v>
      </c>
    </row>
    <row r="2466" spans="1:12" x14ac:dyDescent="0.2">
      <c r="A2466" s="10">
        <v>43483</v>
      </c>
      <c r="B2466" s="8" t="s">
        <v>946</v>
      </c>
      <c r="C2466" s="6">
        <v>1</v>
      </c>
      <c r="D2466" s="9">
        <v>1</v>
      </c>
      <c r="E2466" s="8">
        <v>100</v>
      </c>
      <c r="F2466" s="9" t="s">
        <v>954</v>
      </c>
      <c r="G2466" s="9" t="s">
        <v>951</v>
      </c>
      <c r="H2466" s="6" t="s">
        <v>1071</v>
      </c>
      <c r="I2466">
        <f t="shared" si="152"/>
        <v>100</v>
      </c>
      <c r="J2466">
        <f t="shared" si="151"/>
        <v>45.359237</v>
      </c>
      <c r="K2466">
        <v>0.63900000000000001</v>
      </c>
      <c r="L2466">
        <f t="shared" si="153"/>
        <v>28.984552443000002</v>
      </c>
    </row>
    <row r="2467" spans="1:12" x14ac:dyDescent="0.2">
      <c r="A2467" s="4">
        <v>43488</v>
      </c>
      <c r="B2467" t="s">
        <v>517</v>
      </c>
      <c r="C2467">
        <v>3</v>
      </c>
      <c r="D2467">
        <v>1</v>
      </c>
      <c r="E2467">
        <f>2.5*8.6</f>
        <v>21.5</v>
      </c>
      <c r="F2467" t="s">
        <v>463</v>
      </c>
      <c r="G2467" t="s">
        <v>933</v>
      </c>
      <c r="H2467" s="6" t="s">
        <v>1071</v>
      </c>
      <c r="I2467">
        <f t="shared" si="152"/>
        <v>64.5</v>
      </c>
      <c r="J2467">
        <f t="shared" si="151"/>
        <v>29.256707864999999</v>
      </c>
      <c r="K2467">
        <v>0.25800000000000001</v>
      </c>
      <c r="L2467">
        <f t="shared" si="153"/>
        <v>7.5482306291699999</v>
      </c>
    </row>
    <row r="2468" spans="1:12" x14ac:dyDescent="0.2">
      <c r="A2468" s="4">
        <v>43488</v>
      </c>
      <c r="B2468" t="s">
        <v>517</v>
      </c>
      <c r="C2468">
        <v>3</v>
      </c>
      <c r="D2468">
        <v>1</v>
      </c>
      <c r="E2468">
        <f>2.5*8.6</f>
        <v>21.5</v>
      </c>
      <c r="F2468" t="s">
        <v>464</v>
      </c>
      <c r="G2468" t="s">
        <v>933</v>
      </c>
      <c r="H2468" s="6" t="s">
        <v>1071</v>
      </c>
      <c r="I2468">
        <f t="shared" si="152"/>
        <v>64.5</v>
      </c>
      <c r="J2468">
        <f t="shared" si="151"/>
        <v>29.256707864999999</v>
      </c>
      <c r="K2468">
        <v>0.25800000000000001</v>
      </c>
      <c r="L2468">
        <f t="shared" si="153"/>
        <v>7.5482306291699999</v>
      </c>
    </row>
    <row r="2469" spans="1:12" x14ac:dyDescent="0.2">
      <c r="A2469" s="4">
        <v>43483</v>
      </c>
      <c r="B2469" t="s">
        <v>48</v>
      </c>
      <c r="C2469" s="28">
        <v>2</v>
      </c>
      <c r="D2469" s="6">
        <v>1</v>
      </c>
      <c r="E2469">
        <v>20</v>
      </c>
      <c r="F2469" t="s">
        <v>250</v>
      </c>
      <c r="G2469" t="s">
        <v>963</v>
      </c>
      <c r="H2469" s="6" t="s">
        <v>1071</v>
      </c>
      <c r="I2469">
        <f t="shared" si="152"/>
        <v>40</v>
      </c>
      <c r="J2469">
        <f t="shared" si="151"/>
        <v>18.143694800000002</v>
      </c>
      <c r="K2469">
        <v>1.1539999999999999</v>
      </c>
      <c r="L2469">
        <f t="shared" si="153"/>
        <v>20.9378237992</v>
      </c>
    </row>
    <row r="2470" spans="1:12" x14ac:dyDescent="0.2">
      <c r="A2470" s="4">
        <v>43487</v>
      </c>
      <c r="B2470" t="s">
        <v>48</v>
      </c>
      <c r="C2470" s="28">
        <v>2</v>
      </c>
      <c r="D2470" s="6">
        <v>1</v>
      </c>
      <c r="E2470">
        <v>20</v>
      </c>
      <c r="F2470" t="s">
        <v>250</v>
      </c>
      <c r="G2470" t="s">
        <v>962</v>
      </c>
      <c r="H2470" s="6" t="s">
        <v>1071</v>
      </c>
      <c r="I2470">
        <f t="shared" si="152"/>
        <v>40</v>
      </c>
      <c r="J2470">
        <f t="shared" si="151"/>
        <v>18.143694800000002</v>
      </c>
      <c r="K2470">
        <v>1.1539999999999999</v>
      </c>
      <c r="L2470">
        <f t="shared" si="153"/>
        <v>20.9378237992</v>
      </c>
    </row>
    <row r="2471" spans="1:12" x14ac:dyDescent="0.2">
      <c r="A2471" s="4">
        <v>43484</v>
      </c>
      <c r="B2471" t="s">
        <v>48</v>
      </c>
      <c r="C2471" s="28">
        <v>2</v>
      </c>
      <c r="D2471" s="6">
        <v>1</v>
      </c>
      <c r="E2471">
        <v>20</v>
      </c>
      <c r="F2471" t="s">
        <v>250</v>
      </c>
      <c r="G2471" t="s">
        <v>962</v>
      </c>
      <c r="H2471" s="6" t="s">
        <v>1071</v>
      </c>
      <c r="I2471">
        <f t="shared" si="152"/>
        <v>40</v>
      </c>
      <c r="J2471">
        <f t="shared" si="151"/>
        <v>18.143694800000002</v>
      </c>
      <c r="K2471">
        <v>1.1539999999999999</v>
      </c>
      <c r="L2471">
        <f t="shared" si="153"/>
        <v>20.9378237992</v>
      </c>
    </row>
    <row r="2472" spans="1:12" x14ac:dyDescent="0.2">
      <c r="A2472" s="4">
        <v>43486</v>
      </c>
      <c r="B2472" t="s">
        <v>517</v>
      </c>
      <c r="C2472">
        <v>2</v>
      </c>
      <c r="D2472">
        <v>1</v>
      </c>
      <c r="E2472">
        <f>2.5*8.6</f>
        <v>21.5</v>
      </c>
      <c r="F2472" t="s">
        <v>463</v>
      </c>
      <c r="G2472" t="s">
        <v>965</v>
      </c>
      <c r="H2472" s="6" t="s">
        <v>1071</v>
      </c>
      <c r="I2472">
        <f t="shared" si="152"/>
        <v>43</v>
      </c>
      <c r="J2472">
        <f t="shared" si="151"/>
        <v>19.504471909999999</v>
      </c>
      <c r="K2472">
        <v>0.25800000000000001</v>
      </c>
      <c r="L2472">
        <f t="shared" si="153"/>
        <v>5.0321537527800002</v>
      </c>
    </row>
    <row r="2473" spans="1:12" x14ac:dyDescent="0.2">
      <c r="A2473" s="4">
        <v>43486</v>
      </c>
      <c r="B2473" t="s">
        <v>517</v>
      </c>
      <c r="C2473">
        <v>0</v>
      </c>
      <c r="D2473">
        <v>1</v>
      </c>
      <c r="E2473">
        <f>2.5*8.6</f>
        <v>21.5</v>
      </c>
      <c r="F2473" t="s">
        <v>464</v>
      </c>
      <c r="G2473" t="s">
        <v>965</v>
      </c>
      <c r="H2473" s="6" t="s">
        <v>1071</v>
      </c>
      <c r="I2473">
        <f t="shared" si="152"/>
        <v>0</v>
      </c>
      <c r="J2473">
        <f t="shared" si="151"/>
        <v>0</v>
      </c>
      <c r="K2473">
        <v>0.25800000000000001</v>
      </c>
      <c r="L2473">
        <f t="shared" si="153"/>
        <v>0</v>
      </c>
    </row>
    <row r="2474" spans="1:12" x14ac:dyDescent="0.2">
      <c r="A2474" s="4">
        <v>43483</v>
      </c>
      <c r="B2474" t="s">
        <v>517</v>
      </c>
      <c r="C2474">
        <v>1</v>
      </c>
      <c r="D2474">
        <v>1</v>
      </c>
      <c r="E2474">
        <f>2.5*8.6</f>
        <v>21.5</v>
      </c>
      <c r="F2474" t="s">
        <v>463</v>
      </c>
      <c r="G2474" t="s">
        <v>965</v>
      </c>
      <c r="H2474" s="6" t="s">
        <v>1071</v>
      </c>
      <c r="I2474">
        <f t="shared" si="152"/>
        <v>21.5</v>
      </c>
      <c r="J2474">
        <f t="shared" si="151"/>
        <v>9.7522359549999997</v>
      </c>
      <c r="K2474">
        <v>0.25800000000000001</v>
      </c>
      <c r="L2474">
        <f t="shared" si="153"/>
        <v>2.5160768763900001</v>
      </c>
    </row>
    <row r="2475" spans="1:12" x14ac:dyDescent="0.2">
      <c r="A2475" s="4">
        <v>43483</v>
      </c>
      <c r="B2475" t="s">
        <v>517</v>
      </c>
      <c r="C2475">
        <v>2</v>
      </c>
      <c r="D2475">
        <v>1</v>
      </c>
      <c r="E2475">
        <f>2.5*8.6</f>
        <v>21.5</v>
      </c>
      <c r="F2475" t="s">
        <v>464</v>
      </c>
      <c r="G2475" t="s">
        <v>965</v>
      </c>
      <c r="H2475" s="6" t="s">
        <v>1071</v>
      </c>
      <c r="I2475">
        <f t="shared" si="152"/>
        <v>43</v>
      </c>
      <c r="J2475">
        <f t="shared" si="151"/>
        <v>19.504471909999999</v>
      </c>
      <c r="K2475">
        <v>0.25800000000000001</v>
      </c>
      <c r="L2475">
        <f t="shared" si="153"/>
        <v>5.0321537527800002</v>
      </c>
    </row>
    <row r="2476" spans="1:12" x14ac:dyDescent="0.2">
      <c r="A2476" s="4">
        <v>43483</v>
      </c>
      <c r="B2476" t="s">
        <v>538</v>
      </c>
      <c r="C2476">
        <v>3</v>
      </c>
      <c r="D2476">
        <v>6</v>
      </c>
      <c r="E2476">
        <f>14/16</f>
        <v>0.875</v>
      </c>
      <c r="F2476" t="s">
        <v>581</v>
      </c>
      <c r="G2476" t="s">
        <v>869</v>
      </c>
      <c r="H2476" s="6" t="s">
        <v>1071</v>
      </c>
      <c r="I2476">
        <f t="shared" si="152"/>
        <v>15.75</v>
      </c>
      <c r="J2476">
        <f t="shared" si="151"/>
        <v>7.1440798275000006</v>
      </c>
      <c r="K2476">
        <v>0.87</v>
      </c>
      <c r="L2476">
        <f t="shared" si="153"/>
        <v>6.2153494499250002</v>
      </c>
    </row>
    <row r="2477" spans="1:12" x14ac:dyDescent="0.2">
      <c r="A2477" s="4">
        <v>43483</v>
      </c>
      <c r="B2477" t="s">
        <v>538</v>
      </c>
      <c r="C2477">
        <v>1</v>
      </c>
      <c r="D2477">
        <v>3</v>
      </c>
      <c r="E2477">
        <v>7.25</v>
      </c>
      <c r="F2477" t="s">
        <v>554</v>
      </c>
      <c r="G2477" t="s">
        <v>869</v>
      </c>
      <c r="H2477" s="6" t="s">
        <v>1071</v>
      </c>
      <c r="I2477">
        <f t="shared" si="152"/>
        <v>21.75</v>
      </c>
      <c r="J2477">
        <f t="shared" si="151"/>
        <v>9.8656340475000004</v>
      </c>
      <c r="K2477">
        <v>0.87</v>
      </c>
      <c r="L2477">
        <f t="shared" si="153"/>
        <v>8.5831016213249995</v>
      </c>
    </row>
    <row r="2478" spans="1:12" x14ac:dyDescent="0.2">
      <c r="A2478" s="4">
        <v>43483</v>
      </c>
      <c r="B2478" t="s">
        <v>538</v>
      </c>
      <c r="C2478">
        <v>2</v>
      </c>
      <c r="D2478">
        <v>6</v>
      </c>
      <c r="E2478">
        <f>18/16</f>
        <v>1.125</v>
      </c>
      <c r="F2478" t="s">
        <v>661</v>
      </c>
      <c r="G2478" t="s">
        <v>869</v>
      </c>
      <c r="H2478" s="6" t="s">
        <v>1071</v>
      </c>
      <c r="I2478">
        <f t="shared" si="152"/>
        <v>13.5</v>
      </c>
      <c r="J2478">
        <f t="shared" si="151"/>
        <v>6.1234969950000009</v>
      </c>
      <c r="K2478">
        <v>0.87</v>
      </c>
      <c r="L2478">
        <f t="shared" si="153"/>
        <v>5.3274423856500004</v>
      </c>
    </row>
    <row r="2479" spans="1:12" x14ac:dyDescent="0.2">
      <c r="A2479" s="4">
        <v>43483</v>
      </c>
      <c r="B2479" t="s">
        <v>538</v>
      </c>
      <c r="C2479">
        <v>2</v>
      </c>
      <c r="D2479">
        <v>6</v>
      </c>
      <c r="E2479">
        <v>1</v>
      </c>
      <c r="F2479" t="s">
        <v>582</v>
      </c>
      <c r="G2479" t="s">
        <v>869</v>
      </c>
      <c r="H2479" s="6" t="s">
        <v>1071</v>
      </c>
      <c r="I2479">
        <f t="shared" si="152"/>
        <v>12</v>
      </c>
      <c r="J2479">
        <f t="shared" si="151"/>
        <v>5.4431084400000005</v>
      </c>
      <c r="K2479">
        <v>0.87</v>
      </c>
      <c r="L2479">
        <f t="shared" si="153"/>
        <v>4.7355043428000005</v>
      </c>
    </row>
    <row r="2480" spans="1:12" x14ac:dyDescent="0.2">
      <c r="A2480" s="4">
        <v>43483</v>
      </c>
      <c r="B2480" t="s">
        <v>538</v>
      </c>
      <c r="C2480">
        <v>1</v>
      </c>
      <c r="D2480">
        <v>3</v>
      </c>
      <c r="E2480">
        <v>5</v>
      </c>
      <c r="F2480" t="s">
        <v>662</v>
      </c>
      <c r="G2480" t="s">
        <v>869</v>
      </c>
      <c r="H2480" s="6" t="s">
        <v>1071</v>
      </c>
      <c r="I2480">
        <f t="shared" si="152"/>
        <v>15</v>
      </c>
      <c r="J2480">
        <f t="shared" si="151"/>
        <v>6.8038855500000004</v>
      </c>
      <c r="K2480">
        <v>0.87</v>
      </c>
      <c r="L2480">
        <f t="shared" si="153"/>
        <v>5.9193804285000002</v>
      </c>
    </row>
    <row r="2481" spans="1:12" x14ac:dyDescent="0.2">
      <c r="A2481" s="4">
        <v>43483</v>
      </c>
      <c r="B2481" t="s">
        <v>538</v>
      </c>
      <c r="C2481">
        <v>2</v>
      </c>
      <c r="D2481">
        <v>6</v>
      </c>
      <c r="E2481">
        <f>14/16</f>
        <v>0.875</v>
      </c>
      <c r="F2481" t="s">
        <v>663</v>
      </c>
      <c r="G2481" t="s">
        <v>869</v>
      </c>
      <c r="H2481" s="6" t="s">
        <v>1071</v>
      </c>
      <c r="I2481">
        <f t="shared" si="152"/>
        <v>10.5</v>
      </c>
      <c r="J2481">
        <f t="shared" si="151"/>
        <v>4.7627198850000001</v>
      </c>
      <c r="K2481">
        <v>0.87</v>
      </c>
      <c r="L2481">
        <f t="shared" si="153"/>
        <v>4.1435662999499998</v>
      </c>
    </row>
    <row r="2482" spans="1:12" x14ac:dyDescent="0.2">
      <c r="A2482" s="4">
        <v>43486</v>
      </c>
      <c r="B2482" t="s">
        <v>538</v>
      </c>
      <c r="C2482">
        <v>1</v>
      </c>
      <c r="D2482">
        <v>3</v>
      </c>
      <c r="E2482">
        <f>7.25</f>
        <v>7.25</v>
      </c>
      <c r="F2482" t="s">
        <v>554</v>
      </c>
      <c r="G2482" t="s">
        <v>869</v>
      </c>
      <c r="H2482" s="6" t="s">
        <v>1071</v>
      </c>
      <c r="I2482">
        <f t="shared" si="152"/>
        <v>21.75</v>
      </c>
      <c r="J2482">
        <f t="shared" si="151"/>
        <v>9.8656340475000004</v>
      </c>
      <c r="K2482">
        <v>0.87</v>
      </c>
      <c r="L2482">
        <f t="shared" si="153"/>
        <v>8.5831016213249995</v>
      </c>
    </row>
    <row r="2483" spans="1:12" x14ac:dyDescent="0.2">
      <c r="A2483" s="4">
        <v>43486</v>
      </c>
      <c r="B2483" t="s">
        <v>538</v>
      </c>
      <c r="C2483">
        <v>2</v>
      </c>
      <c r="D2483">
        <v>6</v>
      </c>
      <c r="E2483">
        <f>18/16</f>
        <v>1.125</v>
      </c>
      <c r="F2483" t="s">
        <v>661</v>
      </c>
      <c r="G2483" t="s">
        <v>869</v>
      </c>
      <c r="H2483" s="6" t="s">
        <v>1071</v>
      </c>
      <c r="I2483">
        <f t="shared" si="152"/>
        <v>13.5</v>
      </c>
      <c r="J2483">
        <f t="shared" si="151"/>
        <v>6.1234969950000009</v>
      </c>
      <c r="K2483">
        <v>0.87</v>
      </c>
      <c r="L2483">
        <f t="shared" si="153"/>
        <v>5.3274423856500004</v>
      </c>
    </row>
    <row r="2484" spans="1:12" x14ac:dyDescent="0.2">
      <c r="A2484" s="4">
        <v>43486</v>
      </c>
      <c r="B2484" t="s">
        <v>538</v>
      </c>
      <c r="C2484">
        <v>1</v>
      </c>
      <c r="D2484">
        <v>6</v>
      </c>
      <c r="E2484">
        <f>18/16</f>
        <v>1.125</v>
      </c>
      <c r="F2484" t="s">
        <v>583</v>
      </c>
      <c r="G2484" t="s">
        <v>987</v>
      </c>
      <c r="H2484" s="6" t="s">
        <v>1071</v>
      </c>
      <c r="I2484">
        <f t="shared" si="152"/>
        <v>6.75</v>
      </c>
      <c r="J2484">
        <f t="shared" si="151"/>
        <v>3.0617484975000004</v>
      </c>
      <c r="K2484">
        <v>0.87</v>
      </c>
      <c r="L2484">
        <f t="shared" si="153"/>
        <v>2.6637211928250002</v>
      </c>
    </row>
    <row r="2485" spans="1:12" x14ac:dyDescent="0.2">
      <c r="A2485" s="4">
        <v>43483</v>
      </c>
      <c r="B2485" t="s">
        <v>538</v>
      </c>
      <c r="C2485">
        <v>1</v>
      </c>
      <c r="D2485">
        <v>12</v>
      </c>
      <c r="E2485">
        <v>3</v>
      </c>
      <c r="F2485" t="s">
        <v>451</v>
      </c>
      <c r="G2485" t="s">
        <v>907</v>
      </c>
      <c r="H2485" s="6" t="s">
        <v>1071</v>
      </c>
      <c r="I2485">
        <f t="shared" si="152"/>
        <v>36</v>
      </c>
      <c r="J2485">
        <f t="shared" si="151"/>
        <v>16.329325319999999</v>
      </c>
      <c r="K2485">
        <v>0.87</v>
      </c>
      <c r="L2485">
        <f t="shared" si="153"/>
        <v>14.206513028399998</v>
      </c>
    </row>
    <row r="2486" spans="1:12" x14ac:dyDescent="0.2">
      <c r="A2486" s="4">
        <v>43488</v>
      </c>
      <c r="B2486" t="s">
        <v>538</v>
      </c>
      <c r="C2486">
        <v>2</v>
      </c>
      <c r="D2486">
        <v>12</v>
      </c>
      <c r="E2486">
        <v>3</v>
      </c>
      <c r="F2486" t="s">
        <v>451</v>
      </c>
      <c r="G2486" t="s">
        <v>907</v>
      </c>
      <c r="H2486" s="6" t="s">
        <v>1071</v>
      </c>
      <c r="I2486">
        <f t="shared" si="152"/>
        <v>72</v>
      </c>
      <c r="J2486">
        <f t="shared" si="151"/>
        <v>32.658650639999998</v>
      </c>
      <c r="K2486">
        <v>0.87</v>
      </c>
      <c r="L2486">
        <f t="shared" si="153"/>
        <v>28.413026056799996</v>
      </c>
    </row>
    <row r="2487" spans="1:12" x14ac:dyDescent="0.2">
      <c r="A2487" s="4">
        <v>43486</v>
      </c>
      <c r="B2487" t="s">
        <v>48</v>
      </c>
      <c r="C2487" s="28">
        <v>2</v>
      </c>
      <c r="D2487" s="6">
        <v>1</v>
      </c>
      <c r="E2487">
        <f t="shared" ref="E2487:E2492" si="154">4*2.5</f>
        <v>10</v>
      </c>
      <c r="F2487" t="s">
        <v>330</v>
      </c>
      <c r="G2487" t="s">
        <v>815</v>
      </c>
      <c r="H2487" s="6" t="s">
        <v>1071</v>
      </c>
      <c r="I2487">
        <f t="shared" si="152"/>
        <v>20</v>
      </c>
      <c r="J2487">
        <f t="shared" si="151"/>
        <v>9.0718474000000011</v>
      </c>
      <c r="K2487">
        <v>0.307</v>
      </c>
      <c r="L2487">
        <f t="shared" si="153"/>
        <v>2.7850571518000002</v>
      </c>
    </row>
    <row r="2488" spans="1:12" x14ac:dyDescent="0.2">
      <c r="A2488" s="4">
        <v>43487</v>
      </c>
      <c r="B2488" t="s">
        <v>48</v>
      </c>
      <c r="C2488" s="28">
        <v>3</v>
      </c>
      <c r="D2488" s="6">
        <v>1</v>
      </c>
      <c r="E2488">
        <f t="shared" si="154"/>
        <v>10</v>
      </c>
      <c r="F2488" t="s">
        <v>330</v>
      </c>
      <c r="G2488" t="s">
        <v>815</v>
      </c>
      <c r="H2488" s="6" t="s">
        <v>1071</v>
      </c>
      <c r="I2488">
        <f t="shared" si="152"/>
        <v>30</v>
      </c>
      <c r="J2488">
        <f t="shared" si="151"/>
        <v>13.607771100000001</v>
      </c>
      <c r="K2488">
        <v>0.307</v>
      </c>
      <c r="L2488">
        <f t="shared" si="153"/>
        <v>4.1775857277000004</v>
      </c>
    </row>
    <row r="2489" spans="1:12" x14ac:dyDescent="0.2">
      <c r="A2489" s="4">
        <v>43489</v>
      </c>
      <c r="B2489" t="s">
        <v>48</v>
      </c>
      <c r="C2489" s="28">
        <v>2</v>
      </c>
      <c r="D2489" s="6">
        <v>1</v>
      </c>
      <c r="E2489">
        <f t="shared" si="154"/>
        <v>10</v>
      </c>
      <c r="F2489" t="s">
        <v>330</v>
      </c>
      <c r="G2489" t="s">
        <v>815</v>
      </c>
      <c r="H2489" s="6" t="s">
        <v>1071</v>
      </c>
      <c r="I2489">
        <f t="shared" si="152"/>
        <v>20</v>
      </c>
      <c r="J2489">
        <f t="shared" si="151"/>
        <v>9.0718474000000011</v>
      </c>
      <c r="K2489">
        <v>0.307</v>
      </c>
      <c r="L2489">
        <f t="shared" si="153"/>
        <v>2.7850571518000002</v>
      </c>
    </row>
    <row r="2490" spans="1:12" x14ac:dyDescent="0.2">
      <c r="A2490" s="4">
        <v>43488</v>
      </c>
      <c r="B2490" t="s">
        <v>48</v>
      </c>
      <c r="C2490" s="28">
        <v>8</v>
      </c>
      <c r="D2490" s="6">
        <v>1</v>
      </c>
      <c r="E2490">
        <f t="shared" si="154"/>
        <v>10</v>
      </c>
      <c r="F2490" t="s">
        <v>330</v>
      </c>
      <c r="G2490" t="s">
        <v>815</v>
      </c>
      <c r="H2490" s="6" t="s">
        <v>1071</v>
      </c>
      <c r="I2490">
        <f t="shared" si="152"/>
        <v>80</v>
      </c>
      <c r="J2490">
        <f t="shared" si="151"/>
        <v>36.287389600000004</v>
      </c>
      <c r="K2490">
        <v>0.307</v>
      </c>
      <c r="L2490">
        <f t="shared" si="153"/>
        <v>11.140228607200001</v>
      </c>
    </row>
    <row r="2491" spans="1:12" x14ac:dyDescent="0.2">
      <c r="A2491" s="4">
        <v>43484</v>
      </c>
      <c r="B2491" t="s">
        <v>48</v>
      </c>
      <c r="C2491" s="28">
        <v>4</v>
      </c>
      <c r="D2491" s="6">
        <v>1</v>
      </c>
      <c r="E2491">
        <f t="shared" si="154"/>
        <v>10</v>
      </c>
      <c r="F2491" t="s">
        <v>330</v>
      </c>
      <c r="G2491" t="s">
        <v>815</v>
      </c>
      <c r="H2491" s="6" t="s">
        <v>1071</v>
      </c>
      <c r="I2491">
        <f t="shared" si="152"/>
        <v>40</v>
      </c>
      <c r="J2491">
        <f t="shared" si="151"/>
        <v>18.143694800000002</v>
      </c>
      <c r="K2491">
        <v>0.307</v>
      </c>
      <c r="L2491">
        <f t="shared" si="153"/>
        <v>5.5701143036000005</v>
      </c>
    </row>
    <row r="2492" spans="1:12" x14ac:dyDescent="0.2">
      <c r="A2492" s="4">
        <v>43483</v>
      </c>
      <c r="B2492" t="s">
        <v>48</v>
      </c>
      <c r="C2492" s="28">
        <v>5</v>
      </c>
      <c r="D2492" s="6">
        <v>1</v>
      </c>
      <c r="E2492">
        <f t="shared" si="154"/>
        <v>10</v>
      </c>
      <c r="F2492" t="s">
        <v>330</v>
      </c>
      <c r="G2492" t="s">
        <v>815</v>
      </c>
      <c r="H2492" s="6" t="s">
        <v>1071</v>
      </c>
      <c r="I2492">
        <f t="shared" si="152"/>
        <v>50</v>
      </c>
      <c r="J2492">
        <f t="shared" si="151"/>
        <v>22.6796185</v>
      </c>
      <c r="K2492">
        <v>0.307</v>
      </c>
      <c r="L2492">
        <f t="shared" si="153"/>
        <v>6.9626428794999997</v>
      </c>
    </row>
    <row r="2493" spans="1:12" x14ac:dyDescent="0.2">
      <c r="A2493" s="4">
        <v>43486</v>
      </c>
      <c r="B2493" t="s">
        <v>48</v>
      </c>
      <c r="C2493" s="28">
        <v>4</v>
      </c>
      <c r="D2493" s="6">
        <v>1</v>
      </c>
      <c r="E2493">
        <v>20</v>
      </c>
      <c r="F2493" t="s">
        <v>486</v>
      </c>
      <c r="G2493" t="s">
        <v>796</v>
      </c>
      <c r="H2493" s="6" t="s">
        <v>1071</v>
      </c>
      <c r="I2493">
        <f t="shared" si="152"/>
        <v>80</v>
      </c>
      <c r="J2493">
        <f t="shared" si="151"/>
        <v>36.287389600000004</v>
      </c>
      <c r="K2493">
        <v>1.2290000000000001</v>
      </c>
      <c r="L2493">
        <f t="shared" si="153"/>
        <v>44.597201818400009</v>
      </c>
    </row>
    <row r="2494" spans="1:12" x14ac:dyDescent="0.2">
      <c r="A2494" s="4">
        <v>43486</v>
      </c>
      <c r="B2494" t="s">
        <v>48</v>
      </c>
      <c r="C2494" s="28">
        <v>3</v>
      </c>
      <c r="D2494" s="6">
        <v>1</v>
      </c>
      <c r="E2494">
        <f>(3/4)*44</f>
        <v>33</v>
      </c>
      <c r="F2494" t="s">
        <v>331</v>
      </c>
      <c r="G2494" t="s">
        <v>796</v>
      </c>
      <c r="H2494" s="6" t="s">
        <v>1071</v>
      </c>
      <c r="I2494">
        <f t="shared" si="152"/>
        <v>99</v>
      </c>
      <c r="J2494">
        <f t="shared" si="151"/>
        <v>44.905644630000005</v>
      </c>
      <c r="K2494">
        <v>1.2290000000000001</v>
      </c>
      <c r="L2494">
        <f t="shared" si="153"/>
        <v>55.189037250270012</v>
      </c>
    </row>
    <row r="2495" spans="1:12" x14ac:dyDescent="0.2">
      <c r="A2495" s="4">
        <v>43487</v>
      </c>
      <c r="B2495" t="s">
        <v>48</v>
      </c>
      <c r="C2495" s="28">
        <v>0</v>
      </c>
      <c r="D2495" s="6">
        <v>1</v>
      </c>
      <c r="E2495">
        <f>20*(12/16)</f>
        <v>15</v>
      </c>
      <c r="F2495" t="s">
        <v>627</v>
      </c>
      <c r="G2495" t="s">
        <v>765</v>
      </c>
      <c r="H2495" s="6" t="s">
        <v>1071</v>
      </c>
      <c r="I2495">
        <f t="shared" si="152"/>
        <v>0</v>
      </c>
      <c r="J2495">
        <f t="shared" si="151"/>
        <v>0</v>
      </c>
      <c r="K2495">
        <v>1.2290000000000001</v>
      </c>
      <c r="L2495">
        <f t="shared" si="153"/>
        <v>0</v>
      </c>
    </row>
    <row r="2496" spans="1:12" x14ac:dyDescent="0.2">
      <c r="A2496" s="4">
        <v>43487</v>
      </c>
      <c r="B2496" t="s">
        <v>48</v>
      </c>
      <c r="C2496" s="28">
        <v>1</v>
      </c>
      <c r="D2496" s="6">
        <v>1</v>
      </c>
      <c r="E2496">
        <v>20</v>
      </c>
      <c r="F2496" t="s">
        <v>486</v>
      </c>
      <c r="G2496" t="s">
        <v>765</v>
      </c>
      <c r="H2496" s="6" t="s">
        <v>1071</v>
      </c>
      <c r="I2496">
        <f t="shared" si="152"/>
        <v>20</v>
      </c>
      <c r="J2496">
        <f t="shared" si="151"/>
        <v>9.0718474000000011</v>
      </c>
      <c r="K2496">
        <v>1.2290000000000001</v>
      </c>
      <c r="L2496">
        <f t="shared" si="153"/>
        <v>11.149300454600002</v>
      </c>
    </row>
    <row r="2497" spans="1:12" x14ac:dyDescent="0.2">
      <c r="A2497" s="4">
        <v>43487</v>
      </c>
      <c r="B2497" t="s">
        <v>48</v>
      </c>
      <c r="C2497" s="28">
        <v>2</v>
      </c>
      <c r="D2497" s="6">
        <v>1</v>
      </c>
      <c r="E2497">
        <f>(3/4)*44</f>
        <v>33</v>
      </c>
      <c r="F2497" t="s">
        <v>331</v>
      </c>
      <c r="G2497" t="s">
        <v>796</v>
      </c>
      <c r="H2497" s="6" t="s">
        <v>1071</v>
      </c>
      <c r="I2497">
        <f t="shared" si="152"/>
        <v>66</v>
      </c>
      <c r="J2497">
        <f t="shared" si="151"/>
        <v>29.937096420000003</v>
      </c>
      <c r="K2497">
        <v>1.2290000000000001</v>
      </c>
      <c r="L2497">
        <f t="shared" si="153"/>
        <v>36.792691500180005</v>
      </c>
    </row>
    <row r="2498" spans="1:12" x14ac:dyDescent="0.2">
      <c r="A2498" s="4">
        <v>43487</v>
      </c>
      <c r="B2498" t="s">
        <v>48</v>
      </c>
      <c r="C2498" s="28">
        <v>3</v>
      </c>
      <c r="D2498" s="6">
        <v>1</v>
      </c>
      <c r="E2498">
        <f>1/2*44</f>
        <v>22</v>
      </c>
      <c r="F2498" t="s">
        <v>332</v>
      </c>
      <c r="G2498" t="s">
        <v>796</v>
      </c>
      <c r="H2498" s="6" t="s">
        <v>1071</v>
      </c>
      <c r="I2498">
        <f t="shared" si="152"/>
        <v>66</v>
      </c>
      <c r="J2498">
        <f t="shared" si="151"/>
        <v>29.937096420000003</v>
      </c>
      <c r="K2498">
        <v>1.2290000000000001</v>
      </c>
      <c r="L2498">
        <f t="shared" si="153"/>
        <v>36.792691500180005</v>
      </c>
    </row>
    <row r="2499" spans="1:12" x14ac:dyDescent="0.2">
      <c r="A2499" s="4">
        <v>43489</v>
      </c>
      <c r="B2499" t="s">
        <v>48</v>
      </c>
      <c r="C2499" s="28">
        <v>4</v>
      </c>
      <c r="D2499" s="6">
        <v>1</v>
      </c>
      <c r="E2499">
        <f>(3/4)*44</f>
        <v>33</v>
      </c>
      <c r="F2499" t="s">
        <v>331</v>
      </c>
      <c r="G2499" t="s">
        <v>796</v>
      </c>
      <c r="H2499" s="6" t="s">
        <v>1071</v>
      </c>
      <c r="I2499">
        <f t="shared" si="152"/>
        <v>132</v>
      </c>
      <c r="J2499">
        <f t="shared" ref="J2499:J2562" si="155">CONVERT(I2499,"lbm","kg")</f>
        <v>59.874192840000006</v>
      </c>
      <c r="K2499">
        <v>1.2290000000000001</v>
      </c>
      <c r="L2499">
        <f t="shared" si="153"/>
        <v>73.585383000360011</v>
      </c>
    </row>
    <row r="2500" spans="1:12" x14ac:dyDescent="0.2">
      <c r="A2500" s="4">
        <v>43489</v>
      </c>
      <c r="B2500" t="s">
        <v>48</v>
      </c>
      <c r="C2500" s="28">
        <v>4</v>
      </c>
      <c r="D2500" s="6">
        <v>1</v>
      </c>
      <c r="E2500">
        <f>1/2*44</f>
        <v>22</v>
      </c>
      <c r="F2500" t="s">
        <v>332</v>
      </c>
      <c r="G2500" t="s">
        <v>796</v>
      </c>
      <c r="H2500" s="6" t="s">
        <v>1071</v>
      </c>
      <c r="I2500">
        <f t="shared" si="152"/>
        <v>88</v>
      </c>
      <c r="J2500">
        <f t="shared" si="155"/>
        <v>39.916128560000004</v>
      </c>
      <c r="K2500">
        <v>1.2290000000000001</v>
      </c>
      <c r="L2500">
        <f t="shared" si="153"/>
        <v>49.056922000240007</v>
      </c>
    </row>
    <row r="2501" spans="1:12" x14ac:dyDescent="0.2">
      <c r="A2501" s="4">
        <v>43488</v>
      </c>
      <c r="B2501" t="s">
        <v>48</v>
      </c>
      <c r="C2501" s="28">
        <v>2</v>
      </c>
      <c r="D2501" s="6">
        <v>1</v>
      </c>
      <c r="E2501">
        <f>(3/4)*44</f>
        <v>33</v>
      </c>
      <c r="F2501" t="s">
        <v>331</v>
      </c>
      <c r="G2501" t="s">
        <v>796</v>
      </c>
      <c r="H2501" s="6" t="s">
        <v>1071</v>
      </c>
      <c r="I2501">
        <f t="shared" si="152"/>
        <v>66</v>
      </c>
      <c r="J2501">
        <f t="shared" si="155"/>
        <v>29.937096420000003</v>
      </c>
      <c r="K2501">
        <v>1.2290000000000001</v>
      </c>
      <c r="L2501">
        <f t="shared" si="153"/>
        <v>36.792691500180005</v>
      </c>
    </row>
    <row r="2502" spans="1:12" x14ac:dyDescent="0.2">
      <c r="A2502" s="4">
        <v>43488</v>
      </c>
      <c r="B2502" t="s">
        <v>48</v>
      </c>
      <c r="C2502" s="28">
        <v>2</v>
      </c>
      <c r="D2502" s="6">
        <v>1</v>
      </c>
      <c r="E2502">
        <f>1/2*44</f>
        <v>22</v>
      </c>
      <c r="F2502" t="s">
        <v>332</v>
      </c>
      <c r="G2502" t="s">
        <v>796</v>
      </c>
      <c r="H2502" s="6" t="s">
        <v>1071</v>
      </c>
      <c r="I2502">
        <f t="shared" si="152"/>
        <v>44</v>
      </c>
      <c r="J2502">
        <f t="shared" si="155"/>
        <v>19.958064280000002</v>
      </c>
      <c r="K2502">
        <v>1.2290000000000001</v>
      </c>
      <c r="L2502">
        <f t="shared" si="153"/>
        <v>24.528461000120004</v>
      </c>
    </row>
    <row r="2503" spans="1:12" x14ac:dyDescent="0.2">
      <c r="A2503" s="4">
        <v>43483</v>
      </c>
      <c r="B2503" t="s">
        <v>48</v>
      </c>
      <c r="C2503" s="28">
        <v>4</v>
      </c>
      <c r="D2503" s="6">
        <v>1</v>
      </c>
      <c r="E2503">
        <v>20</v>
      </c>
      <c r="F2503" t="s">
        <v>638</v>
      </c>
      <c r="G2503" t="s">
        <v>796</v>
      </c>
      <c r="H2503" s="6" t="s">
        <v>1071</v>
      </c>
      <c r="I2503">
        <f t="shared" si="152"/>
        <v>80</v>
      </c>
      <c r="J2503">
        <f t="shared" si="155"/>
        <v>36.287389600000004</v>
      </c>
      <c r="K2503">
        <v>1.2290000000000001</v>
      </c>
      <c r="L2503">
        <f t="shared" si="153"/>
        <v>44.597201818400009</v>
      </c>
    </row>
    <row r="2504" spans="1:12" x14ac:dyDescent="0.2">
      <c r="A2504" s="4">
        <v>43483</v>
      </c>
      <c r="B2504" t="s">
        <v>48</v>
      </c>
      <c r="C2504" s="28">
        <v>4</v>
      </c>
      <c r="D2504" s="6">
        <v>1</v>
      </c>
      <c r="E2504">
        <v>20</v>
      </c>
      <c r="F2504" t="s">
        <v>486</v>
      </c>
      <c r="G2504" t="s">
        <v>796</v>
      </c>
      <c r="H2504" s="6" t="s">
        <v>1071</v>
      </c>
      <c r="I2504">
        <f t="shared" si="152"/>
        <v>80</v>
      </c>
      <c r="J2504">
        <f t="shared" si="155"/>
        <v>36.287389600000004</v>
      </c>
      <c r="K2504">
        <v>1.2290000000000001</v>
      </c>
      <c r="L2504">
        <f t="shared" si="153"/>
        <v>44.597201818400009</v>
      </c>
    </row>
    <row r="2505" spans="1:12" x14ac:dyDescent="0.2">
      <c r="A2505" s="4">
        <v>43483</v>
      </c>
      <c r="B2505" t="s">
        <v>48</v>
      </c>
      <c r="C2505" s="28">
        <v>4</v>
      </c>
      <c r="D2505" s="6">
        <v>1</v>
      </c>
      <c r="E2505">
        <f>(3/4)*44</f>
        <v>33</v>
      </c>
      <c r="F2505" t="s">
        <v>331</v>
      </c>
      <c r="G2505" t="s">
        <v>796</v>
      </c>
      <c r="H2505" s="6" t="s">
        <v>1071</v>
      </c>
      <c r="I2505">
        <f t="shared" si="152"/>
        <v>132</v>
      </c>
      <c r="J2505">
        <f t="shared" si="155"/>
        <v>59.874192840000006</v>
      </c>
      <c r="K2505">
        <v>1.2290000000000001</v>
      </c>
      <c r="L2505">
        <f t="shared" si="153"/>
        <v>73.585383000360011</v>
      </c>
    </row>
    <row r="2506" spans="1:12" x14ac:dyDescent="0.2">
      <c r="A2506" s="4">
        <v>43487</v>
      </c>
      <c r="B2506" t="s">
        <v>48</v>
      </c>
      <c r="C2506" s="28">
        <v>4</v>
      </c>
      <c r="D2506" s="6">
        <v>1</v>
      </c>
      <c r="E2506">
        <v>8</v>
      </c>
      <c r="F2506" t="s">
        <v>333</v>
      </c>
      <c r="G2506" t="s">
        <v>797</v>
      </c>
      <c r="H2506" s="6" t="s">
        <v>1071</v>
      </c>
      <c r="I2506">
        <f t="shared" si="152"/>
        <v>32</v>
      </c>
      <c r="J2506">
        <f t="shared" si="155"/>
        <v>14.514955840000001</v>
      </c>
      <c r="K2506">
        <v>0.61399999999999999</v>
      </c>
      <c r="L2506">
        <f t="shared" si="153"/>
        <v>8.9121828857600001</v>
      </c>
    </row>
    <row r="2507" spans="1:12" x14ac:dyDescent="0.2">
      <c r="A2507" s="4">
        <v>43489</v>
      </c>
      <c r="B2507" t="s">
        <v>48</v>
      </c>
      <c r="C2507" s="28">
        <v>3</v>
      </c>
      <c r="D2507" s="6">
        <v>1</v>
      </c>
      <c r="E2507">
        <v>8</v>
      </c>
      <c r="F2507" t="s">
        <v>633</v>
      </c>
      <c r="G2507" t="s">
        <v>797</v>
      </c>
      <c r="H2507" s="6" t="s">
        <v>1071</v>
      </c>
      <c r="I2507">
        <f t="shared" si="152"/>
        <v>24</v>
      </c>
      <c r="J2507">
        <f t="shared" si="155"/>
        <v>10.886216880000001</v>
      </c>
      <c r="K2507">
        <v>0.61399999999999999</v>
      </c>
      <c r="L2507">
        <f t="shared" si="153"/>
        <v>6.6841371643200009</v>
      </c>
    </row>
    <row r="2508" spans="1:12" x14ac:dyDescent="0.2">
      <c r="A2508" s="4">
        <v>43488</v>
      </c>
      <c r="B2508" t="s">
        <v>48</v>
      </c>
      <c r="C2508" s="28">
        <v>7</v>
      </c>
      <c r="D2508" s="6">
        <v>1</v>
      </c>
      <c r="E2508">
        <v>8</v>
      </c>
      <c r="F2508" t="s">
        <v>333</v>
      </c>
      <c r="G2508" t="s">
        <v>797</v>
      </c>
      <c r="H2508" s="6" t="s">
        <v>1071</v>
      </c>
      <c r="I2508">
        <f t="shared" si="152"/>
        <v>56</v>
      </c>
      <c r="J2508">
        <f t="shared" si="155"/>
        <v>25.401172720000002</v>
      </c>
      <c r="K2508">
        <v>0.61399999999999999</v>
      </c>
      <c r="L2508">
        <f t="shared" si="153"/>
        <v>15.596320050080001</v>
      </c>
    </row>
    <row r="2509" spans="1:12" x14ac:dyDescent="0.2">
      <c r="A2509" s="4">
        <v>43484</v>
      </c>
      <c r="B2509" t="s">
        <v>48</v>
      </c>
      <c r="C2509" s="28">
        <v>6</v>
      </c>
      <c r="D2509" s="6">
        <v>1</v>
      </c>
      <c r="E2509">
        <v>8</v>
      </c>
      <c r="F2509" t="s">
        <v>333</v>
      </c>
      <c r="G2509" t="s">
        <v>797</v>
      </c>
      <c r="H2509" s="6" t="s">
        <v>1071</v>
      </c>
      <c r="I2509">
        <f t="shared" ref="I2509:I2572" si="156">C2509*D2509*E2509</f>
        <v>48</v>
      </c>
      <c r="J2509">
        <f t="shared" si="155"/>
        <v>21.772433760000002</v>
      </c>
      <c r="K2509">
        <v>0.61399999999999999</v>
      </c>
      <c r="L2509">
        <f t="shared" si="153"/>
        <v>13.368274328640002</v>
      </c>
    </row>
    <row r="2510" spans="1:12" x14ac:dyDescent="0.2">
      <c r="A2510" s="4">
        <v>43483</v>
      </c>
      <c r="B2510" t="s">
        <v>48</v>
      </c>
      <c r="C2510" s="28">
        <v>4</v>
      </c>
      <c r="D2510" s="6">
        <v>1</v>
      </c>
      <c r="E2510">
        <v>8</v>
      </c>
      <c r="F2510" t="s">
        <v>333</v>
      </c>
      <c r="G2510" t="s">
        <v>797</v>
      </c>
      <c r="H2510" s="6" t="s">
        <v>1071</v>
      </c>
      <c r="I2510">
        <f t="shared" si="156"/>
        <v>32</v>
      </c>
      <c r="J2510">
        <f t="shared" si="155"/>
        <v>14.514955840000001</v>
      </c>
      <c r="K2510">
        <v>0.61399999999999999</v>
      </c>
      <c r="L2510">
        <f t="shared" si="153"/>
        <v>8.9121828857600001</v>
      </c>
    </row>
    <row r="2511" spans="1:12" x14ac:dyDescent="0.2">
      <c r="A2511" s="4">
        <v>43483</v>
      </c>
      <c r="B2511" t="s">
        <v>538</v>
      </c>
      <c r="C2511">
        <v>1</v>
      </c>
      <c r="D2511">
        <v>1</v>
      </c>
      <c r="E2511">
        <v>50</v>
      </c>
      <c r="F2511" t="s">
        <v>425</v>
      </c>
      <c r="G2511" t="s">
        <v>860</v>
      </c>
      <c r="H2511" s="6" t="s">
        <v>1071</v>
      </c>
      <c r="I2511">
        <f t="shared" si="156"/>
        <v>50</v>
      </c>
      <c r="J2511">
        <f t="shared" si="155"/>
        <v>22.6796185</v>
      </c>
      <c r="K2511">
        <v>0.7</v>
      </c>
      <c r="L2511">
        <f t="shared" si="153"/>
        <v>15.87573295</v>
      </c>
    </row>
    <row r="2512" spans="1:12" x14ac:dyDescent="0.2">
      <c r="A2512" s="4">
        <v>43483</v>
      </c>
      <c r="B2512" t="s">
        <v>538</v>
      </c>
      <c r="C2512">
        <v>1</v>
      </c>
      <c r="D2512">
        <v>1</v>
      </c>
      <c r="E2512">
        <v>50</v>
      </c>
      <c r="F2512" t="s">
        <v>434</v>
      </c>
      <c r="G2512" t="s">
        <v>860</v>
      </c>
      <c r="H2512" s="6" t="s">
        <v>1071</v>
      </c>
      <c r="I2512">
        <f t="shared" si="156"/>
        <v>50</v>
      </c>
      <c r="J2512">
        <f t="shared" si="155"/>
        <v>22.6796185</v>
      </c>
      <c r="K2512">
        <v>0.7</v>
      </c>
      <c r="L2512">
        <f t="shared" si="153"/>
        <v>15.87573295</v>
      </c>
    </row>
    <row r="2513" spans="1:12" x14ac:dyDescent="0.2">
      <c r="A2513" s="4">
        <v>43483</v>
      </c>
      <c r="B2513" t="s">
        <v>538</v>
      </c>
      <c r="C2513">
        <v>1</v>
      </c>
      <c r="D2513">
        <v>12</v>
      </c>
      <c r="E2513">
        <v>2</v>
      </c>
      <c r="F2513" t="s">
        <v>659</v>
      </c>
      <c r="G2513" t="s">
        <v>860</v>
      </c>
      <c r="H2513" s="6" t="s">
        <v>1071</v>
      </c>
      <c r="I2513">
        <f t="shared" si="156"/>
        <v>24</v>
      </c>
      <c r="J2513">
        <f t="shared" si="155"/>
        <v>10.886216880000001</v>
      </c>
      <c r="K2513">
        <v>0.7</v>
      </c>
      <c r="L2513">
        <f t="shared" si="153"/>
        <v>7.6203518160000003</v>
      </c>
    </row>
    <row r="2514" spans="1:12" x14ac:dyDescent="0.2">
      <c r="A2514" s="4">
        <v>43486</v>
      </c>
      <c r="B2514" t="s">
        <v>538</v>
      </c>
      <c r="C2514">
        <v>1</v>
      </c>
      <c r="D2514">
        <v>1</v>
      </c>
      <c r="E2514">
        <v>50</v>
      </c>
      <c r="F2514" t="s">
        <v>434</v>
      </c>
      <c r="G2514" t="s">
        <v>860</v>
      </c>
      <c r="H2514" s="6" t="s">
        <v>1071</v>
      </c>
      <c r="I2514">
        <f t="shared" si="156"/>
        <v>50</v>
      </c>
      <c r="J2514">
        <f t="shared" si="155"/>
        <v>22.6796185</v>
      </c>
      <c r="K2514">
        <v>0.7</v>
      </c>
      <c r="L2514">
        <f t="shared" si="153"/>
        <v>15.87573295</v>
      </c>
    </row>
    <row r="2515" spans="1:12" x14ac:dyDescent="0.2">
      <c r="A2515" s="4">
        <v>43483</v>
      </c>
      <c r="B2515" t="s">
        <v>538</v>
      </c>
      <c r="C2515">
        <v>2</v>
      </c>
      <c r="D2515">
        <v>2</v>
      </c>
      <c r="E2515">
        <v>5</v>
      </c>
      <c r="F2515" t="s">
        <v>666</v>
      </c>
      <c r="G2515" t="s">
        <v>981</v>
      </c>
      <c r="H2515" s="6" t="s">
        <v>1071</v>
      </c>
      <c r="I2515">
        <f t="shared" si="156"/>
        <v>20</v>
      </c>
      <c r="J2515">
        <f t="shared" si="155"/>
        <v>9.0718474000000011</v>
      </c>
      <c r="K2515">
        <v>1.1319999999999999</v>
      </c>
      <c r="L2515">
        <f t="shared" si="153"/>
        <v>10.269331256800001</v>
      </c>
    </row>
    <row r="2516" spans="1:12" x14ac:dyDescent="0.2">
      <c r="A2516" s="4">
        <v>43483</v>
      </c>
      <c r="B2516" t="s">
        <v>538</v>
      </c>
      <c r="C2516">
        <v>8</v>
      </c>
      <c r="D2516">
        <v>4</v>
      </c>
      <c r="E2516">
        <v>7.9</v>
      </c>
      <c r="F2516" t="s">
        <v>455</v>
      </c>
      <c r="G2516" t="s">
        <v>989</v>
      </c>
      <c r="H2516" s="6" t="s">
        <v>1071</v>
      </c>
      <c r="I2516">
        <f t="shared" si="156"/>
        <v>252.8</v>
      </c>
      <c r="J2516">
        <f t="shared" si="155"/>
        <v>114.66815113600002</v>
      </c>
      <c r="K2516">
        <v>2.6459999999999999</v>
      </c>
      <c r="L2516">
        <f t="shared" si="153"/>
        <v>303.41192790585603</v>
      </c>
    </row>
    <row r="2517" spans="1:12" x14ac:dyDescent="0.2">
      <c r="A2517" s="4">
        <v>43483</v>
      </c>
      <c r="B2517" t="s">
        <v>538</v>
      </c>
      <c r="C2517">
        <v>2</v>
      </c>
      <c r="D2517">
        <v>3</v>
      </c>
      <c r="E2517">
        <v>2</v>
      </c>
      <c r="F2517" t="s">
        <v>660</v>
      </c>
      <c r="G2517" t="s">
        <v>977</v>
      </c>
      <c r="H2517" s="6" t="s">
        <v>1071</v>
      </c>
      <c r="I2517">
        <f t="shared" si="156"/>
        <v>12</v>
      </c>
      <c r="J2517">
        <f t="shared" si="155"/>
        <v>5.4431084400000005</v>
      </c>
      <c r="K2517">
        <v>2.6459999999999999</v>
      </c>
      <c r="L2517">
        <f t="shared" ref="L2517:L2580" si="157">K2517*J2517</f>
        <v>14.402464932240001</v>
      </c>
    </row>
    <row r="2518" spans="1:12" x14ac:dyDescent="0.2">
      <c r="A2518" s="4">
        <v>43483</v>
      </c>
      <c r="B2518" t="s">
        <v>538</v>
      </c>
      <c r="C2518">
        <v>4</v>
      </c>
      <c r="D2518">
        <v>1</v>
      </c>
      <c r="E2518">
        <v>35</v>
      </c>
      <c r="F2518" t="s">
        <v>441</v>
      </c>
      <c r="G2518" t="s">
        <v>977</v>
      </c>
      <c r="H2518" s="6" t="s">
        <v>1071</v>
      </c>
      <c r="I2518">
        <f t="shared" si="156"/>
        <v>140</v>
      </c>
      <c r="J2518">
        <f t="shared" si="155"/>
        <v>63.502931800000006</v>
      </c>
      <c r="K2518">
        <v>2.6459999999999999</v>
      </c>
      <c r="L2518">
        <f t="shared" si="157"/>
        <v>168.02875754280001</v>
      </c>
    </row>
    <row r="2519" spans="1:12" x14ac:dyDescent="0.2">
      <c r="A2519" s="4">
        <v>43486</v>
      </c>
      <c r="B2519" t="s">
        <v>538</v>
      </c>
      <c r="C2519">
        <v>5</v>
      </c>
      <c r="D2519">
        <v>4</v>
      </c>
      <c r="E2519">
        <v>7.9</v>
      </c>
      <c r="F2519" t="s">
        <v>455</v>
      </c>
      <c r="G2519" t="s">
        <v>989</v>
      </c>
      <c r="H2519" s="6" t="s">
        <v>1071</v>
      </c>
      <c r="I2519">
        <f t="shared" si="156"/>
        <v>158</v>
      </c>
      <c r="J2519">
        <f t="shared" si="155"/>
        <v>71.667594460000004</v>
      </c>
      <c r="K2519">
        <v>2.6459999999999999</v>
      </c>
      <c r="L2519">
        <f t="shared" si="157"/>
        <v>189.63245494116001</v>
      </c>
    </row>
    <row r="2520" spans="1:12" x14ac:dyDescent="0.2">
      <c r="A2520" s="4">
        <v>43488</v>
      </c>
      <c r="B2520" t="s">
        <v>538</v>
      </c>
      <c r="C2520">
        <v>3</v>
      </c>
      <c r="D2520">
        <v>1</v>
      </c>
      <c r="E2520">
        <v>35</v>
      </c>
      <c r="F2520" t="s">
        <v>441</v>
      </c>
      <c r="G2520" t="s">
        <v>989</v>
      </c>
      <c r="H2520" s="6" t="s">
        <v>1071</v>
      </c>
      <c r="I2520">
        <f t="shared" si="156"/>
        <v>105</v>
      </c>
      <c r="J2520">
        <f t="shared" si="155"/>
        <v>47.627198849999999</v>
      </c>
      <c r="K2520">
        <v>2.6459999999999999</v>
      </c>
      <c r="L2520">
        <f t="shared" si="157"/>
        <v>126.02156815709999</v>
      </c>
    </row>
    <row r="2521" spans="1:12" x14ac:dyDescent="0.2">
      <c r="A2521" s="4">
        <v>43488</v>
      </c>
      <c r="B2521" t="s">
        <v>538</v>
      </c>
      <c r="C2521">
        <v>5</v>
      </c>
      <c r="D2521">
        <v>4</v>
      </c>
      <c r="E2521">
        <v>7.9</v>
      </c>
      <c r="F2521" t="s">
        <v>455</v>
      </c>
      <c r="G2521" t="s">
        <v>989</v>
      </c>
      <c r="H2521" s="6" t="s">
        <v>1071</v>
      </c>
      <c r="I2521">
        <f t="shared" si="156"/>
        <v>158</v>
      </c>
      <c r="J2521">
        <f t="shared" si="155"/>
        <v>71.667594460000004</v>
      </c>
      <c r="K2521">
        <v>2.6459999999999999</v>
      </c>
      <c r="L2521">
        <f t="shared" si="157"/>
        <v>189.63245494116001</v>
      </c>
    </row>
    <row r="2522" spans="1:12" x14ac:dyDescent="0.2">
      <c r="A2522" s="4">
        <v>43483</v>
      </c>
      <c r="B2522" t="s">
        <v>531</v>
      </c>
      <c r="C2522">
        <v>2</v>
      </c>
      <c r="D2522">
        <v>1</v>
      </c>
      <c r="E2522">
        <v>30</v>
      </c>
      <c r="F2522" t="s">
        <v>411</v>
      </c>
      <c r="G2522" t="s">
        <v>1058</v>
      </c>
      <c r="H2522" s="6" t="s">
        <v>1071</v>
      </c>
      <c r="I2522">
        <f t="shared" si="156"/>
        <v>60</v>
      </c>
      <c r="J2522">
        <f t="shared" si="155"/>
        <v>27.215542200000002</v>
      </c>
      <c r="K2522">
        <v>0.75700000000000001</v>
      </c>
      <c r="L2522">
        <f t="shared" si="157"/>
        <v>20.602165445400001</v>
      </c>
    </row>
    <row r="2523" spans="1:12" x14ac:dyDescent="0.2">
      <c r="A2523" s="13">
        <v>43487</v>
      </c>
      <c r="B2523" s="6" t="s">
        <v>22</v>
      </c>
      <c r="C2523" s="6">
        <v>1</v>
      </c>
      <c r="D2523" s="6">
        <v>1</v>
      </c>
      <c r="E2523" s="6">
        <v>120</v>
      </c>
      <c r="F2523" s="6" t="s">
        <v>24</v>
      </c>
      <c r="G2523" s="6" t="s">
        <v>512</v>
      </c>
      <c r="H2523" s="6" t="s">
        <v>1071</v>
      </c>
      <c r="I2523">
        <f t="shared" si="156"/>
        <v>120</v>
      </c>
      <c r="J2523">
        <f t="shared" si="155"/>
        <v>54.431084400000003</v>
      </c>
      <c r="K2523">
        <v>0.30199999999999999</v>
      </c>
      <c r="L2523">
        <f t="shared" si="157"/>
        <v>16.438187488800001</v>
      </c>
    </row>
    <row r="2524" spans="1:12" x14ac:dyDescent="0.2">
      <c r="A2524" s="13">
        <v>43483</v>
      </c>
      <c r="B2524" s="6" t="s">
        <v>22</v>
      </c>
      <c r="C2524" s="6">
        <v>1</v>
      </c>
      <c r="D2524" s="6">
        <v>1</v>
      </c>
      <c r="E2524" s="6">
        <v>120</v>
      </c>
      <c r="F2524" s="6" t="s">
        <v>24</v>
      </c>
      <c r="G2524" s="6" t="s">
        <v>512</v>
      </c>
      <c r="H2524" s="6" t="s">
        <v>1071</v>
      </c>
      <c r="I2524">
        <f t="shared" si="156"/>
        <v>120</v>
      </c>
      <c r="J2524">
        <f t="shared" si="155"/>
        <v>54.431084400000003</v>
      </c>
      <c r="K2524">
        <v>0.30199999999999999</v>
      </c>
      <c r="L2524">
        <f t="shared" si="157"/>
        <v>16.438187488800001</v>
      </c>
    </row>
    <row r="2525" spans="1:12" x14ac:dyDescent="0.2">
      <c r="A2525" s="4">
        <v>43483</v>
      </c>
      <c r="B2525" t="s">
        <v>48</v>
      </c>
      <c r="C2525" s="28">
        <v>4</v>
      </c>
      <c r="D2525" s="6">
        <v>1</v>
      </c>
      <c r="E2525">
        <v>40</v>
      </c>
      <c r="F2525" t="s">
        <v>640</v>
      </c>
      <c r="G2525" t="s">
        <v>1041</v>
      </c>
      <c r="H2525" s="6" t="s">
        <v>1071</v>
      </c>
      <c r="I2525">
        <f t="shared" si="156"/>
        <v>160</v>
      </c>
      <c r="J2525">
        <f t="shared" si="155"/>
        <v>72.574779200000009</v>
      </c>
      <c r="K2525">
        <v>0.30199999999999999</v>
      </c>
      <c r="L2525">
        <f t="shared" si="157"/>
        <v>21.917583318400002</v>
      </c>
    </row>
    <row r="2526" spans="1:12" x14ac:dyDescent="0.2">
      <c r="A2526" s="4">
        <v>43486</v>
      </c>
      <c r="B2526" t="s">
        <v>531</v>
      </c>
      <c r="C2526">
        <v>4</v>
      </c>
      <c r="D2526">
        <v>5</v>
      </c>
      <c r="E2526">
        <v>3</v>
      </c>
      <c r="F2526" t="s">
        <v>416</v>
      </c>
      <c r="G2526" t="s">
        <v>512</v>
      </c>
      <c r="H2526" s="6" t="s">
        <v>1071</v>
      </c>
      <c r="I2526">
        <f t="shared" si="156"/>
        <v>60</v>
      </c>
      <c r="J2526">
        <f t="shared" si="155"/>
        <v>27.215542200000002</v>
      </c>
      <c r="K2526">
        <v>0.30199999999999999</v>
      </c>
      <c r="L2526">
        <f t="shared" si="157"/>
        <v>8.2190937444000003</v>
      </c>
    </row>
    <row r="2527" spans="1:12" x14ac:dyDescent="0.2">
      <c r="A2527" s="4">
        <v>43483</v>
      </c>
      <c r="B2527" t="s">
        <v>48</v>
      </c>
      <c r="C2527" s="28">
        <v>6</v>
      </c>
      <c r="D2527" s="6">
        <v>1</v>
      </c>
      <c r="E2527">
        <f>12*(12/16)</f>
        <v>9</v>
      </c>
      <c r="F2527" t="s">
        <v>339</v>
      </c>
      <c r="G2527" t="s">
        <v>777</v>
      </c>
      <c r="H2527" s="6" t="s">
        <v>1071</v>
      </c>
      <c r="I2527">
        <f t="shared" si="156"/>
        <v>54</v>
      </c>
      <c r="J2527">
        <f t="shared" si="155"/>
        <v>24.493987980000004</v>
      </c>
      <c r="K2527">
        <v>0.19600000000000001</v>
      </c>
      <c r="L2527">
        <f t="shared" si="157"/>
        <v>4.8008216440800009</v>
      </c>
    </row>
    <row r="2528" spans="1:12" x14ac:dyDescent="0.2">
      <c r="A2528" s="4">
        <v>43488</v>
      </c>
      <c r="B2528" t="s">
        <v>538</v>
      </c>
      <c r="C2528">
        <v>2</v>
      </c>
      <c r="D2528">
        <v>4</v>
      </c>
      <c r="E2528">
        <v>11.01</v>
      </c>
      <c r="F2528" t="s">
        <v>435</v>
      </c>
      <c r="G2528" t="s">
        <v>991</v>
      </c>
      <c r="H2528" s="6" t="s">
        <v>1071</v>
      </c>
      <c r="I2528">
        <f t="shared" si="156"/>
        <v>88.08</v>
      </c>
      <c r="J2528">
        <f t="shared" si="155"/>
        <v>39.952415949600002</v>
      </c>
      <c r="K2528">
        <v>6.7539999999999996</v>
      </c>
      <c r="L2528">
        <f t="shared" si="157"/>
        <v>269.83861732359838</v>
      </c>
    </row>
    <row r="2529" spans="1:12" x14ac:dyDescent="0.2">
      <c r="A2529" s="4">
        <v>43483</v>
      </c>
      <c r="B2529" t="s">
        <v>527</v>
      </c>
      <c r="C2529">
        <v>12</v>
      </c>
      <c r="D2529">
        <v>1</v>
      </c>
      <c r="E2529">
        <v>10</v>
      </c>
      <c r="F2529" t="s">
        <v>1012</v>
      </c>
      <c r="G2529" t="s">
        <v>927</v>
      </c>
      <c r="H2529" s="6" t="s">
        <v>1072</v>
      </c>
      <c r="I2529">
        <f t="shared" si="156"/>
        <v>120</v>
      </c>
      <c r="J2529">
        <f t="shared" si="155"/>
        <v>54.431084400000003</v>
      </c>
      <c r="K2529">
        <v>3.0209999999999999</v>
      </c>
      <c r="L2529">
        <f t="shared" si="157"/>
        <v>164.43630597239999</v>
      </c>
    </row>
    <row r="2530" spans="1:12" x14ac:dyDescent="0.2">
      <c r="A2530" s="4">
        <v>43486</v>
      </c>
      <c r="B2530" t="s">
        <v>527</v>
      </c>
      <c r="C2530">
        <v>2</v>
      </c>
      <c r="D2530">
        <v>1</v>
      </c>
      <c r="E2530">
        <v>10</v>
      </c>
      <c r="F2530" t="s">
        <v>1012</v>
      </c>
      <c r="G2530" t="s">
        <v>927</v>
      </c>
      <c r="H2530" s="6" t="s">
        <v>1072</v>
      </c>
      <c r="I2530">
        <f t="shared" si="156"/>
        <v>20</v>
      </c>
      <c r="J2530">
        <f t="shared" si="155"/>
        <v>9.0718474000000011</v>
      </c>
      <c r="K2530">
        <v>3.0209999999999999</v>
      </c>
      <c r="L2530">
        <f t="shared" si="157"/>
        <v>27.406050995400001</v>
      </c>
    </row>
    <row r="2531" spans="1:12" x14ac:dyDescent="0.2">
      <c r="A2531" s="4">
        <v>43488</v>
      </c>
      <c r="B2531" t="s">
        <v>527</v>
      </c>
      <c r="C2531">
        <v>5</v>
      </c>
      <c r="D2531">
        <v>1</v>
      </c>
      <c r="E2531">
        <v>10</v>
      </c>
      <c r="F2531" t="s">
        <v>1012</v>
      </c>
      <c r="G2531" t="s">
        <v>927</v>
      </c>
      <c r="H2531" s="6" t="s">
        <v>1072</v>
      </c>
      <c r="I2531">
        <f t="shared" si="156"/>
        <v>50</v>
      </c>
      <c r="J2531">
        <f t="shared" si="155"/>
        <v>22.6796185</v>
      </c>
      <c r="K2531">
        <v>3.0209999999999999</v>
      </c>
      <c r="L2531">
        <f t="shared" si="157"/>
        <v>68.515127488499999</v>
      </c>
    </row>
    <row r="2532" spans="1:12" x14ac:dyDescent="0.2">
      <c r="A2532" s="4">
        <v>43486</v>
      </c>
      <c r="B2532" t="s">
        <v>48</v>
      </c>
      <c r="C2532" s="28">
        <v>3</v>
      </c>
      <c r="D2532" s="6">
        <v>1</v>
      </c>
      <c r="E2532">
        <v>4.1719999999999997</v>
      </c>
      <c r="F2532" t="s">
        <v>278</v>
      </c>
      <c r="G2532" t="s">
        <v>798</v>
      </c>
      <c r="H2532" s="6" t="s">
        <v>1071</v>
      </c>
      <c r="I2532">
        <f t="shared" si="156"/>
        <v>12.515999999999998</v>
      </c>
      <c r="J2532">
        <f t="shared" si="155"/>
        <v>5.6771621029199997</v>
      </c>
      <c r="K2532">
        <v>1.6639999999999999</v>
      </c>
      <c r="L2532">
        <f t="shared" si="157"/>
        <v>9.4467977392588782</v>
      </c>
    </row>
    <row r="2533" spans="1:12" x14ac:dyDescent="0.2">
      <c r="A2533" s="4">
        <v>43489</v>
      </c>
      <c r="B2533" t="s">
        <v>48</v>
      </c>
      <c r="C2533" s="28">
        <v>2</v>
      </c>
      <c r="D2533" s="6">
        <v>1</v>
      </c>
      <c r="E2533">
        <v>4.1719999999999997</v>
      </c>
      <c r="F2533" t="s">
        <v>278</v>
      </c>
      <c r="G2533" t="s">
        <v>798</v>
      </c>
      <c r="H2533" s="6" t="s">
        <v>1071</v>
      </c>
      <c r="I2533">
        <f t="shared" si="156"/>
        <v>8.3439999999999994</v>
      </c>
      <c r="J2533">
        <f t="shared" si="155"/>
        <v>3.7847747352799996</v>
      </c>
      <c r="K2533">
        <v>1.6639999999999999</v>
      </c>
      <c r="L2533">
        <f t="shared" si="157"/>
        <v>6.2978651595059194</v>
      </c>
    </row>
    <row r="2534" spans="1:12" x14ac:dyDescent="0.2">
      <c r="A2534" s="4">
        <v>43488</v>
      </c>
      <c r="B2534" t="s">
        <v>48</v>
      </c>
      <c r="C2534" s="28">
        <v>6</v>
      </c>
      <c r="D2534" s="6">
        <v>1</v>
      </c>
      <c r="E2534">
        <v>4.1719999999999997</v>
      </c>
      <c r="F2534" t="s">
        <v>278</v>
      </c>
      <c r="G2534" t="s">
        <v>798</v>
      </c>
      <c r="H2534" s="6" t="s">
        <v>1071</v>
      </c>
      <c r="I2534">
        <f t="shared" si="156"/>
        <v>25.031999999999996</v>
      </c>
      <c r="J2534">
        <f t="shared" si="155"/>
        <v>11.354324205839999</v>
      </c>
      <c r="K2534">
        <v>1.6639999999999999</v>
      </c>
      <c r="L2534">
        <f t="shared" si="157"/>
        <v>18.893595478517756</v>
      </c>
    </row>
    <row r="2535" spans="1:12" x14ac:dyDescent="0.2">
      <c r="A2535" s="4">
        <v>43484</v>
      </c>
      <c r="B2535" t="s">
        <v>48</v>
      </c>
      <c r="C2535" s="28">
        <v>2</v>
      </c>
      <c r="D2535" s="6">
        <v>1</v>
      </c>
      <c r="E2535">
        <v>4.1719999999999997</v>
      </c>
      <c r="F2535" t="s">
        <v>278</v>
      </c>
      <c r="G2535" t="s">
        <v>798</v>
      </c>
      <c r="H2535" s="6" t="s">
        <v>1071</v>
      </c>
      <c r="I2535">
        <f t="shared" si="156"/>
        <v>8.3439999999999994</v>
      </c>
      <c r="J2535">
        <f t="shared" si="155"/>
        <v>3.7847747352799996</v>
      </c>
      <c r="K2535">
        <v>1.6639999999999999</v>
      </c>
      <c r="L2535">
        <f t="shared" si="157"/>
        <v>6.2978651595059194</v>
      </c>
    </row>
    <row r="2536" spans="1:12" x14ac:dyDescent="0.2">
      <c r="A2536" s="4">
        <v>43483</v>
      </c>
      <c r="B2536" t="s">
        <v>48</v>
      </c>
      <c r="C2536" s="28">
        <v>5</v>
      </c>
      <c r="D2536" s="6">
        <v>1</v>
      </c>
      <c r="E2536">
        <v>4.1719999999999997</v>
      </c>
      <c r="F2536" t="s">
        <v>278</v>
      </c>
      <c r="G2536" t="s">
        <v>798</v>
      </c>
      <c r="H2536" s="6" t="s">
        <v>1071</v>
      </c>
      <c r="I2536">
        <f t="shared" si="156"/>
        <v>20.86</v>
      </c>
      <c r="J2536">
        <f t="shared" si="155"/>
        <v>9.4619368381999998</v>
      </c>
      <c r="K2536">
        <v>1.6639999999999999</v>
      </c>
      <c r="L2536">
        <f t="shared" si="157"/>
        <v>15.744662898764799</v>
      </c>
    </row>
    <row r="2537" spans="1:12" x14ac:dyDescent="0.2">
      <c r="A2537" s="4">
        <v>43486</v>
      </c>
      <c r="B2537" t="s">
        <v>48</v>
      </c>
      <c r="C2537" s="28">
        <v>2</v>
      </c>
      <c r="D2537" s="6">
        <v>1</v>
      </c>
      <c r="E2537">
        <v>10</v>
      </c>
      <c r="F2537" t="s">
        <v>328</v>
      </c>
      <c r="G2537" t="s">
        <v>334</v>
      </c>
      <c r="H2537" s="6" t="s">
        <v>1071</v>
      </c>
      <c r="I2537">
        <f t="shared" si="156"/>
        <v>20</v>
      </c>
      <c r="J2537">
        <f t="shared" si="155"/>
        <v>9.0718474000000011</v>
      </c>
      <c r="K2537">
        <v>0.47</v>
      </c>
      <c r="L2537">
        <f t="shared" si="157"/>
        <v>4.2637682780000006</v>
      </c>
    </row>
    <row r="2538" spans="1:12" x14ac:dyDescent="0.2">
      <c r="A2538" s="4">
        <v>43486</v>
      </c>
      <c r="B2538" t="s">
        <v>48</v>
      </c>
      <c r="C2538" s="28">
        <v>6</v>
      </c>
      <c r="D2538" s="6">
        <v>1</v>
      </c>
      <c r="E2538">
        <v>12</v>
      </c>
      <c r="F2538" t="s">
        <v>623</v>
      </c>
      <c r="G2538" t="s">
        <v>334</v>
      </c>
      <c r="H2538" s="6" t="s">
        <v>1071</v>
      </c>
      <c r="I2538">
        <f t="shared" si="156"/>
        <v>72</v>
      </c>
      <c r="J2538">
        <f t="shared" si="155"/>
        <v>32.658650639999998</v>
      </c>
      <c r="K2538">
        <v>0.47</v>
      </c>
      <c r="L2538">
        <f t="shared" si="157"/>
        <v>15.349565800799999</v>
      </c>
    </row>
    <row r="2539" spans="1:12" x14ac:dyDescent="0.2">
      <c r="A2539" s="4">
        <v>43487</v>
      </c>
      <c r="B2539" t="s">
        <v>48</v>
      </c>
      <c r="C2539" s="28">
        <v>5</v>
      </c>
      <c r="D2539" s="6">
        <v>1</v>
      </c>
      <c r="E2539">
        <v>10</v>
      </c>
      <c r="F2539" t="s">
        <v>628</v>
      </c>
      <c r="G2539" t="s">
        <v>334</v>
      </c>
      <c r="H2539" s="6" t="s">
        <v>1071</v>
      </c>
      <c r="I2539">
        <f t="shared" si="156"/>
        <v>50</v>
      </c>
      <c r="J2539">
        <f t="shared" si="155"/>
        <v>22.6796185</v>
      </c>
      <c r="K2539">
        <v>0.47</v>
      </c>
      <c r="L2539">
        <f t="shared" si="157"/>
        <v>10.659420695</v>
      </c>
    </row>
    <row r="2540" spans="1:12" x14ac:dyDescent="0.2">
      <c r="A2540" s="4">
        <v>43489</v>
      </c>
      <c r="B2540" t="s">
        <v>48</v>
      </c>
      <c r="C2540" s="28">
        <v>1</v>
      </c>
      <c r="D2540" s="6">
        <v>1</v>
      </c>
      <c r="E2540">
        <v>10</v>
      </c>
      <c r="F2540" t="s">
        <v>328</v>
      </c>
      <c r="G2540" t="s">
        <v>334</v>
      </c>
      <c r="H2540" s="6" t="s">
        <v>1071</v>
      </c>
      <c r="I2540">
        <f t="shared" si="156"/>
        <v>10</v>
      </c>
      <c r="J2540">
        <f t="shared" si="155"/>
        <v>4.5359237000000006</v>
      </c>
      <c r="K2540">
        <v>0.47</v>
      </c>
      <c r="L2540">
        <f t="shared" si="157"/>
        <v>2.1318841390000003</v>
      </c>
    </row>
    <row r="2541" spans="1:12" x14ac:dyDescent="0.2">
      <c r="A2541" s="4">
        <v>43489</v>
      </c>
      <c r="B2541" t="s">
        <v>48</v>
      </c>
      <c r="C2541" s="28">
        <v>1</v>
      </c>
      <c r="D2541" s="6">
        <v>1</v>
      </c>
      <c r="E2541">
        <v>20</v>
      </c>
      <c r="F2541" t="s">
        <v>334</v>
      </c>
      <c r="G2541" t="s">
        <v>334</v>
      </c>
      <c r="H2541" s="6" t="s">
        <v>1071</v>
      </c>
      <c r="I2541">
        <f t="shared" si="156"/>
        <v>20</v>
      </c>
      <c r="J2541">
        <f t="shared" si="155"/>
        <v>9.0718474000000011</v>
      </c>
      <c r="K2541">
        <v>0.47</v>
      </c>
      <c r="L2541">
        <f t="shared" si="157"/>
        <v>4.2637682780000006</v>
      </c>
    </row>
    <row r="2542" spans="1:12" x14ac:dyDescent="0.2">
      <c r="A2542" s="4">
        <v>43489</v>
      </c>
      <c r="B2542" t="s">
        <v>48</v>
      </c>
      <c r="C2542" s="28">
        <v>4</v>
      </c>
      <c r="D2542" s="6">
        <v>1</v>
      </c>
      <c r="E2542">
        <v>10</v>
      </c>
      <c r="F2542" t="s">
        <v>628</v>
      </c>
      <c r="G2542" t="s">
        <v>334</v>
      </c>
      <c r="H2542" s="6" t="s">
        <v>1071</v>
      </c>
      <c r="I2542">
        <f t="shared" si="156"/>
        <v>40</v>
      </c>
      <c r="J2542">
        <f t="shared" si="155"/>
        <v>18.143694800000002</v>
      </c>
      <c r="K2542">
        <v>0.47</v>
      </c>
      <c r="L2542">
        <f t="shared" si="157"/>
        <v>8.5275365560000012</v>
      </c>
    </row>
    <row r="2543" spans="1:12" x14ac:dyDescent="0.2">
      <c r="A2543" s="4">
        <v>43488</v>
      </c>
      <c r="B2543" t="s">
        <v>48</v>
      </c>
      <c r="C2543" s="28">
        <v>2</v>
      </c>
      <c r="D2543" s="6">
        <v>1</v>
      </c>
      <c r="E2543">
        <v>10</v>
      </c>
      <c r="F2543" t="s">
        <v>328</v>
      </c>
      <c r="G2543" t="s">
        <v>334</v>
      </c>
      <c r="H2543" s="6" t="s">
        <v>1071</v>
      </c>
      <c r="I2543">
        <f t="shared" si="156"/>
        <v>20</v>
      </c>
      <c r="J2543">
        <f t="shared" si="155"/>
        <v>9.0718474000000011</v>
      </c>
      <c r="K2543">
        <v>0.47</v>
      </c>
      <c r="L2543">
        <f t="shared" si="157"/>
        <v>4.2637682780000006</v>
      </c>
    </row>
    <row r="2544" spans="1:12" x14ac:dyDescent="0.2">
      <c r="A2544" s="4">
        <v>43488</v>
      </c>
      <c r="B2544" t="s">
        <v>48</v>
      </c>
      <c r="C2544" s="28">
        <v>2</v>
      </c>
      <c r="D2544" s="6">
        <v>1</v>
      </c>
      <c r="E2544">
        <v>20</v>
      </c>
      <c r="F2544" t="s">
        <v>334</v>
      </c>
      <c r="G2544" t="s">
        <v>334</v>
      </c>
      <c r="H2544" s="6" t="s">
        <v>1071</v>
      </c>
      <c r="I2544">
        <f t="shared" si="156"/>
        <v>40</v>
      </c>
      <c r="J2544">
        <f t="shared" si="155"/>
        <v>18.143694800000002</v>
      </c>
      <c r="K2544">
        <v>0.47</v>
      </c>
      <c r="L2544">
        <f t="shared" si="157"/>
        <v>8.5275365560000012</v>
      </c>
    </row>
    <row r="2545" spans="1:12" x14ac:dyDescent="0.2">
      <c r="A2545" s="4">
        <v>43488</v>
      </c>
      <c r="B2545" t="s">
        <v>48</v>
      </c>
      <c r="C2545" s="28">
        <v>8</v>
      </c>
      <c r="D2545" s="6">
        <v>1</v>
      </c>
      <c r="E2545">
        <v>10</v>
      </c>
      <c r="F2545" t="s">
        <v>628</v>
      </c>
      <c r="G2545" t="s">
        <v>334</v>
      </c>
      <c r="H2545" s="6" t="s">
        <v>1071</v>
      </c>
      <c r="I2545">
        <f t="shared" si="156"/>
        <v>80</v>
      </c>
      <c r="J2545">
        <f t="shared" si="155"/>
        <v>36.287389600000004</v>
      </c>
      <c r="K2545">
        <v>0.47</v>
      </c>
      <c r="L2545">
        <f t="shared" si="157"/>
        <v>17.055073112000002</v>
      </c>
    </row>
    <row r="2546" spans="1:12" x14ac:dyDescent="0.2">
      <c r="A2546" s="4">
        <v>43484</v>
      </c>
      <c r="B2546" t="s">
        <v>48</v>
      </c>
      <c r="C2546" s="28">
        <v>3</v>
      </c>
      <c r="D2546" s="6">
        <v>1</v>
      </c>
      <c r="E2546">
        <v>10</v>
      </c>
      <c r="F2546" t="s">
        <v>328</v>
      </c>
      <c r="G2546" t="s">
        <v>334</v>
      </c>
      <c r="H2546" s="6" t="s">
        <v>1071</v>
      </c>
      <c r="I2546">
        <f t="shared" si="156"/>
        <v>30</v>
      </c>
      <c r="J2546">
        <f t="shared" si="155"/>
        <v>13.607771100000001</v>
      </c>
      <c r="K2546">
        <v>0.47</v>
      </c>
      <c r="L2546">
        <f t="shared" si="157"/>
        <v>6.395652417</v>
      </c>
    </row>
    <row r="2547" spans="1:12" x14ac:dyDescent="0.2">
      <c r="A2547" s="4">
        <v>43484</v>
      </c>
      <c r="B2547" t="s">
        <v>48</v>
      </c>
      <c r="C2547" s="28">
        <v>6</v>
      </c>
      <c r="D2547" s="6">
        <v>1</v>
      </c>
      <c r="E2547">
        <v>10</v>
      </c>
      <c r="F2547" t="s">
        <v>628</v>
      </c>
      <c r="G2547" t="s">
        <v>334</v>
      </c>
      <c r="H2547" s="6" t="s">
        <v>1071</v>
      </c>
      <c r="I2547">
        <f t="shared" si="156"/>
        <v>60</v>
      </c>
      <c r="J2547">
        <f t="shared" si="155"/>
        <v>27.215542200000002</v>
      </c>
      <c r="K2547">
        <v>0.47</v>
      </c>
      <c r="L2547">
        <f t="shared" si="157"/>
        <v>12.791304834</v>
      </c>
    </row>
    <row r="2548" spans="1:12" x14ac:dyDescent="0.2">
      <c r="A2548" s="4">
        <v>43483</v>
      </c>
      <c r="B2548" t="s">
        <v>48</v>
      </c>
      <c r="C2548" s="28">
        <v>2</v>
      </c>
      <c r="D2548" s="6">
        <v>1</v>
      </c>
      <c r="E2548">
        <v>10</v>
      </c>
      <c r="F2548" t="s">
        <v>328</v>
      </c>
      <c r="G2548" t="s">
        <v>334</v>
      </c>
      <c r="H2548" s="6" t="s">
        <v>1071</v>
      </c>
      <c r="I2548">
        <f t="shared" si="156"/>
        <v>20</v>
      </c>
      <c r="J2548">
        <f t="shared" si="155"/>
        <v>9.0718474000000011</v>
      </c>
      <c r="K2548">
        <v>0.47</v>
      </c>
      <c r="L2548">
        <f t="shared" si="157"/>
        <v>4.2637682780000006</v>
      </c>
    </row>
    <row r="2549" spans="1:12" x14ac:dyDescent="0.2">
      <c r="A2549" s="4">
        <v>43483</v>
      </c>
      <c r="B2549" t="s">
        <v>48</v>
      </c>
      <c r="C2549" s="28">
        <v>10</v>
      </c>
      <c r="D2549" s="6">
        <v>1</v>
      </c>
      <c r="E2549">
        <v>10</v>
      </c>
      <c r="F2549" t="s">
        <v>628</v>
      </c>
      <c r="G2549" t="s">
        <v>334</v>
      </c>
      <c r="H2549" s="6" t="s">
        <v>1071</v>
      </c>
      <c r="I2549">
        <f t="shared" si="156"/>
        <v>100</v>
      </c>
      <c r="J2549">
        <f t="shared" si="155"/>
        <v>45.359237</v>
      </c>
      <c r="K2549">
        <v>0.47</v>
      </c>
      <c r="L2549">
        <f t="shared" si="157"/>
        <v>21.318841389999999</v>
      </c>
    </row>
    <row r="2550" spans="1:12" x14ac:dyDescent="0.2">
      <c r="A2550" s="4">
        <v>43483</v>
      </c>
      <c r="B2550" t="s">
        <v>538</v>
      </c>
      <c r="C2550">
        <v>5</v>
      </c>
      <c r="D2550">
        <v>6</v>
      </c>
      <c r="E2550">
        <v>10</v>
      </c>
      <c r="F2550" t="s">
        <v>432</v>
      </c>
      <c r="G2550" t="s">
        <v>857</v>
      </c>
      <c r="H2550" s="6" t="s">
        <v>1071</v>
      </c>
      <c r="I2550">
        <f t="shared" si="156"/>
        <v>300</v>
      </c>
      <c r="J2550">
        <f t="shared" si="155"/>
        <v>136.07771100000002</v>
      </c>
      <c r="K2550">
        <v>0.47</v>
      </c>
      <c r="L2550">
        <f t="shared" si="157"/>
        <v>63.956524170000009</v>
      </c>
    </row>
    <row r="2551" spans="1:12" x14ac:dyDescent="0.2">
      <c r="A2551" s="4">
        <v>43483</v>
      </c>
      <c r="B2551" t="s">
        <v>538</v>
      </c>
      <c r="C2551">
        <v>2</v>
      </c>
      <c r="D2551">
        <v>6</v>
      </c>
      <c r="E2551">
        <v>10</v>
      </c>
      <c r="F2551" t="s">
        <v>546</v>
      </c>
      <c r="G2551" t="s">
        <v>857</v>
      </c>
      <c r="H2551" s="6" t="s">
        <v>1071</v>
      </c>
      <c r="I2551">
        <f t="shared" si="156"/>
        <v>120</v>
      </c>
      <c r="J2551">
        <f t="shared" si="155"/>
        <v>54.431084400000003</v>
      </c>
      <c r="K2551">
        <v>0.47</v>
      </c>
      <c r="L2551">
        <f t="shared" si="157"/>
        <v>25.582609668</v>
      </c>
    </row>
    <row r="2552" spans="1:12" x14ac:dyDescent="0.2">
      <c r="A2552" s="4">
        <v>43483</v>
      </c>
      <c r="B2552" t="s">
        <v>538</v>
      </c>
      <c r="C2552">
        <v>2</v>
      </c>
      <c r="D2552">
        <v>6</v>
      </c>
      <c r="E2552">
        <v>10</v>
      </c>
      <c r="F2552" t="s">
        <v>432</v>
      </c>
      <c r="G2552" t="s">
        <v>857</v>
      </c>
      <c r="H2552" s="6" t="s">
        <v>1071</v>
      </c>
      <c r="I2552">
        <f t="shared" si="156"/>
        <v>120</v>
      </c>
      <c r="J2552">
        <f t="shared" si="155"/>
        <v>54.431084400000003</v>
      </c>
      <c r="K2552">
        <v>0.47</v>
      </c>
      <c r="L2552">
        <f t="shared" si="157"/>
        <v>25.582609668</v>
      </c>
    </row>
    <row r="2553" spans="1:12" x14ac:dyDescent="0.2">
      <c r="A2553" s="4">
        <v>43483</v>
      </c>
      <c r="B2553" t="s">
        <v>538</v>
      </c>
      <c r="C2553">
        <v>3</v>
      </c>
      <c r="D2553">
        <v>6</v>
      </c>
      <c r="E2553">
        <v>10</v>
      </c>
      <c r="F2553" t="s">
        <v>546</v>
      </c>
      <c r="G2553" t="s">
        <v>857</v>
      </c>
      <c r="H2553" s="6" t="s">
        <v>1071</v>
      </c>
      <c r="I2553">
        <f t="shared" si="156"/>
        <v>180</v>
      </c>
      <c r="J2553">
        <f t="shared" si="155"/>
        <v>81.646626600000005</v>
      </c>
      <c r="K2553">
        <v>0.47</v>
      </c>
      <c r="L2553">
        <f t="shared" si="157"/>
        <v>38.373914501999998</v>
      </c>
    </row>
    <row r="2554" spans="1:12" x14ac:dyDescent="0.2">
      <c r="A2554" s="4">
        <v>43486</v>
      </c>
      <c r="B2554" t="s">
        <v>538</v>
      </c>
      <c r="C2554">
        <v>1</v>
      </c>
      <c r="D2554">
        <v>6</v>
      </c>
      <c r="E2554">
        <v>10</v>
      </c>
      <c r="F2554" t="s">
        <v>544</v>
      </c>
      <c r="G2554" t="s">
        <v>857</v>
      </c>
      <c r="H2554" s="6" t="s">
        <v>1071</v>
      </c>
      <c r="I2554">
        <f t="shared" si="156"/>
        <v>60</v>
      </c>
      <c r="J2554">
        <f t="shared" si="155"/>
        <v>27.215542200000002</v>
      </c>
      <c r="K2554">
        <v>0.47</v>
      </c>
      <c r="L2554">
        <f t="shared" si="157"/>
        <v>12.791304834</v>
      </c>
    </row>
    <row r="2555" spans="1:12" x14ac:dyDescent="0.2">
      <c r="A2555" s="4">
        <v>43486</v>
      </c>
      <c r="B2555" t="s">
        <v>538</v>
      </c>
      <c r="C2555">
        <v>3</v>
      </c>
      <c r="D2555">
        <v>6</v>
      </c>
      <c r="E2555">
        <v>10</v>
      </c>
      <c r="F2555" t="s">
        <v>432</v>
      </c>
      <c r="G2555" t="s">
        <v>857</v>
      </c>
      <c r="H2555" s="6" t="s">
        <v>1071</v>
      </c>
      <c r="I2555">
        <f t="shared" si="156"/>
        <v>180</v>
      </c>
      <c r="J2555">
        <f t="shared" si="155"/>
        <v>81.646626600000005</v>
      </c>
      <c r="K2555">
        <v>0.47</v>
      </c>
      <c r="L2555">
        <f t="shared" si="157"/>
        <v>38.373914501999998</v>
      </c>
    </row>
    <row r="2556" spans="1:12" x14ac:dyDescent="0.2">
      <c r="A2556" s="4">
        <v>43486</v>
      </c>
      <c r="B2556" t="s">
        <v>538</v>
      </c>
      <c r="C2556">
        <v>2</v>
      </c>
      <c r="D2556">
        <v>6</v>
      </c>
      <c r="E2556">
        <v>10</v>
      </c>
      <c r="F2556" t="s">
        <v>546</v>
      </c>
      <c r="G2556" t="s">
        <v>857</v>
      </c>
      <c r="H2556" s="6" t="s">
        <v>1071</v>
      </c>
      <c r="I2556">
        <f t="shared" si="156"/>
        <v>120</v>
      </c>
      <c r="J2556">
        <f t="shared" si="155"/>
        <v>54.431084400000003</v>
      </c>
      <c r="K2556">
        <v>0.47</v>
      </c>
      <c r="L2556">
        <f t="shared" si="157"/>
        <v>25.582609668</v>
      </c>
    </row>
    <row r="2557" spans="1:12" x14ac:dyDescent="0.2">
      <c r="A2557" s="4">
        <v>43488</v>
      </c>
      <c r="B2557" t="s">
        <v>538</v>
      </c>
      <c r="C2557">
        <v>4</v>
      </c>
      <c r="D2557">
        <v>6</v>
      </c>
      <c r="E2557">
        <v>10</v>
      </c>
      <c r="F2557" t="s">
        <v>432</v>
      </c>
      <c r="G2557" t="s">
        <v>857</v>
      </c>
      <c r="H2557" s="6" t="s">
        <v>1071</v>
      </c>
      <c r="I2557">
        <f t="shared" si="156"/>
        <v>240</v>
      </c>
      <c r="J2557">
        <f t="shared" si="155"/>
        <v>108.86216880000001</v>
      </c>
      <c r="K2557">
        <v>0.47</v>
      </c>
      <c r="L2557">
        <f t="shared" si="157"/>
        <v>51.165219336</v>
      </c>
    </row>
    <row r="2558" spans="1:12" x14ac:dyDescent="0.2">
      <c r="A2558" s="4">
        <v>43488</v>
      </c>
      <c r="B2558" t="s">
        <v>538</v>
      </c>
      <c r="C2558">
        <v>1</v>
      </c>
      <c r="D2558">
        <v>6</v>
      </c>
      <c r="E2558">
        <v>10</v>
      </c>
      <c r="F2558" t="s">
        <v>574</v>
      </c>
      <c r="G2558" t="s">
        <v>857</v>
      </c>
      <c r="H2558" s="6" t="s">
        <v>1071</v>
      </c>
      <c r="I2558">
        <f t="shared" si="156"/>
        <v>60</v>
      </c>
      <c r="J2558">
        <f t="shared" si="155"/>
        <v>27.215542200000002</v>
      </c>
      <c r="K2558">
        <v>0.47</v>
      </c>
      <c r="L2558">
        <f t="shared" si="157"/>
        <v>12.791304834</v>
      </c>
    </row>
    <row r="2559" spans="1:12" x14ac:dyDescent="0.2">
      <c r="A2559" s="4">
        <v>43483</v>
      </c>
      <c r="B2559" t="s">
        <v>531</v>
      </c>
      <c r="C2559">
        <v>1</v>
      </c>
      <c r="D2559">
        <v>24</v>
      </c>
      <c r="E2559">
        <f>12*0.661387</f>
        <v>7.9366439999999994</v>
      </c>
      <c r="F2559" t="s">
        <v>408</v>
      </c>
      <c r="G2559" t="s">
        <v>855</v>
      </c>
      <c r="H2559" s="6" t="s">
        <v>1071</v>
      </c>
      <c r="I2559">
        <f t="shared" si="156"/>
        <v>190.47945599999997</v>
      </c>
      <c r="J2559">
        <f t="shared" si="155"/>
        <v>86.400027883350702</v>
      </c>
      <c r="K2559">
        <v>1.28</v>
      </c>
      <c r="L2559">
        <f t="shared" si="157"/>
        <v>110.5920356906889</v>
      </c>
    </row>
    <row r="2560" spans="1:12" x14ac:dyDescent="0.2">
      <c r="A2560" s="4">
        <v>43486</v>
      </c>
      <c r="B2560" t="s">
        <v>531</v>
      </c>
      <c r="C2560">
        <v>1</v>
      </c>
      <c r="D2560">
        <v>12</v>
      </c>
      <c r="E2560">
        <f>60*0.661387</f>
        <v>39.683219999999999</v>
      </c>
      <c r="F2560" t="s">
        <v>534</v>
      </c>
      <c r="G2560" t="s">
        <v>892</v>
      </c>
      <c r="H2560" s="6" t="s">
        <v>1071</v>
      </c>
      <c r="I2560">
        <f t="shared" si="156"/>
        <v>476.19863999999995</v>
      </c>
      <c r="J2560">
        <f t="shared" si="155"/>
        <v>216.00006970837677</v>
      </c>
      <c r="K2560">
        <v>1.28</v>
      </c>
      <c r="L2560">
        <f t="shared" si="157"/>
        <v>276.48008922672227</v>
      </c>
    </row>
    <row r="2561" spans="1:12" x14ac:dyDescent="0.2">
      <c r="A2561" s="4">
        <v>43486</v>
      </c>
      <c r="B2561" t="s">
        <v>531</v>
      </c>
      <c r="C2561">
        <v>1</v>
      </c>
      <c r="D2561">
        <v>24</v>
      </c>
      <c r="E2561">
        <f>12*0.0661387</f>
        <v>0.79366439999999994</v>
      </c>
      <c r="F2561" t="s">
        <v>408</v>
      </c>
      <c r="G2561" t="s">
        <v>913</v>
      </c>
      <c r="H2561" s="6" t="s">
        <v>1071</v>
      </c>
      <c r="I2561">
        <f t="shared" si="156"/>
        <v>19.047945599999998</v>
      </c>
      <c r="J2561">
        <f t="shared" si="155"/>
        <v>8.6400027883350727</v>
      </c>
      <c r="K2561">
        <v>1.28</v>
      </c>
      <c r="L2561">
        <f t="shared" si="157"/>
        <v>11.059203569068893</v>
      </c>
    </row>
    <row r="2562" spans="1:12" x14ac:dyDescent="0.2">
      <c r="A2562" s="4">
        <v>43489</v>
      </c>
      <c r="B2562" t="s">
        <v>201</v>
      </c>
      <c r="C2562" s="6">
        <v>1</v>
      </c>
      <c r="D2562" s="6">
        <v>1</v>
      </c>
      <c r="E2562">
        <v>60</v>
      </c>
      <c r="F2562" s="9" t="s">
        <v>616</v>
      </c>
      <c r="G2562" s="9" t="s">
        <v>959</v>
      </c>
      <c r="H2562" s="6" t="s">
        <v>1072</v>
      </c>
      <c r="I2562">
        <f t="shared" si="156"/>
        <v>60</v>
      </c>
      <c r="J2562">
        <f t="shared" si="155"/>
        <v>27.215542200000002</v>
      </c>
      <c r="K2562">
        <v>5.7169999999999996</v>
      </c>
      <c r="L2562">
        <f t="shared" si="157"/>
        <v>155.59125475740001</v>
      </c>
    </row>
    <row r="2563" spans="1:12" x14ac:dyDescent="0.2">
      <c r="A2563" s="4">
        <v>43486</v>
      </c>
      <c r="B2563" t="s">
        <v>538</v>
      </c>
      <c r="C2563">
        <v>2</v>
      </c>
      <c r="D2563">
        <v>6</v>
      </c>
      <c r="E2563">
        <f>66.5/16</f>
        <v>4.15625</v>
      </c>
      <c r="F2563" t="s">
        <v>427</v>
      </c>
      <c r="G2563" t="s">
        <v>862</v>
      </c>
      <c r="H2563" s="6" t="s">
        <v>1072</v>
      </c>
      <c r="I2563">
        <f t="shared" si="156"/>
        <v>49.875</v>
      </c>
      <c r="J2563">
        <f t="shared" ref="J2563:J2626" si="158">CONVERT(I2563,"lbm","kg")</f>
        <v>22.622919453750001</v>
      </c>
      <c r="K2563">
        <v>2.1480000000000001</v>
      </c>
      <c r="L2563">
        <f t="shared" si="157"/>
        <v>48.594030986655007</v>
      </c>
    </row>
    <row r="2564" spans="1:12" x14ac:dyDescent="0.2">
      <c r="A2564" s="4">
        <v>43484</v>
      </c>
      <c r="B2564" t="s">
        <v>525</v>
      </c>
      <c r="C2564">
        <v>2</v>
      </c>
      <c r="D2564">
        <v>1</v>
      </c>
      <c r="E2564">
        <v>11</v>
      </c>
      <c r="F2564" t="s">
        <v>671</v>
      </c>
      <c r="G2564" t="s">
        <v>966</v>
      </c>
      <c r="H2564" s="6" t="s">
        <v>1072</v>
      </c>
      <c r="I2564">
        <f t="shared" si="156"/>
        <v>22</v>
      </c>
      <c r="J2564">
        <f t="shared" si="158"/>
        <v>9.979032140000001</v>
      </c>
      <c r="K2564">
        <v>2.5710000000000002</v>
      </c>
      <c r="L2564">
        <f t="shared" si="157"/>
        <v>25.656091631940004</v>
      </c>
    </row>
    <row r="2565" spans="1:12" x14ac:dyDescent="0.2">
      <c r="A2565" s="4">
        <v>43483</v>
      </c>
      <c r="B2565" t="s">
        <v>530</v>
      </c>
      <c r="C2565">
        <v>6</v>
      </c>
      <c r="D2565">
        <v>160</v>
      </c>
      <c r="E2565">
        <v>1</v>
      </c>
      <c r="F2565" t="s">
        <v>569</v>
      </c>
      <c r="G2565" t="s">
        <v>852</v>
      </c>
      <c r="H2565" s="6" t="s">
        <v>1072</v>
      </c>
      <c r="I2565">
        <f t="shared" si="156"/>
        <v>960</v>
      </c>
      <c r="J2565">
        <f t="shared" si="158"/>
        <v>435.44867520000003</v>
      </c>
      <c r="K2565">
        <v>2.5710000000000002</v>
      </c>
      <c r="L2565">
        <f t="shared" si="157"/>
        <v>1119.5385439392001</v>
      </c>
    </row>
    <row r="2566" spans="1:12" x14ac:dyDescent="0.2">
      <c r="A2566" s="4">
        <v>43483</v>
      </c>
      <c r="B2566" t="s">
        <v>530</v>
      </c>
      <c r="C2566">
        <v>5</v>
      </c>
      <c r="D2566">
        <v>2</v>
      </c>
      <c r="E2566">
        <v>6</v>
      </c>
      <c r="F2566" t="s">
        <v>402</v>
      </c>
      <c r="G2566" t="s">
        <v>966</v>
      </c>
      <c r="H2566" s="6" t="s">
        <v>1072</v>
      </c>
      <c r="I2566">
        <f t="shared" si="156"/>
        <v>60</v>
      </c>
      <c r="J2566">
        <f t="shared" si="158"/>
        <v>27.215542200000002</v>
      </c>
      <c r="K2566">
        <v>2.5710000000000002</v>
      </c>
      <c r="L2566">
        <f t="shared" si="157"/>
        <v>69.971158996200003</v>
      </c>
    </row>
    <row r="2567" spans="1:12" x14ac:dyDescent="0.2">
      <c r="A2567" s="4">
        <v>43488</v>
      </c>
      <c r="B2567" t="s">
        <v>530</v>
      </c>
      <c r="C2567">
        <v>3</v>
      </c>
      <c r="D2567">
        <v>2</v>
      </c>
      <c r="E2567">
        <v>6</v>
      </c>
      <c r="F2567" t="s">
        <v>402</v>
      </c>
      <c r="G2567" t="s">
        <v>966</v>
      </c>
      <c r="H2567" s="6" t="s">
        <v>1072</v>
      </c>
      <c r="I2567">
        <f t="shared" si="156"/>
        <v>36</v>
      </c>
      <c r="J2567">
        <f t="shared" si="158"/>
        <v>16.329325319999999</v>
      </c>
      <c r="K2567">
        <v>2.5710000000000002</v>
      </c>
      <c r="L2567">
        <f t="shared" si="157"/>
        <v>41.982695397720001</v>
      </c>
    </row>
    <row r="2568" spans="1:12" x14ac:dyDescent="0.2">
      <c r="A2568" s="4">
        <v>43483</v>
      </c>
      <c r="B2568" t="s">
        <v>538</v>
      </c>
      <c r="C2568">
        <v>1</v>
      </c>
      <c r="D2568">
        <v>2</v>
      </c>
      <c r="E2568">
        <f>22.0462/2</f>
        <v>11.023099999999999</v>
      </c>
      <c r="F2568" t="s">
        <v>667</v>
      </c>
      <c r="G2568" t="s">
        <v>872</v>
      </c>
      <c r="H2568" s="6" t="s">
        <v>1071</v>
      </c>
      <c r="I2568">
        <f t="shared" si="156"/>
        <v>22.046199999999999</v>
      </c>
      <c r="J2568">
        <f t="shared" si="158"/>
        <v>9.9999881074940014</v>
      </c>
      <c r="K2568">
        <v>0.34</v>
      </c>
      <c r="L2568">
        <f t="shared" si="157"/>
        <v>3.3999959565479605</v>
      </c>
    </row>
    <row r="2569" spans="1:12" x14ac:dyDescent="0.2">
      <c r="A2569" s="4">
        <v>43486</v>
      </c>
      <c r="B2569" t="s">
        <v>538</v>
      </c>
      <c r="C2569">
        <v>1</v>
      </c>
      <c r="D2569">
        <v>4</v>
      </c>
      <c r="E2569">
        <v>8.41</v>
      </c>
      <c r="F2569" t="s">
        <v>558</v>
      </c>
      <c r="G2569" t="s">
        <v>872</v>
      </c>
      <c r="H2569" s="6" t="s">
        <v>1071</v>
      </c>
      <c r="I2569">
        <f t="shared" si="156"/>
        <v>33.64</v>
      </c>
      <c r="J2569">
        <f t="shared" si="158"/>
        <v>15.258847326800002</v>
      </c>
      <c r="K2569">
        <v>0.34</v>
      </c>
      <c r="L2569">
        <f t="shared" si="157"/>
        <v>5.1880080911120006</v>
      </c>
    </row>
    <row r="2570" spans="1:12" x14ac:dyDescent="0.2">
      <c r="A2570" s="4">
        <v>43483</v>
      </c>
      <c r="B2570" t="s">
        <v>538</v>
      </c>
      <c r="C2570">
        <v>2</v>
      </c>
      <c r="D2570">
        <v>1</v>
      </c>
      <c r="E2570">
        <v>10</v>
      </c>
      <c r="F2570" t="s">
        <v>428</v>
      </c>
      <c r="G2570" t="s">
        <v>985</v>
      </c>
      <c r="H2570" s="6" t="s">
        <v>1071</v>
      </c>
      <c r="I2570">
        <f t="shared" si="156"/>
        <v>20</v>
      </c>
      <c r="J2570">
        <f t="shared" si="158"/>
        <v>9.0718474000000011</v>
      </c>
      <c r="K2570">
        <v>0.34699999999999998</v>
      </c>
      <c r="L2570">
        <f t="shared" si="157"/>
        <v>3.1479310478000002</v>
      </c>
    </row>
    <row r="2571" spans="1:12" x14ac:dyDescent="0.2">
      <c r="A2571" s="4">
        <v>43486</v>
      </c>
      <c r="B2571" t="s">
        <v>538</v>
      </c>
      <c r="C2571">
        <v>1</v>
      </c>
      <c r="D2571">
        <v>6</v>
      </c>
      <c r="E2571">
        <v>1.5</v>
      </c>
      <c r="F2571" t="s">
        <v>678</v>
      </c>
      <c r="G2571" t="s">
        <v>985</v>
      </c>
      <c r="H2571" s="6" t="s">
        <v>1071</v>
      </c>
      <c r="I2571">
        <f t="shared" si="156"/>
        <v>9</v>
      </c>
      <c r="J2571">
        <f t="shared" si="158"/>
        <v>4.0823313299999997</v>
      </c>
      <c r="K2571">
        <v>0.34699999999999998</v>
      </c>
      <c r="L2571">
        <f t="shared" si="157"/>
        <v>1.4165689715099998</v>
      </c>
    </row>
    <row r="2572" spans="1:12" x14ac:dyDescent="0.2">
      <c r="A2572" s="4">
        <v>43486</v>
      </c>
      <c r="B2572" t="s">
        <v>538</v>
      </c>
      <c r="C2572">
        <v>2</v>
      </c>
      <c r="D2572">
        <v>1</v>
      </c>
      <c r="E2572">
        <v>10</v>
      </c>
      <c r="F2572" t="s">
        <v>428</v>
      </c>
      <c r="G2572" t="s">
        <v>985</v>
      </c>
      <c r="H2572" s="6" t="s">
        <v>1071</v>
      </c>
      <c r="I2572">
        <f t="shared" si="156"/>
        <v>20</v>
      </c>
      <c r="J2572">
        <f t="shared" si="158"/>
        <v>9.0718474000000011</v>
      </c>
      <c r="K2572">
        <v>0.34699999999999998</v>
      </c>
      <c r="L2572">
        <f t="shared" si="157"/>
        <v>3.1479310478000002</v>
      </c>
    </row>
    <row r="2573" spans="1:12" x14ac:dyDescent="0.2">
      <c r="A2573" s="4">
        <v>43486</v>
      </c>
      <c r="B2573" t="s">
        <v>538</v>
      </c>
      <c r="C2573">
        <v>3</v>
      </c>
      <c r="D2573">
        <v>6</v>
      </c>
      <c r="E2573">
        <v>2</v>
      </c>
      <c r="F2573" t="s">
        <v>421</v>
      </c>
      <c r="G2573" t="s">
        <v>985</v>
      </c>
      <c r="H2573" s="6" t="s">
        <v>1071</v>
      </c>
      <c r="I2573">
        <f t="shared" ref="I2573:I2636" si="159">C2573*D2573*E2573</f>
        <v>36</v>
      </c>
      <c r="J2573">
        <f t="shared" si="158"/>
        <v>16.329325319999999</v>
      </c>
      <c r="K2573">
        <v>0.34699999999999998</v>
      </c>
      <c r="L2573">
        <f t="shared" si="157"/>
        <v>5.6662758860399993</v>
      </c>
    </row>
    <row r="2574" spans="1:12" x14ac:dyDescent="0.2">
      <c r="A2574" s="4">
        <v>43483</v>
      </c>
      <c r="B2574" t="s">
        <v>38</v>
      </c>
      <c r="C2574">
        <v>12</v>
      </c>
      <c r="D2574" s="6">
        <v>1</v>
      </c>
      <c r="E2574">
        <v>1.06</v>
      </c>
      <c r="F2574" s="9" t="s">
        <v>614</v>
      </c>
      <c r="G2574" s="9" t="s">
        <v>958</v>
      </c>
      <c r="H2574" s="6" t="s">
        <v>1073</v>
      </c>
      <c r="I2574">
        <f t="shared" si="159"/>
        <v>12.72</v>
      </c>
      <c r="J2574">
        <f t="shared" si="158"/>
        <v>5.7696949464000014</v>
      </c>
      <c r="K2574">
        <v>5.32</v>
      </c>
      <c r="L2574">
        <f t="shared" si="157"/>
        <v>30.694777114848009</v>
      </c>
    </row>
    <row r="2575" spans="1:12" x14ac:dyDescent="0.2">
      <c r="A2575" s="4">
        <v>43486</v>
      </c>
      <c r="B2575" t="s">
        <v>538</v>
      </c>
      <c r="C2575">
        <v>1</v>
      </c>
      <c r="D2575">
        <v>4</v>
      </c>
      <c r="E2575">
        <v>8.41</v>
      </c>
      <c r="F2575" t="s">
        <v>578</v>
      </c>
      <c r="G2575" t="s">
        <v>873</v>
      </c>
      <c r="H2575" s="6" t="s">
        <v>1071</v>
      </c>
      <c r="I2575">
        <f t="shared" si="159"/>
        <v>33.64</v>
      </c>
      <c r="J2575">
        <f t="shared" si="158"/>
        <v>15.258847326800002</v>
      </c>
      <c r="K2575">
        <v>0.78</v>
      </c>
      <c r="L2575">
        <f t="shared" si="157"/>
        <v>11.901900914904001</v>
      </c>
    </row>
    <row r="2576" spans="1:12" x14ac:dyDescent="0.2">
      <c r="A2576" s="4">
        <v>43483</v>
      </c>
      <c r="B2576" t="s">
        <v>517</v>
      </c>
      <c r="C2576">
        <v>5</v>
      </c>
      <c r="D2576">
        <v>2</v>
      </c>
      <c r="E2576">
        <v>6</v>
      </c>
      <c r="F2576" t="s">
        <v>383</v>
      </c>
      <c r="G2576" t="s">
        <v>846</v>
      </c>
      <c r="H2576" s="6" t="s">
        <v>1073</v>
      </c>
      <c r="I2576">
        <f t="shared" si="159"/>
        <v>60</v>
      </c>
      <c r="J2576">
        <f t="shared" si="158"/>
        <v>27.215542200000002</v>
      </c>
      <c r="K2576">
        <v>1.33</v>
      </c>
      <c r="L2576">
        <f t="shared" si="157"/>
        <v>36.196671126000005</v>
      </c>
    </row>
    <row r="2577" spans="1:12" x14ac:dyDescent="0.2">
      <c r="A2577" s="4">
        <v>43483</v>
      </c>
      <c r="B2577" t="s">
        <v>517</v>
      </c>
      <c r="C2577">
        <v>5</v>
      </c>
      <c r="D2577">
        <v>2</v>
      </c>
      <c r="E2577">
        <v>6</v>
      </c>
      <c r="F2577" t="s">
        <v>384</v>
      </c>
      <c r="G2577" t="s">
        <v>846</v>
      </c>
      <c r="H2577" s="6" t="s">
        <v>1073</v>
      </c>
      <c r="I2577">
        <f t="shared" si="159"/>
        <v>60</v>
      </c>
      <c r="J2577">
        <f t="shared" si="158"/>
        <v>27.215542200000002</v>
      </c>
      <c r="K2577">
        <v>1.33</v>
      </c>
      <c r="L2577">
        <f t="shared" si="157"/>
        <v>36.196671126000005</v>
      </c>
    </row>
    <row r="2578" spans="1:12" x14ac:dyDescent="0.2">
      <c r="A2578" s="4">
        <v>43486</v>
      </c>
      <c r="B2578" t="s">
        <v>517</v>
      </c>
      <c r="C2578">
        <v>5</v>
      </c>
      <c r="D2578">
        <v>2</v>
      </c>
      <c r="E2578">
        <v>6</v>
      </c>
      <c r="F2578" t="s">
        <v>383</v>
      </c>
      <c r="G2578" t="s">
        <v>846</v>
      </c>
      <c r="H2578" s="6" t="s">
        <v>1073</v>
      </c>
      <c r="I2578">
        <f t="shared" si="159"/>
        <v>60</v>
      </c>
      <c r="J2578">
        <f t="shared" si="158"/>
        <v>27.215542200000002</v>
      </c>
      <c r="K2578">
        <v>1.33</v>
      </c>
      <c r="L2578">
        <f t="shared" si="157"/>
        <v>36.196671126000005</v>
      </c>
    </row>
    <row r="2579" spans="1:12" x14ac:dyDescent="0.2">
      <c r="A2579" s="4">
        <v>43486</v>
      </c>
      <c r="B2579" t="s">
        <v>517</v>
      </c>
      <c r="C2579">
        <v>5</v>
      </c>
      <c r="D2579">
        <v>2</v>
      </c>
      <c r="E2579">
        <v>6</v>
      </c>
      <c r="F2579" t="s">
        <v>384</v>
      </c>
      <c r="G2579" t="s">
        <v>846</v>
      </c>
      <c r="H2579" s="6" t="s">
        <v>1073</v>
      </c>
      <c r="I2579">
        <f t="shared" si="159"/>
        <v>60</v>
      </c>
      <c r="J2579">
        <f t="shared" si="158"/>
        <v>27.215542200000002</v>
      </c>
      <c r="K2579">
        <v>1.33</v>
      </c>
      <c r="L2579">
        <f t="shared" si="157"/>
        <v>36.196671126000005</v>
      </c>
    </row>
    <row r="2580" spans="1:12" x14ac:dyDescent="0.2">
      <c r="A2580" s="4">
        <v>43488</v>
      </c>
      <c r="B2580" t="s">
        <v>517</v>
      </c>
      <c r="C2580">
        <v>4</v>
      </c>
      <c r="D2580">
        <v>2</v>
      </c>
      <c r="E2580">
        <v>6</v>
      </c>
      <c r="F2580" t="s">
        <v>383</v>
      </c>
      <c r="G2580" t="s">
        <v>846</v>
      </c>
      <c r="H2580" s="6" t="s">
        <v>1073</v>
      </c>
      <c r="I2580">
        <f t="shared" si="159"/>
        <v>48</v>
      </c>
      <c r="J2580">
        <f t="shared" si="158"/>
        <v>21.772433760000002</v>
      </c>
      <c r="K2580">
        <v>1.33</v>
      </c>
      <c r="L2580">
        <f t="shared" si="157"/>
        <v>28.957336900800005</v>
      </c>
    </row>
    <row r="2581" spans="1:12" ht="17" thickBot="1" x14ac:dyDescent="0.25">
      <c r="A2581" s="26">
        <v>43488</v>
      </c>
      <c r="B2581" s="12" t="s">
        <v>517</v>
      </c>
      <c r="C2581" s="12">
        <v>2</v>
      </c>
      <c r="D2581" s="12">
        <v>2</v>
      </c>
      <c r="E2581" s="12">
        <v>6</v>
      </c>
      <c r="F2581" s="12" t="s">
        <v>384</v>
      </c>
      <c r="G2581" s="12" t="s">
        <v>846</v>
      </c>
      <c r="H2581" s="63" t="s">
        <v>1073</v>
      </c>
      <c r="I2581" s="12">
        <f t="shared" si="159"/>
        <v>24</v>
      </c>
      <c r="J2581" s="12">
        <f t="shared" si="158"/>
        <v>10.886216880000001</v>
      </c>
      <c r="K2581" s="12">
        <v>1.33</v>
      </c>
      <c r="L2581" s="12">
        <f t="shared" ref="L2581" si="160">K2581*J2581</f>
        <v>14.478668450400002</v>
      </c>
    </row>
    <row r="2582" spans="1:12" x14ac:dyDescent="0.2">
      <c r="A2582" s="4">
        <v>43497</v>
      </c>
      <c r="B2582" t="s">
        <v>525</v>
      </c>
      <c r="C2582">
        <v>2</v>
      </c>
      <c r="D2582">
        <v>2</v>
      </c>
      <c r="E2582">
        <v>5</v>
      </c>
      <c r="F2582" t="s">
        <v>398</v>
      </c>
      <c r="G2582" t="s">
        <v>890</v>
      </c>
      <c r="H2582" s="6" t="s">
        <v>1072</v>
      </c>
      <c r="I2582">
        <f t="shared" si="159"/>
        <v>20</v>
      </c>
      <c r="J2582">
        <f t="shared" si="158"/>
        <v>9.0718474000000011</v>
      </c>
      <c r="K2582">
        <f>(0.5*32.846)+(0.5*5.56)</f>
        <v>19.202999999999999</v>
      </c>
      <c r="L2582">
        <f t="shared" ref="L2582:L2645" si="161">J2582*K2582</f>
        <v>174.20668562220001</v>
      </c>
    </row>
    <row r="2583" spans="1:12" x14ac:dyDescent="0.2">
      <c r="A2583" s="4">
        <v>43500</v>
      </c>
      <c r="B2583" t="s">
        <v>525</v>
      </c>
      <c r="C2583">
        <v>1</v>
      </c>
      <c r="D2583">
        <v>2</v>
      </c>
      <c r="E2583">
        <v>5</v>
      </c>
      <c r="F2583" t="s">
        <v>398</v>
      </c>
      <c r="G2583" t="s">
        <v>890</v>
      </c>
      <c r="H2583" t="s">
        <v>1072</v>
      </c>
      <c r="I2583">
        <f t="shared" si="159"/>
        <v>10</v>
      </c>
      <c r="J2583">
        <f t="shared" si="158"/>
        <v>4.5359237000000006</v>
      </c>
      <c r="K2583">
        <f>(0.5*32.846)+(0.5*5.56)</f>
        <v>19.202999999999999</v>
      </c>
      <c r="L2583">
        <f t="shared" si="161"/>
        <v>87.103342811100006</v>
      </c>
    </row>
    <row r="2584" spans="1:12" x14ac:dyDescent="0.2">
      <c r="A2584" s="4">
        <v>43497</v>
      </c>
      <c r="B2584" t="s">
        <v>22</v>
      </c>
      <c r="C2584" s="35">
        <v>1</v>
      </c>
      <c r="D2584" s="35">
        <v>1</v>
      </c>
      <c r="E2584">
        <v>103.5</v>
      </c>
      <c r="F2584" t="s">
        <v>607</v>
      </c>
      <c r="G2584" t="s">
        <v>767</v>
      </c>
      <c r="H2584" t="s">
        <v>1071</v>
      </c>
      <c r="I2584">
        <f t="shared" si="159"/>
        <v>103.5</v>
      </c>
      <c r="J2584">
        <f t="shared" si="158"/>
        <v>46.946810295000006</v>
      </c>
      <c r="K2584">
        <v>0.22800000000000001</v>
      </c>
      <c r="L2584">
        <f t="shared" si="161"/>
        <v>10.703872747260002</v>
      </c>
    </row>
    <row r="2585" spans="1:12" x14ac:dyDescent="0.2">
      <c r="A2585" s="4">
        <v>43497</v>
      </c>
      <c r="B2585" t="s">
        <v>22</v>
      </c>
      <c r="C2585" s="35">
        <v>1</v>
      </c>
      <c r="D2585" s="35">
        <v>1</v>
      </c>
      <c r="E2585">
        <v>120</v>
      </c>
      <c r="F2585" t="s">
        <v>180</v>
      </c>
      <c r="G2585" t="s">
        <v>767</v>
      </c>
      <c r="H2585" t="s">
        <v>1071</v>
      </c>
      <c r="I2585">
        <f t="shared" si="159"/>
        <v>120</v>
      </c>
      <c r="J2585">
        <f t="shared" si="158"/>
        <v>54.431084400000003</v>
      </c>
      <c r="K2585">
        <v>0.22800000000000001</v>
      </c>
      <c r="L2585">
        <f t="shared" si="161"/>
        <v>12.410287243200001</v>
      </c>
    </row>
    <row r="2586" spans="1:12" x14ac:dyDescent="0.2">
      <c r="A2586" s="4">
        <v>43501</v>
      </c>
      <c r="B2586" t="s">
        <v>22</v>
      </c>
      <c r="C2586" s="35">
        <v>1</v>
      </c>
      <c r="D2586" s="35">
        <v>1</v>
      </c>
      <c r="E2586">
        <v>103.5</v>
      </c>
      <c r="F2586" t="s">
        <v>607</v>
      </c>
      <c r="G2586" t="s">
        <v>767</v>
      </c>
      <c r="H2586" t="s">
        <v>1071</v>
      </c>
      <c r="I2586">
        <f t="shared" si="159"/>
        <v>103.5</v>
      </c>
      <c r="J2586">
        <f t="shared" si="158"/>
        <v>46.946810295000006</v>
      </c>
      <c r="K2586">
        <v>0.22800000000000001</v>
      </c>
      <c r="L2586">
        <f t="shared" si="161"/>
        <v>10.703872747260002</v>
      </c>
    </row>
    <row r="2587" spans="1:12" x14ac:dyDescent="0.2">
      <c r="A2587" s="4">
        <v>43501</v>
      </c>
      <c r="B2587" t="s">
        <v>22</v>
      </c>
      <c r="C2587" s="35">
        <v>1</v>
      </c>
      <c r="D2587" s="35">
        <v>1</v>
      </c>
      <c r="E2587">
        <v>120</v>
      </c>
      <c r="F2587" t="s">
        <v>180</v>
      </c>
      <c r="G2587" t="s">
        <v>767</v>
      </c>
      <c r="H2587" t="s">
        <v>1071</v>
      </c>
      <c r="I2587">
        <f t="shared" si="159"/>
        <v>120</v>
      </c>
      <c r="J2587">
        <f t="shared" si="158"/>
        <v>54.431084400000003</v>
      </c>
      <c r="K2587">
        <v>0.22800000000000001</v>
      </c>
      <c r="L2587">
        <f t="shared" si="161"/>
        <v>12.410287243200001</v>
      </c>
    </row>
    <row r="2588" spans="1:12" x14ac:dyDescent="0.2">
      <c r="A2588" s="4">
        <v>43500</v>
      </c>
      <c r="B2588" t="s">
        <v>48</v>
      </c>
      <c r="C2588" s="28">
        <v>1</v>
      </c>
      <c r="D2588" s="35">
        <v>1</v>
      </c>
      <c r="E2588">
        <f>125*(1/3)</f>
        <v>41.666666666666664</v>
      </c>
      <c r="F2588" t="s">
        <v>476</v>
      </c>
      <c r="G2588" t="s">
        <v>835</v>
      </c>
      <c r="H2588" t="s">
        <v>1071</v>
      </c>
      <c r="I2588">
        <f t="shared" si="159"/>
        <v>41.666666666666664</v>
      </c>
      <c r="J2588">
        <f t="shared" si="158"/>
        <v>18.899682083333335</v>
      </c>
      <c r="K2588">
        <v>0.22800000000000001</v>
      </c>
      <c r="L2588">
        <f t="shared" si="161"/>
        <v>4.309127515000001</v>
      </c>
    </row>
    <row r="2589" spans="1:12" x14ac:dyDescent="0.2">
      <c r="A2589" s="4">
        <v>43497</v>
      </c>
      <c r="B2589" t="s">
        <v>538</v>
      </c>
      <c r="C2589">
        <v>1</v>
      </c>
      <c r="D2589">
        <v>6</v>
      </c>
      <c r="E2589">
        <v>6.6138700000000004</v>
      </c>
      <c r="F2589" t="s">
        <v>447</v>
      </c>
      <c r="G2589" t="s">
        <v>1052</v>
      </c>
      <c r="H2589" t="s">
        <v>1071</v>
      </c>
      <c r="I2589">
        <f t="shared" si="159"/>
        <v>39.683220000000006</v>
      </c>
      <c r="J2589">
        <f t="shared" si="158"/>
        <v>18.000005809031403</v>
      </c>
      <c r="K2589">
        <v>0.84599999999999997</v>
      </c>
      <c r="L2589">
        <f t="shared" si="161"/>
        <v>15.228004914440566</v>
      </c>
    </row>
    <row r="2590" spans="1:12" x14ac:dyDescent="0.2">
      <c r="A2590" s="4">
        <v>43497</v>
      </c>
      <c r="B2590" t="s">
        <v>48</v>
      </c>
      <c r="C2590" s="28">
        <v>8</v>
      </c>
      <c r="D2590" s="35">
        <v>1</v>
      </c>
      <c r="E2590">
        <v>11</v>
      </c>
      <c r="F2590" t="s">
        <v>337</v>
      </c>
      <c r="G2590" t="s">
        <v>816</v>
      </c>
      <c r="H2590" t="s">
        <v>1071</v>
      </c>
      <c r="I2590">
        <f t="shared" si="159"/>
        <v>88</v>
      </c>
      <c r="J2590">
        <f t="shared" si="158"/>
        <v>39.916128560000004</v>
      </c>
      <c r="K2590">
        <v>2.1709999999999998</v>
      </c>
      <c r="L2590">
        <f t="shared" si="161"/>
        <v>86.657915103760004</v>
      </c>
    </row>
    <row r="2591" spans="1:12" x14ac:dyDescent="0.2">
      <c r="A2591" s="4">
        <v>43497</v>
      </c>
      <c r="B2591" t="s">
        <v>531</v>
      </c>
      <c r="C2591">
        <v>5</v>
      </c>
      <c r="D2591">
        <v>4</v>
      </c>
      <c r="E2591">
        <v>6</v>
      </c>
      <c r="F2591" t="s">
        <v>537</v>
      </c>
      <c r="G2591" t="s">
        <v>858</v>
      </c>
      <c r="H2591" t="s">
        <v>1071</v>
      </c>
      <c r="I2591">
        <f t="shared" si="159"/>
        <v>120</v>
      </c>
      <c r="J2591">
        <f t="shared" si="158"/>
        <v>54.431084400000003</v>
      </c>
      <c r="K2591">
        <v>0.374</v>
      </c>
      <c r="L2591">
        <f t="shared" si="161"/>
        <v>20.3572255656</v>
      </c>
    </row>
    <row r="2592" spans="1:12" x14ac:dyDescent="0.2">
      <c r="A2592" s="4">
        <v>43503</v>
      </c>
      <c r="B2592" t="s">
        <v>48</v>
      </c>
      <c r="C2592" s="28">
        <v>3</v>
      </c>
      <c r="D2592" s="35">
        <v>1</v>
      </c>
      <c r="E2592">
        <v>40</v>
      </c>
      <c r="F2592" t="s">
        <v>249</v>
      </c>
      <c r="G2592" t="s">
        <v>783</v>
      </c>
      <c r="H2592" t="s">
        <v>1071</v>
      </c>
      <c r="I2592">
        <f t="shared" si="159"/>
        <v>120</v>
      </c>
      <c r="J2592">
        <f t="shared" si="158"/>
        <v>54.431084400000003</v>
      </c>
      <c r="K2592">
        <v>0.374</v>
      </c>
      <c r="L2592">
        <f t="shared" si="161"/>
        <v>20.3572255656</v>
      </c>
    </row>
    <row r="2593" spans="1:12" x14ac:dyDescent="0.2">
      <c r="A2593" s="4">
        <v>43502</v>
      </c>
      <c r="B2593" t="s">
        <v>48</v>
      </c>
      <c r="C2593" s="28">
        <v>4</v>
      </c>
      <c r="D2593" s="35">
        <v>1</v>
      </c>
      <c r="E2593">
        <v>40</v>
      </c>
      <c r="F2593" t="s">
        <v>249</v>
      </c>
      <c r="G2593" t="s">
        <v>783</v>
      </c>
      <c r="H2593" t="s">
        <v>1071</v>
      </c>
      <c r="I2593">
        <f t="shared" si="159"/>
        <v>160</v>
      </c>
      <c r="J2593">
        <f t="shared" si="158"/>
        <v>72.574779200000009</v>
      </c>
      <c r="K2593">
        <v>0.374</v>
      </c>
      <c r="L2593">
        <f t="shared" si="161"/>
        <v>27.142967420800002</v>
      </c>
    </row>
    <row r="2594" spans="1:12" x14ac:dyDescent="0.2">
      <c r="A2594" s="4">
        <v>43501</v>
      </c>
      <c r="B2594" t="s">
        <v>48</v>
      </c>
      <c r="C2594" s="28">
        <v>2</v>
      </c>
      <c r="D2594" s="35">
        <v>1</v>
      </c>
      <c r="E2594">
        <v>40</v>
      </c>
      <c r="F2594" t="s">
        <v>249</v>
      </c>
      <c r="G2594" t="s">
        <v>783</v>
      </c>
      <c r="H2594" t="s">
        <v>1071</v>
      </c>
      <c r="I2594">
        <f t="shared" si="159"/>
        <v>80</v>
      </c>
      <c r="J2594">
        <f t="shared" si="158"/>
        <v>36.287389600000004</v>
      </c>
      <c r="K2594">
        <v>0.374</v>
      </c>
      <c r="L2594">
        <f t="shared" si="161"/>
        <v>13.571483710400001</v>
      </c>
    </row>
    <row r="2595" spans="1:12" x14ac:dyDescent="0.2">
      <c r="A2595" s="4">
        <v>43500</v>
      </c>
      <c r="B2595" t="s">
        <v>48</v>
      </c>
      <c r="C2595" s="28">
        <v>5</v>
      </c>
      <c r="D2595" s="35">
        <v>1</v>
      </c>
      <c r="E2595">
        <v>40</v>
      </c>
      <c r="F2595" t="s">
        <v>249</v>
      </c>
      <c r="G2595" t="s">
        <v>783</v>
      </c>
      <c r="H2595" t="s">
        <v>1071</v>
      </c>
      <c r="I2595">
        <f t="shared" si="159"/>
        <v>200</v>
      </c>
      <c r="J2595">
        <f t="shared" si="158"/>
        <v>90.718474000000001</v>
      </c>
      <c r="K2595">
        <v>0.374</v>
      </c>
      <c r="L2595">
        <f t="shared" si="161"/>
        <v>33.928709275999999</v>
      </c>
    </row>
    <row r="2596" spans="1:12" x14ac:dyDescent="0.2">
      <c r="A2596" s="4">
        <v>43498</v>
      </c>
      <c r="B2596" t="s">
        <v>48</v>
      </c>
      <c r="C2596" s="28">
        <v>6</v>
      </c>
      <c r="D2596" s="35">
        <v>1</v>
      </c>
      <c r="E2596">
        <v>40</v>
      </c>
      <c r="F2596" t="s">
        <v>249</v>
      </c>
      <c r="G2596" t="s">
        <v>783</v>
      </c>
      <c r="H2596" t="s">
        <v>1071</v>
      </c>
      <c r="I2596">
        <f t="shared" si="159"/>
        <v>240</v>
      </c>
      <c r="J2596">
        <f t="shared" si="158"/>
        <v>108.86216880000001</v>
      </c>
      <c r="K2596">
        <v>0.374</v>
      </c>
      <c r="L2596">
        <f t="shared" si="161"/>
        <v>40.714451131200001</v>
      </c>
    </row>
    <row r="2597" spans="1:12" x14ac:dyDescent="0.2">
      <c r="A2597" s="4">
        <v>43497</v>
      </c>
      <c r="B2597" t="s">
        <v>48</v>
      </c>
      <c r="C2597" s="28">
        <v>8</v>
      </c>
      <c r="D2597" s="35">
        <v>1</v>
      </c>
      <c r="E2597">
        <v>40</v>
      </c>
      <c r="F2597" t="s">
        <v>249</v>
      </c>
      <c r="G2597" t="s">
        <v>783</v>
      </c>
      <c r="H2597" t="s">
        <v>1071</v>
      </c>
      <c r="I2597">
        <f t="shared" si="159"/>
        <v>320</v>
      </c>
      <c r="J2597">
        <f t="shared" si="158"/>
        <v>145.14955840000002</v>
      </c>
      <c r="K2597">
        <v>0.374</v>
      </c>
      <c r="L2597">
        <f t="shared" si="161"/>
        <v>54.285934841600003</v>
      </c>
    </row>
    <row r="2598" spans="1:12" x14ac:dyDescent="0.2">
      <c r="A2598" s="4">
        <v>43498</v>
      </c>
      <c r="B2598" t="s">
        <v>48</v>
      </c>
      <c r="C2598" s="28">
        <v>6</v>
      </c>
      <c r="D2598" s="35">
        <v>1</v>
      </c>
      <c r="E2598">
        <v>40</v>
      </c>
      <c r="F2598" t="s">
        <v>505</v>
      </c>
      <c r="G2598" t="s">
        <v>81</v>
      </c>
      <c r="H2598" t="s">
        <v>1071</v>
      </c>
      <c r="I2598">
        <f t="shared" si="159"/>
        <v>240</v>
      </c>
      <c r="J2598">
        <f t="shared" si="158"/>
        <v>108.86216880000001</v>
      </c>
      <c r="K2598">
        <v>0.374</v>
      </c>
      <c r="L2598">
        <f t="shared" si="161"/>
        <v>40.714451131200001</v>
      </c>
    </row>
    <row r="2599" spans="1:12" x14ac:dyDescent="0.2">
      <c r="A2599" s="4">
        <v>43497</v>
      </c>
      <c r="B2599" t="s">
        <v>538</v>
      </c>
      <c r="C2599">
        <v>2</v>
      </c>
      <c r="D2599">
        <v>6</v>
      </c>
      <c r="E2599">
        <v>10</v>
      </c>
      <c r="F2599" t="s">
        <v>420</v>
      </c>
      <c r="G2599" t="s">
        <v>898</v>
      </c>
      <c r="H2599" t="s">
        <v>1071</v>
      </c>
      <c r="I2599">
        <f t="shared" si="159"/>
        <v>120</v>
      </c>
      <c r="J2599">
        <f t="shared" si="158"/>
        <v>54.431084400000003</v>
      </c>
      <c r="K2599">
        <v>0.308</v>
      </c>
      <c r="L2599">
        <f t="shared" si="161"/>
        <v>16.764773995200002</v>
      </c>
    </row>
    <row r="2600" spans="1:12" x14ac:dyDescent="0.2">
      <c r="A2600" s="4">
        <v>43500</v>
      </c>
      <c r="B2600" t="s">
        <v>538</v>
      </c>
      <c r="C2600">
        <v>2</v>
      </c>
      <c r="D2600">
        <v>6</v>
      </c>
      <c r="E2600">
        <v>10</v>
      </c>
      <c r="F2600" t="s">
        <v>420</v>
      </c>
      <c r="G2600" t="s">
        <v>979</v>
      </c>
      <c r="H2600" t="s">
        <v>1071</v>
      </c>
      <c r="I2600">
        <f t="shared" si="159"/>
        <v>120</v>
      </c>
      <c r="J2600">
        <f t="shared" si="158"/>
        <v>54.431084400000003</v>
      </c>
      <c r="K2600">
        <v>0.308</v>
      </c>
      <c r="L2600">
        <f t="shared" si="161"/>
        <v>16.764773995200002</v>
      </c>
    </row>
    <row r="2601" spans="1:12" x14ac:dyDescent="0.2">
      <c r="A2601" s="4">
        <v>43497</v>
      </c>
      <c r="B2601" t="s">
        <v>538</v>
      </c>
      <c r="C2601">
        <v>2</v>
      </c>
      <c r="D2601">
        <v>1</v>
      </c>
      <c r="E2601">
        <v>20</v>
      </c>
      <c r="F2601" t="s">
        <v>437</v>
      </c>
      <c r="G2601" t="s">
        <v>935</v>
      </c>
      <c r="H2601" t="s">
        <v>1071</v>
      </c>
      <c r="I2601">
        <f t="shared" si="159"/>
        <v>40</v>
      </c>
      <c r="J2601">
        <f t="shared" si="158"/>
        <v>18.143694800000002</v>
      </c>
      <c r="K2601">
        <v>0.308</v>
      </c>
      <c r="L2601">
        <f t="shared" si="161"/>
        <v>5.5882579984000005</v>
      </c>
    </row>
    <row r="2602" spans="1:12" x14ac:dyDescent="0.2">
      <c r="A2602" s="4">
        <v>43497</v>
      </c>
      <c r="B2602" t="s">
        <v>538</v>
      </c>
      <c r="C2602">
        <v>1</v>
      </c>
      <c r="D2602">
        <v>1</v>
      </c>
      <c r="E2602">
        <v>20</v>
      </c>
      <c r="F2602" t="s">
        <v>658</v>
      </c>
      <c r="G2602" t="s">
        <v>922</v>
      </c>
      <c r="H2602" t="s">
        <v>1071</v>
      </c>
      <c r="I2602">
        <f t="shared" si="159"/>
        <v>20</v>
      </c>
      <c r="J2602">
        <f t="shared" si="158"/>
        <v>9.0718474000000011</v>
      </c>
      <c r="K2602">
        <v>0.308</v>
      </c>
      <c r="L2602">
        <f t="shared" si="161"/>
        <v>2.7941289992000002</v>
      </c>
    </row>
    <row r="2603" spans="1:12" x14ac:dyDescent="0.2">
      <c r="A2603" s="4">
        <v>43497</v>
      </c>
      <c r="B2603" t="s">
        <v>538</v>
      </c>
      <c r="C2603">
        <v>1</v>
      </c>
      <c r="D2603">
        <v>6</v>
      </c>
      <c r="E2603">
        <v>10</v>
      </c>
      <c r="F2603" t="s">
        <v>440</v>
      </c>
      <c r="G2603" t="s">
        <v>922</v>
      </c>
      <c r="H2603" t="s">
        <v>1071</v>
      </c>
      <c r="I2603">
        <f t="shared" si="159"/>
        <v>60</v>
      </c>
      <c r="J2603">
        <f t="shared" si="158"/>
        <v>27.215542200000002</v>
      </c>
      <c r="K2603">
        <v>0.308</v>
      </c>
      <c r="L2603">
        <f t="shared" si="161"/>
        <v>8.3823869976000012</v>
      </c>
    </row>
    <row r="2604" spans="1:12" x14ac:dyDescent="0.2">
      <c r="A2604" s="4">
        <v>43500</v>
      </c>
      <c r="B2604" t="s">
        <v>538</v>
      </c>
      <c r="C2604">
        <v>2</v>
      </c>
      <c r="D2604">
        <v>6</v>
      </c>
      <c r="E2604">
        <v>10</v>
      </c>
      <c r="F2604" t="s">
        <v>440</v>
      </c>
      <c r="G2604" t="s">
        <v>922</v>
      </c>
      <c r="H2604" t="s">
        <v>1071</v>
      </c>
      <c r="I2604">
        <f t="shared" si="159"/>
        <v>120</v>
      </c>
      <c r="J2604">
        <f t="shared" si="158"/>
        <v>54.431084400000003</v>
      </c>
      <c r="K2604">
        <v>0.308</v>
      </c>
      <c r="L2604">
        <f t="shared" si="161"/>
        <v>16.764773995200002</v>
      </c>
    </row>
    <row r="2605" spans="1:12" x14ac:dyDescent="0.2">
      <c r="A2605" s="4">
        <v>43502</v>
      </c>
      <c r="B2605" t="s">
        <v>48</v>
      </c>
      <c r="C2605" s="28">
        <v>3</v>
      </c>
      <c r="D2605" s="35">
        <v>1</v>
      </c>
      <c r="E2605">
        <v>10</v>
      </c>
      <c r="F2605" t="s">
        <v>717</v>
      </c>
      <c r="G2605" s="38" t="s">
        <v>833</v>
      </c>
      <c r="H2605" t="s">
        <v>1071</v>
      </c>
      <c r="I2605">
        <f t="shared" si="159"/>
        <v>30</v>
      </c>
      <c r="J2605">
        <f t="shared" si="158"/>
        <v>13.607771100000001</v>
      </c>
      <c r="K2605">
        <v>0.66200000000000003</v>
      </c>
      <c r="L2605">
        <f t="shared" si="161"/>
        <v>9.0083444682000007</v>
      </c>
    </row>
    <row r="2606" spans="1:12" x14ac:dyDescent="0.2">
      <c r="A2606" s="4">
        <v>43500</v>
      </c>
      <c r="B2606" t="s">
        <v>48</v>
      </c>
      <c r="C2606" s="28">
        <v>3</v>
      </c>
      <c r="D2606" s="35">
        <v>1</v>
      </c>
      <c r="E2606">
        <v>10</v>
      </c>
      <c r="F2606" t="s">
        <v>717</v>
      </c>
      <c r="G2606" s="38" t="s">
        <v>833</v>
      </c>
      <c r="H2606" t="s">
        <v>1071</v>
      </c>
      <c r="I2606">
        <f t="shared" si="159"/>
        <v>30</v>
      </c>
      <c r="J2606">
        <f t="shared" si="158"/>
        <v>13.607771100000001</v>
      </c>
      <c r="K2606">
        <v>0.66200000000000003</v>
      </c>
      <c r="L2606">
        <f t="shared" si="161"/>
        <v>9.0083444682000007</v>
      </c>
    </row>
    <row r="2607" spans="1:12" x14ac:dyDescent="0.2">
      <c r="A2607" s="4">
        <v>43497</v>
      </c>
      <c r="B2607" t="s">
        <v>48</v>
      </c>
      <c r="C2607" s="28">
        <v>4</v>
      </c>
      <c r="D2607" s="35">
        <v>1</v>
      </c>
      <c r="E2607">
        <v>10</v>
      </c>
      <c r="F2607" t="s">
        <v>487</v>
      </c>
      <c r="G2607" s="38" t="s">
        <v>833</v>
      </c>
      <c r="H2607" t="s">
        <v>1071</v>
      </c>
      <c r="I2607">
        <f t="shared" si="159"/>
        <v>40</v>
      </c>
      <c r="J2607">
        <f t="shared" si="158"/>
        <v>18.143694800000002</v>
      </c>
      <c r="K2607">
        <v>0.66200000000000003</v>
      </c>
      <c r="L2607">
        <f t="shared" si="161"/>
        <v>12.011125957600003</v>
      </c>
    </row>
    <row r="2608" spans="1:12" x14ac:dyDescent="0.2">
      <c r="A2608" s="4">
        <v>43497</v>
      </c>
      <c r="B2608" t="s">
        <v>538</v>
      </c>
      <c r="C2608">
        <v>1</v>
      </c>
      <c r="D2608">
        <v>1</v>
      </c>
      <c r="E2608">
        <v>20</v>
      </c>
      <c r="F2608" t="s">
        <v>665</v>
      </c>
      <c r="G2608" t="s">
        <v>984</v>
      </c>
      <c r="H2608" t="s">
        <v>1071</v>
      </c>
      <c r="I2608">
        <f t="shared" si="159"/>
        <v>20</v>
      </c>
      <c r="J2608">
        <f t="shared" si="158"/>
        <v>9.0718474000000011</v>
      </c>
      <c r="K2608">
        <v>0.308</v>
      </c>
      <c r="L2608">
        <f t="shared" si="161"/>
        <v>2.7941289992000002</v>
      </c>
    </row>
    <row r="2609" spans="1:12" x14ac:dyDescent="0.2">
      <c r="A2609" s="4">
        <v>43503</v>
      </c>
      <c r="B2609" t="s">
        <v>48</v>
      </c>
      <c r="C2609" s="28">
        <v>3</v>
      </c>
      <c r="D2609" s="35">
        <v>1</v>
      </c>
      <c r="E2609">
        <v>10</v>
      </c>
      <c r="F2609" t="s">
        <v>347</v>
      </c>
      <c r="G2609" t="s">
        <v>936</v>
      </c>
      <c r="H2609" t="s">
        <v>1071</v>
      </c>
      <c r="I2609">
        <f t="shared" si="159"/>
        <v>30</v>
      </c>
      <c r="J2609">
        <f t="shared" si="158"/>
        <v>13.607771100000001</v>
      </c>
      <c r="K2609">
        <v>0.66200000000000003</v>
      </c>
      <c r="L2609">
        <f t="shared" si="161"/>
        <v>9.0083444682000007</v>
      </c>
    </row>
    <row r="2610" spans="1:12" x14ac:dyDescent="0.2">
      <c r="A2610" s="4">
        <v>43501</v>
      </c>
      <c r="B2610" t="s">
        <v>48</v>
      </c>
      <c r="C2610" s="28">
        <v>3</v>
      </c>
      <c r="D2610" s="35">
        <v>1</v>
      </c>
      <c r="E2610">
        <v>10</v>
      </c>
      <c r="F2610" t="s">
        <v>347</v>
      </c>
      <c r="G2610" t="s">
        <v>936</v>
      </c>
      <c r="H2610" t="s">
        <v>1071</v>
      </c>
      <c r="I2610">
        <f t="shared" si="159"/>
        <v>30</v>
      </c>
      <c r="J2610">
        <f t="shared" si="158"/>
        <v>13.607771100000001</v>
      </c>
      <c r="K2610">
        <v>0.66200000000000003</v>
      </c>
      <c r="L2610">
        <f t="shared" si="161"/>
        <v>9.0083444682000007</v>
      </c>
    </row>
    <row r="2611" spans="1:12" x14ac:dyDescent="0.2">
      <c r="A2611" s="4">
        <v>43497</v>
      </c>
      <c r="B2611" t="s">
        <v>48</v>
      </c>
      <c r="C2611" s="28">
        <v>6</v>
      </c>
      <c r="D2611" s="35">
        <v>1</v>
      </c>
      <c r="E2611">
        <v>10</v>
      </c>
      <c r="F2611" t="s">
        <v>347</v>
      </c>
      <c r="G2611" t="s">
        <v>936</v>
      </c>
      <c r="H2611" t="s">
        <v>1071</v>
      </c>
      <c r="I2611">
        <f t="shared" si="159"/>
        <v>60</v>
      </c>
      <c r="J2611">
        <f t="shared" si="158"/>
        <v>27.215542200000002</v>
      </c>
      <c r="K2611">
        <v>0.66200000000000003</v>
      </c>
      <c r="L2611">
        <f t="shared" si="161"/>
        <v>18.016688936400001</v>
      </c>
    </row>
    <row r="2612" spans="1:12" x14ac:dyDescent="0.2">
      <c r="A2612" s="4">
        <v>43497</v>
      </c>
      <c r="B2612" t="s">
        <v>699</v>
      </c>
      <c r="C2612" s="39">
        <v>1</v>
      </c>
      <c r="D2612" s="35">
        <v>1</v>
      </c>
      <c r="E2612">
        <v>41.66</v>
      </c>
      <c r="F2612" s="9" t="s">
        <v>701</v>
      </c>
      <c r="G2612" s="9" t="s">
        <v>10</v>
      </c>
      <c r="H2612" t="s">
        <v>1072</v>
      </c>
      <c r="I2612">
        <f t="shared" si="159"/>
        <v>41.66</v>
      </c>
      <c r="J2612">
        <f t="shared" si="158"/>
        <v>18.896658134199999</v>
      </c>
      <c r="K2612">
        <v>32.845999999999997</v>
      </c>
      <c r="L2612">
        <f t="shared" si="161"/>
        <v>620.67963307593311</v>
      </c>
    </row>
    <row r="2613" spans="1:12" x14ac:dyDescent="0.2">
      <c r="A2613" s="4">
        <v>43497</v>
      </c>
      <c r="B2613" t="s">
        <v>9</v>
      </c>
      <c r="C2613" s="35">
        <v>1</v>
      </c>
      <c r="D2613" s="35">
        <v>1</v>
      </c>
      <c r="E2613">
        <v>300</v>
      </c>
      <c r="F2613" t="s">
        <v>12</v>
      </c>
      <c r="G2613" t="s">
        <v>10</v>
      </c>
      <c r="H2613" t="s">
        <v>1072</v>
      </c>
      <c r="I2613">
        <f t="shared" si="159"/>
        <v>300</v>
      </c>
      <c r="J2613">
        <f t="shared" si="158"/>
        <v>136.07771100000002</v>
      </c>
      <c r="K2613">
        <v>32.845999999999997</v>
      </c>
      <c r="L2613">
        <f t="shared" si="161"/>
        <v>4469.6084955060005</v>
      </c>
    </row>
    <row r="2614" spans="1:12" x14ac:dyDescent="0.2">
      <c r="A2614" s="4">
        <v>43497</v>
      </c>
      <c r="B2614" t="s">
        <v>9</v>
      </c>
      <c r="C2614" s="35">
        <v>1</v>
      </c>
      <c r="D2614" s="35">
        <v>1</v>
      </c>
      <c r="E2614">
        <v>100</v>
      </c>
      <c r="F2614" t="s">
        <v>11</v>
      </c>
      <c r="G2614" t="s">
        <v>10</v>
      </c>
      <c r="H2614" t="s">
        <v>1072</v>
      </c>
      <c r="I2614">
        <f t="shared" si="159"/>
        <v>100</v>
      </c>
      <c r="J2614">
        <f t="shared" si="158"/>
        <v>45.359237</v>
      </c>
      <c r="K2614">
        <v>32.845999999999997</v>
      </c>
      <c r="L2614">
        <f t="shared" si="161"/>
        <v>1489.8694985019999</v>
      </c>
    </row>
    <row r="2615" spans="1:12" x14ac:dyDescent="0.2">
      <c r="A2615" s="4">
        <v>43497</v>
      </c>
      <c r="B2615" t="s">
        <v>525</v>
      </c>
      <c r="C2615">
        <v>10</v>
      </c>
      <c r="D2615">
        <v>1</v>
      </c>
      <c r="E2615">
        <v>10</v>
      </c>
      <c r="F2615" t="s">
        <v>588</v>
      </c>
      <c r="G2615" t="s">
        <v>10</v>
      </c>
      <c r="H2615" t="s">
        <v>1072</v>
      </c>
      <c r="I2615">
        <f t="shared" si="159"/>
        <v>100</v>
      </c>
      <c r="J2615">
        <f t="shared" si="158"/>
        <v>45.359237</v>
      </c>
      <c r="K2615">
        <v>32.845999999999997</v>
      </c>
      <c r="L2615">
        <f t="shared" si="161"/>
        <v>1489.8694985019999</v>
      </c>
    </row>
    <row r="2616" spans="1:12" x14ac:dyDescent="0.2">
      <c r="A2616" s="4">
        <v>43497</v>
      </c>
      <c r="B2616" t="s">
        <v>525</v>
      </c>
      <c r="C2616">
        <v>1</v>
      </c>
      <c r="D2616">
        <v>1</v>
      </c>
      <c r="E2616">
        <v>212.13</v>
      </c>
      <c r="F2616" t="s">
        <v>397</v>
      </c>
      <c r="G2616" t="s">
        <v>850</v>
      </c>
      <c r="H2616" t="s">
        <v>1072</v>
      </c>
      <c r="I2616">
        <f t="shared" si="159"/>
        <v>212.13</v>
      </c>
      <c r="J2616">
        <f t="shared" si="158"/>
        <v>96.220549448100002</v>
      </c>
      <c r="K2616">
        <v>32.845999999999997</v>
      </c>
      <c r="L2616">
        <f t="shared" si="161"/>
        <v>3160.4601671722921</v>
      </c>
    </row>
    <row r="2617" spans="1:12" x14ac:dyDescent="0.2">
      <c r="A2617" s="4">
        <v>43500</v>
      </c>
      <c r="B2617" t="s">
        <v>525</v>
      </c>
      <c r="C2617">
        <v>4</v>
      </c>
      <c r="D2617">
        <v>1</v>
      </c>
      <c r="E2617">
        <v>10</v>
      </c>
      <c r="F2617" t="s">
        <v>588</v>
      </c>
      <c r="G2617" t="s">
        <v>10</v>
      </c>
      <c r="H2617" t="s">
        <v>1072</v>
      </c>
      <c r="I2617">
        <f t="shared" si="159"/>
        <v>40</v>
      </c>
      <c r="J2617">
        <f t="shared" si="158"/>
        <v>18.143694800000002</v>
      </c>
      <c r="K2617">
        <v>32.845999999999997</v>
      </c>
      <c r="L2617">
        <f t="shared" si="161"/>
        <v>595.94779940080002</v>
      </c>
    </row>
    <row r="2618" spans="1:12" x14ac:dyDescent="0.2">
      <c r="A2618" s="4">
        <v>43500</v>
      </c>
      <c r="B2618" t="s">
        <v>525</v>
      </c>
      <c r="C2618">
        <v>2</v>
      </c>
      <c r="D2618">
        <v>1</v>
      </c>
      <c r="E2618">
        <v>142.62</v>
      </c>
      <c r="F2618" t="s">
        <v>397</v>
      </c>
      <c r="G2618" t="s">
        <v>850</v>
      </c>
      <c r="H2618" t="s">
        <v>1072</v>
      </c>
      <c r="I2618">
        <f t="shared" si="159"/>
        <v>285.24</v>
      </c>
      <c r="J2618">
        <f t="shared" si="158"/>
        <v>129.38268761879999</v>
      </c>
      <c r="K2618">
        <v>32.845999999999997</v>
      </c>
      <c r="L2618">
        <f t="shared" si="161"/>
        <v>4249.7037575271042</v>
      </c>
    </row>
    <row r="2619" spans="1:12" x14ac:dyDescent="0.2">
      <c r="A2619" s="4">
        <v>43501</v>
      </c>
      <c r="B2619" t="s">
        <v>48</v>
      </c>
      <c r="C2619" s="28">
        <v>1</v>
      </c>
      <c r="D2619" s="35">
        <v>1</v>
      </c>
      <c r="E2619">
        <v>25</v>
      </c>
      <c r="F2619" t="s">
        <v>361</v>
      </c>
      <c r="G2619" t="s">
        <v>820</v>
      </c>
      <c r="H2619" t="s">
        <v>1071</v>
      </c>
      <c r="I2619">
        <f t="shared" si="159"/>
        <v>25</v>
      </c>
      <c r="J2619">
        <f t="shared" si="158"/>
        <v>11.33980925</v>
      </c>
      <c r="K2619">
        <v>0.19400000000000001</v>
      </c>
      <c r="L2619">
        <f t="shared" si="161"/>
        <v>2.1999229945000001</v>
      </c>
    </row>
    <row r="2620" spans="1:12" x14ac:dyDescent="0.2">
      <c r="A2620" s="4">
        <v>43497</v>
      </c>
      <c r="B2620" t="s">
        <v>48</v>
      </c>
      <c r="C2620" s="28">
        <v>1</v>
      </c>
      <c r="D2620" s="35">
        <v>1</v>
      </c>
      <c r="E2620">
        <v>25</v>
      </c>
      <c r="F2620" t="s">
        <v>361</v>
      </c>
      <c r="G2620" t="s">
        <v>820</v>
      </c>
      <c r="H2620" t="s">
        <v>1071</v>
      </c>
      <c r="I2620">
        <f t="shared" si="159"/>
        <v>25</v>
      </c>
      <c r="J2620">
        <f t="shared" si="158"/>
        <v>11.33980925</v>
      </c>
      <c r="K2620">
        <v>0.19400000000000001</v>
      </c>
      <c r="L2620">
        <f t="shared" si="161"/>
        <v>2.1999229945000001</v>
      </c>
    </row>
    <row r="2621" spans="1:12" x14ac:dyDescent="0.2">
      <c r="A2621" s="4">
        <v>43497</v>
      </c>
      <c r="B2621" t="s">
        <v>531</v>
      </c>
      <c r="C2621">
        <v>4</v>
      </c>
      <c r="D2621">
        <v>40</v>
      </c>
      <c r="E2621">
        <f>4/16</f>
        <v>0.25</v>
      </c>
      <c r="F2621" t="s">
        <v>536</v>
      </c>
      <c r="G2621" s="6" t="s">
        <v>983</v>
      </c>
      <c r="H2621" t="s">
        <v>1071</v>
      </c>
      <c r="I2621">
        <f t="shared" si="159"/>
        <v>40</v>
      </c>
      <c r="J2621">
        <f t="shared" si="158"/>
        <v>18.143694800000002</v>
      </c>
      <c r="K2621">
        <v>3.5270000000000001</v>
      </c>
      <c r="L2621">
        <f t="shared" si="161"/>
        <v>63.992811559600007</v>
      </c>
    </row>
    <row r="2622" spans="1:12" x14ac:dyDescent="0.2">
      <c r="A2622" s="4">
        <v>43500</v>
      </c>
      <c r="B2622" t="s">
        <v>531</v>
      </c>
      <c r="C2622">
        <v>3</v>
      </c>
      <c r="D2622">
        <v>48</v>
      </c>
      <c r="E2622">
        <v>0.18124999999999999</v>
      </c>
      <c r="F2622" t="s">
        <v>417</v>
      </c>
      <c r="G2622" t="s">
        <v>895</v>
      </c>
      <c r="H2622" t="s">
        <v>1071</v>
      </c>
      <c r="I2622">
        <f t="shared" si="159"/>
        <v>26.099999999999998</v>
      </c>
      <c r="J2622">
        <f t="shared" si="158"/>
        <v>11.838760856999999</v>
      </c>
      <c r="K2622" s="38">
        <v>6.87</v>
      </c>
      <c r="L2622">
        <f t="shared" si="161"/>
        <v>81.332287087589989</v>
      </c>
    </row>
    <row r="2623" spans="1:12" x14ac:dyDescent="0.2">
      <c r="A2623" s="4">
        <v>43503</v>
      </c>
      <c r="B2623" t="s">
        <v>48</v>
      </c>
      <c r="C2623" s="28">
        <v>2</v>
      </c>
      <c r="D2623" s="35">
        <v>1</v>
      </c>
      <c r="E2623">
        <v>30</v>
      </c>
      <c r="F2623" t="s">
        <v>705</v>
      </c>
      <c r="G2623" t="s">
        <v>237</v>
      </c>
      <c r="H2623" t="s">
        <v>1071</v>
      </c>
      <c r="I2623">
        <f t="shared" si="159"/>
        <v>60</v>
      </c>
      <c r="J2623">
        <f t="shared" si="158"/>
        <v>27.215542200000002</v>
      </c>
      <c r="K2623">
        <v>0.13400000000000001</v>
      </c>
      <c r="L2623">
        <f t="shared" si="161"/>
        <v>3.6468826548000006</v>
      </c>
    </row>
    <row r="2624" spans="1:12" x14ac:dyDescent="0.2">
      <c r="A2624" s="4">
        <v>43502</v>
      </c>
      <c r="B2624" t="s">
        <v>48</v>
      </c>
      <c r="C2624" s="28">
        <v>2</v>
      </c>
      <c r="D2624" s="35">
        <v>1</v>
      </c>
      <c r="E2624">
        <v>30</v>
      </c>
      <c r="F2624" t="s">
        <v>495</v>
      </c>
      <c r="G2624" t="s">
        <v>886</v>
      </c>
      <c r="H2624" t="s">
        <v>1071</v>
      </c>
      <c r="I2624">
        <f t="shared" si="159"/>
        <v>60</v>
      </c>
      <c r="J2624">
        <f t="shared" si="158"/>
        <v>27.215542200000002</v>
      </c>
      <c r="K2624">
        <v>0.13400000000000001</v>
      </c>
      <c r="L2624">
        <f t="shared" si="161"/>
        <v>3.6468826548000006</v>
      </c>
    </row>
    <row r="2625" spans="1:12" x14ac:dyDescent="0.2">
      <c r="A2625" s="4">
        <v>43501</v>
      </c>
      <c r="B2625" t="s">
        <v>48</v>
      </c>
      <c r="C2625" s="28">
        <v>1</v>
      </c>
      <c r="D2625" s="35">
        <v>1</v>
      </c>
      <c r="E2625">
        <v>30</v>
      </c>
      <c r="F2625" t="s">
        <v>705</v>
      </c>
      <c r="G2625" t="s">
        <v>237</v>
      </c>
      <c r="H2625" t="s">
        <v>1071</v>
      </c>
      <c r="I2625">
        <f t="shared" si="159"/>
        <v>30</v>
      </c>
      <c r="J2625">
        <f t="shared" si="158"/>
        <v>13.607771100000001</v>
      </c>
      <c r="K2625">
        <v>0.13400000000000001</v>
      </c>
      <c r="L2625">
        <f t="shared" si="161"/>
        <v>1.8234413274000003</v>
      </c>
    </row>
    <row r="2626" spans="1:12" x14ac:dyDescent="0.2">
      <c r="A2626" s="4">
        <v>43503</v>
      </c>
      <c r="B2626" t="s">
        <v>531</v>
      </c>
      <c r="C2626">
        <v>1</v>
      </c>
      <c r="D2626">
        <v>12</v>
      </c>
      <c r="E2626">
        <f>10*0.177</f>
        <v>1.77</v>
      </c>
      <c r="F2626" t="s">
        <v>651</v>
      </c>
      <c r="G2626" s="6" t="s">
        <v>868</v>
      </c>
      <c r="H2626" t="s">
        <v>1071</v>
      </c>
      <c r="I2626">
        <f t="shared" si="159"/>
        <v>21.240000000000002</v>
      </c>
      <c r="J2626">
        <f t="shared" si="158"/>
        <v>9.634301938800002</v>
      </c>
      <c r="K2626">
        <v>1.2</v>
      </c>
      <c r="L2626">
        <f t="shared" si="161"/>
        <v>11.561162326560002</v>
      </c>
    </row>
    <row r="2627" spans="1:12" x14ac:dyDescent="0.2">
      <c r="A2627" s="4">
        <v>43503</v>
      </c>
      <c r="B2627" t="s">
        <v>48</v>
      </c>
      <c r="C2627">
        <v>8</v>
      </c>
      <c r="D2627" s="35">
        <v>1</v>
      </c>
      <c r="E2627">
        <v>12</v>
      </c>
      <c r="F2627" s="9" t="s">
        <v>703</v>
      </c>
      <c r="G2627" s="9" t="s">
        <v>204</v>
      </c>
      <c r="H2627" t="s">
        <v>1071</v>
      </c>
      <c r="I2627">
        <f t="shared" si="159"/>
        <v>96</v>
      </c>
      <c r="J2627">
        <f t="shared" ref="J2627:J2690" si="162">CONVERT(I2627,"lbm","kg")</f>
        <v>43.544867520000004</v>
      </c>
      <c r="K2627">
        <v>0.79700000000000004</v>
      </c>
      <c r="L2627">
        <f t="shared" si="161"/>
        <v>34.705259413440004</v>
      </c>
    </row>
    <row r="2628" spans="1:12" x14ac:dyDescent="0.2">
      <c r="A2628" s="4">
        <v>43501</v>
      </c>
      <c r="B2628" t="s">
        <v>48</v>
      </c>
      <c r="C2628" s="28">
        <v>12</v>
      </c>
      <c r="D2628" s="35">
        <v>1</v>
      </c>
      <c r="E2628">
        <v>12</v>
      </c>
      <c r="F2628" t="s">
        <v>618</v>
      </c>
      <c r="G2628" t="s">
        <v>784</v>
      </c>
      <c r="H2628" t="s">
        <v>1071</v>
      </c>
      <c r="I2628">
        <f t="shared" si="159"/>
        <v>144</v>
      </c>
      <c r="J2628">
        <f t="shared" si="162"/>
        <v>65.317301279999995</v>
      </c>
      <c r="K2628">
        <v>0.79700000000000004</v>
      </c>
      <c r="L2628">
        <f t="shared" si="161"/>
        <v>52.057889120159999</v>
      </c>
    </row>
    <row r="2629" spans="1:12" x14ac:dyDescent="0.2">
      <c r="A2629" s="4">
        <v>43498</v>
      </c>
      <c r="B2629" t="s">
        <v>48</v>
      </c>
      <c r="C2629" s="28">
        <v>4</v>
      </c>
      <c r="D2629" s="35">
        <v>1</v>
      </c>
      <c r="E2629">
        <v>12</v>
      </c>
      <c r="F2629" t="s">
        <v>618</v>
      </c>
      <c r="G2629" t="s">
        <v>784</v>
      </c>
      <c r="H2629" t="s">
        <v>1071</v>
      </c>
      <c r="I2629">
        <f t="shared" si="159"/>
        <v>48</v>
      </c>
      <c r="J2629">
        <f t="shared" si="162"/>
        <v>21.772433760000002</v>
      </c>
      <c r="K2629">
        <v>0.79700000000000004</v>
      </c>
      <c r="L2629">
        <f t="shared" si="161"/>
        <v>17.352629706720002</v>
      </c>
    </row>
    <row r="2630" spans="1:12" x14ac:dyDescent="0.2">
      <c r="A2630" s="4">
        <v>43498</v>
      </c>
      <c r="B2630" t="s">
        <v>48</v>
      </c>
      <c r="C2630" s="28">
        <v>6</v>
      </c>
      <c r="D2630" s="35">
        <v>1</v>
      </c>
      <c r="E2630">
        <v>12</v>
      </c>
      <c r="F2630" t="s">
        <v>618</v>
      </c>
      <c r="G2630" t="s">
        <v>784</v>
      </c>
      <c r="H2630" t="s">
        <v>1071</v>
      </c>
      <c r="I2630">
        <f t="shared" si="159"/>
        <v>72</v>
      </c>
      <c r="J2630">
        <f t="shared" si="162"/>
        <v>32.658650639999998</v>
      </c>
      <c r="K2630">
        <v>0.79700000000000004</v>
      </c>
      <c r="L2630">
        <f t="shared" si="161"/>
        <v>26.028944560079999</v>
      </c>
    </row>
    <row r="2631" spans="1:12" x14ac:dyDescent="0.2">
      <c r="A2631" s="4">
        <v>43497</v>
      </c>
      <c r="B2631" t="s">
        <v>48</v>
      </c>
      <c r="C2631" s="28">
        <v>10</v>
      </c>
      <c r="D2631" s="35">
        <v>1</v>
      </c>
      <c r="E2631">
        <v>12</v>
      </c>
      <c r="F2631" t="s">
        <v>618</v>
      </c>
      <c r="G2631" t="s">
        <v>784</v>
      </c>
      <c r="H2631" t="s">
        <v>1071</v>
      </c>
      <c r="I2631">
        <f t="shared" si="159"/>
        <v>120</v>
      </c>
      <c r="J2631">
        <f t="shared" si="162"/>
        <v>54.431084400000003</v>
      </c>
      <c r="K2631">
        <v>0.79700000000000004</v>
      </c>
      <c r="L2631">
        <f t="shared" si="161"/>
        <v>43.381574266800001</v>
      </c>
    </row>
    <row r="2632" spans="1:12" x14ac:dyDescent="0.2">
      <c r="A2632" s="4">
        <v>43498</v>
      </c>
      <c r="B2632" t="s">
        <v>48</v>
      </c>
      <c r="C2632" s="28">
        <v>6</v>
      </c>
      <c r="D2632" s="35">
        <v>1</v>
      </c>
      <c r="E2632">
        <v>12</v>
      </c>
      <c r="F2632" t="s">
        <v>727</v>
      </c>
      <c r="G2632" t="s">
        <v>204</v>
      </c>
      <c r="H2632" t="s">
        <v>1071</v>
      </c>
      <c r="I2632">
        <f t="shared" si="159"/>
        <v>72</v>
      </c>
      <c r="J2632">
        <f t="shared" si="162"/>
        <v>32.658650639999998</v>
      </c>
      <c r="K2632">
        <v>0.79700000000000004</v>
      </c>
      <c r="L2632">
        <f t="shared" si="161"/>
        <v>26.028944560079999</v>
      </c>
    </row>
    <row r="2633" spans="1:12" x14ac:dyDescent="0.2">
      <c r="A2633" s="4">
        <v>43498</v>
      </c>
      <c r="B2633" t="s">
        <v>48</v>
      </c>
      <c r="C2633" s="28">
        <v>2</v>
      </c>
      <c r="D2633" s="35">
        <v>1</v>
      </c>
      <c r="E2633">
        <v>20</v>
      </c>
      <c r="F2633" t="s">
        <v>355</v>
      </c>
      <c r="G2633" t="s">
        <v>818</v>
      </c>
      <c r="H2633" t="s">
        <v>1071</v>
      </c>
      <c r="I2633">
        <f t="shared" si="159"/>
        <v>40</v>
      </c>
      <c r="J2633">
        <f t="shared" si="162"/>
        <v>18.143694800000002</v>
      </c>
      <c r="K2633">
        <v>0.49</v>
      </c>
      <c r="L2633">
        <f t="shared" si="161"/>
        <v>8.8904104520000011</v>
      </c>
    </row>
    <row r="2634" spans="1:12" x14ac:dyDescent="0.2">
      <c r="A2634" s="4">
        <v>43497</v>
      </c>
      <c r="B2634" t="s">
        <v>48</v>
      </c>
      <c r="C2634" s="28">
        <v>3</v>
      </c>
      <c r="D2634" s="35">
        <v>1</v>
      </c>
      <c r="E2634">
        <v>20</v>
      </c>
      <c r="F2634" t="s">
        <v>355</v>
      </c>
      <c r="G2634" t="s">
        <v>818</v>
      </c>
      <c r="H2634" t="s">
        <v>1071</v>
      </c>
      <c r="I2634">
        <f t="shared" si="159"/>
        <v>60</v>
      </c>
      <c r="J2634">
        <f t="shared" si="162"/>
        <v>27.215542200000002</v>
      </c>
      <c r="K2634">
        <v>0.49</v>
      </c>
      <c r="L2634">
        <f t="shared" si="161"/>
        <v>13.335615678</v>
      </c>
    </row>
    <row r="2635" spans="1:12" x14ac:dyDescent="0.2">
      <c r="A2635" s="4">
        <v>43498</v>
      </c>
      <c r="B2635" t="s">
        <v>48</v>
      </c>
      <c r="C2635" s="28">
        <v>2</v>
      </c>
      <c r="D2635" s="35">
        <v>1</v>
      </c>
      <c r="E2635">
        <v>20</v>
      </c>
      <c r="F2635" t="s">
        <v>728</v>
      </c>
      <c r="G2635" t="s">
        <v>772</v>
      </c>
      <c r="H2635" t="s">
        <v>1071</v>
      </c>
      <c r="I2635">
        <f t="shared" si="159"/>
        <v>40</v>
      </c>
      <c r="J2635">
        <f t="shared" si="162"/>
        <v>18.143694800000002</v>
      </c>
      <c r="K2635">
        <v>0.49</v>
      </c>
      <c r="L2635">
        <f t="shared" si="161"/>
        <v>8.8904104520000011</v>
      </c>
    </row>
    <row r="2636" spans="1:12" x14ac:dyDescent="0.2">
      <c r="A2636" s="4">
        <v>43497</v>
      </c>
      <c r="B2636" t="s">
        <v>531</v>
      </c>
      <c r="C2636">
        <v>1</v>
      </c>
      <c r="D2636">
        <v>12</v>
      </c>
      <c r="E2636">
        <f>6*3.5</f>
        <v>21</v>
      </c>
      <c r="F2636" t="s">
        <v>589</v>
      </c>
      <c r="G2636" s="6" t="s">
        <v>880</v>
      </c>
      <c r="H2636" t="s">
        <v>1071</v>
      </c>
      <c r="I2636">
        <f t="shared" si="159"/>
        <v>252</v>
      </c>
      <c r="J2636">
        <f t="shared" si="162"/>
        <v>114.30527724000001</v>
      </c>
      <c r="K2636">
        <v>1.2</v>
      </c>
      <c r="L2636">
        <f t="shared" si="161"/>
        <v>137.16633268800001</v>
      </c>
    </row>
    <row r="2637" spans="1:12" x14ac:dyDescent="0.2">
      <c r="A2637" s="4">
        <v>43497</v>
      </c>
      <c r="B2637" t="s">
        <v>517</v>
      </c>
      <c r="C2637">
        <v>1</v>
      </c>
      <c r="D2637">
        <v>36</v>
      </c>
      <c r="E2637">
        <v>1</v>
      </c>
      <c r="F2637" t="s">
        <v>382</v>
      </c>
      <c r="G2637" t="s">
        <v>845</v>
      </c>
      <c r="H2637" t="s">
        <v>1073</v>
      </c>
      <c r="I2637">
        <f t="shared" ref="I2637:I2700" si="163">C2637*D2637*E2637</f>
        <v>36</v>
      </c>
      <c r="J2637">
        <f t="shared" si="162"/>
        <v>16.329325319999999</v>
      </c>
      <c r="K2637">
        <v>11.52</v>
      </c>
      <c r="L2637">
        <f t="shared" si="161"/>
        <v>188.11382768639999</v>
      </c>
    </row>
    <row r="2638" spans="1:12" x14ac:dyDescent="0.2">
      <c r="A2638" s="4">
        <v>43500</v>
      </c>
      <c r="B2638" t="s">
        <v>517</v>
      </c>
      <c r="C2638">
        <v>1</v>
      </c>
      <c r="D2638">
        <v>36</v>
      </c>
      <c r="E2638">
        <v>1</v>
      </c>
      <c r="F2638" t="s">
        <v>382</v>
      </c>
      <c r="G2638" t="s">
        <v>845</v>
      </c>
      <c r="H2638" t="s">
        <v>1073</v>
      </c>
      <c r="I2638">
        <f t="shared" si="163"/>
        <v>36</v>
      </c>
      <c r="J2638">
        <f t="shared" si="162"/>
        <v>16.329325319999999</v>
      </c>
      <c r="K2638">
        <v>11.52</v>
      </c>
      <c r="L2638">
        <f t="shared" si="161"/>
        <v>188.11382768639999</v>
      </c>
    </row>
    <row r="2639" spans="1:12" x14ac:dyDescent="0.2">
      <c r="A2639" s="4">
        <v>43501</v>
      </c>
      <c r="B2639" t="s">
        <v>22</v>
      </c>
      <c r="C2639" s="35">
        <v>1</v>
      </c>
      <c r="D2639" s="35">
        <v>1</v>
      </c>
      <c r="E2639">
        <v>80</v>
      </c>
      <c r="F2639" t="s">
        <v>23</v>
      </c>
      <c r="G2639" t="s">
        <v>753</v>
      </c>
      <c r="H2639" t="s">
        <v>1071</v>
      </c>
      <c r="I2639">
        <f t="shared" si="163"/>
        <v>80</v>
      </c>
      <c r="J2639">
        <f t="shared" si="162"/>
        <v>36.287389600000004</v>
      </c>
      <c r="K2639">
        <v>0.219</v>
      </c>
      <c r="L2639">
        <f t="shared" si="161"/>
        <v>7.9469383224000012</v>
      </c>
    </row>
    <row r="2640" spans="1:12" x14ac:dyDescent="0.2">
      <c r="A2640" s="4">
        <v>43500</v>
      </c>
      <c r="B2640" t="s">
        <v>48</v>
      </c>
      <c r="C2640" s="28">
        <v>1</v>
      </c>
      <c r="D2640" s="35">
        <v>1</v>
      </c>
      <c r="E2640">
        <v>30</v>
      </c>
      <c r="F2640" t="s">
        <v>721</v>
      </c>
      <c r="G2640" t="s">
        <v>1042</v>
      </c>
      <c r="H2640" t="s">
        <v>1071</v>
      </c>
      <c r="I2640">
        <f t="shared" si="163"/>
        <v>30</v>
      </c>
      <c r="J2640">
        <f t="shared" si="162"/>
        <v>13.607771100000001</v>
      </c>
      <c r="K2640">
        <v>0.13400000000000001</v>
      </c>
      <c r="L2640">
        <f t="shared" si="161"/>
        <v>1.8234413274000003</v>
      </c>
    </row>
    <row r="2641" spans="1:12" x14ac:dyDescent="0.2">
      <c r="A2641" s="4">
        <v>43503</v>
      </c>
      <c r="B2641" t="s">
        <v>48</v>
      </c>
      <c r="C2641" s="28">
        <v>7</v>
      </c>
      <c r="D2641" s="35">
        <v>1</v>
      </c>
      <c r="E2641">
        <f>9*3</f>
        <v>27</v>
      </c>
      <c r="F2641" t="s">
        <v>311</v>
      </c>
      <c r="G2641" t="s">
        <v>788</v>
      </c>
      <c r="H2641" t="s">
        <v>1071</v>
      </c>
      <c r="I2641">
        <f t="shared" si="163"/>
        <v>189</v>
      </c>
      <c r="J2641">
        <f t="shared" si="162"/>
        <v>85.728957930000007</v>
      </c>
      <c r="K2641">
        <v>0.49</v>
      </c>
      <c r="L2641">
        <f t="shared" si="161"/>
        <v>42.007189385700002</v>
      </c>
    </row>
    <row r="2642" spans="1:12" x14ac:dyDescent="0.2">
      <c r="A2642" s="4">
        <v>43502</v>
      </c>
      <c r="B2642" t="s">
        <v>48</v>
      </c>
      <c r="C2642" s="28">
        <v>8</v>
      </c>
      <c r="D2642" s="35">
        <v>1</v>
      </c>
      <c r="E2642">
        <f>9*3</f>
        <v>27</v>
      </c>
      <c r="F2642" t="s">
        <v>311</v>
      </c>
      <c r="G2642" t="s">
        <v>788</v>
      </c>
      <c r="H2642" t="s">
        <v>1071</v>
      </c>
      <c r="I2642">
        <f t="shared" si="163"/>
        <v>216</v>
      </c>
      <c r="J2642">
        <f t="shared" si="162"/>
        <v>97.975951920000014</v>
      </c>
      <c r="K2642">
        <v>0.49</v>
      </c>
      <c r="L2642">
        <f t="shared" si="161"/>
        <v>48.008216440800005</v>
      </c>
    </row>
    <row r="2643" spans="1:12" x14ac:dyDescent="0.2">
      <c r="A2643" s="4">
        <v>43501</v>
      </c>
      <c r="B2643" t="s">
        <v>48</v>
      </c>
      <c r="C2643" s="28">
        <v>3</v>
      </c>
      <c r="D2643" s="35">
        <v>1</v>
      </c>
      <c r="E2643">
        <f>9*3</f>
        <v>27</v>
      </c>
      <c r="F2643" t="s">
        <v>311</v>
      </c>
      <c r="G2643" t="s">
        <v>788</v>
      </c>
      <c r="H2643" t="s">
        <v>1071</v>
      </c>
      <c r="I2643">
        <f t="shared" si="163"/>
        <v>81</v>
      </c>
      <c r="J2643">
        <f t="shared" si="162"/>
        <v>36.74098197</v>
      </c>
      <c r="K2643">
        <v>0.49</v>
      </c>
      <c r="L2643">
        <f t="shared" si="161"/>
        <v>18.003081165299999</v>
      </c>
    </row>
    <row r="2644" spans="1:12" x14ac:dyDescent="0.2">
      <c r="A2644" s="4">
        <v>43500</v>
      </c>
      <c r="B2644" t="s">
        <v>48</v>
      </c>
      <c r="C2644" s="28">
        <v>6</v>
      </c>
      <c r="D2644" s="35">
        <v>1</v>
      </c>
      <c r="E2644">
        <f>9*3</f>
        <v>27</v>
      </c>
      <c r="F2644" t="s">
        <v>311</v>
      </c>
      <c r="G2644" t="s">
        <v>788</v>
      </c>
      <c r="H2644" t="s">
        <v>1071</v>
      </c>
      <c r="I2644">
        <f t="shared" si="163"/>
        <v>162</v>
      </c>
      <c r="J2644">
        <f t="shared" si="162"/>
        <v>73.48196394</v>
      </c>
      <c r="K2644">
        <v>0.49</v>
      </c>
      <c r="L2644">
        <f t="shared" si="161"/>
        <v>36.006162330599999</v>
      </c>
    </row>
    <row r="2645" spans="1:12" x14ac:dyDescent="0.2">
      <c r="A2645" s="4">
        <v>43497</v>
      </c>
      <c r="B2645" t="s">
        <v>48</v>
      </c>
      <c r="C2645" s="28">
        <v>6</v>
      </c>
      <c r="D2645" s="35">
        <v>1</v>
      </c>
      <c r="E2645">
        <f>9*3</f>
        <v>27</v>
      </c>
      <c r="F2645" t="s">
        <v>311</v>
      </c>
      <c r="G2645" t="s">
        <v>788</v>
      </c>
      <c r="H2645" t="s">
        <v>1071</v>
      </c>
      <c r="I2645">
        <f t="shared" si="163"/>
        <v>162</v>
      </c>
      <c r="J2645">
        <f t="shared" si="162"/>
        <v>73.48196394</v>
      </c>
      <c r="K2645">
        <v>0.49</v>
      </c>
      <c r="L2645">
        <f t="shared" si="161"/>
        <v>36.006162330599999</v>
      </c>
    </row>
    <row r="2646" spans="1:12" x14ac:dyDescent="0.2">
      <c r="A2646" s="4">
        <v>43497</v>
      </c>
      <c r="B2646" t="s">
        <v>538</v>
      </c>
      <c r="C2646">
        <v>1</v>
      </c>
      <c r="D2646">
        <v>6</v>
      </c>
      <c r="E2646">
        <v>0.125</v>
      </c>
      <c r="F2646" t="s">
        <v>657</v>
      </c>
      <c r="G2646" s="6" t="s">
        <v>930</v>
      </c>
      <c r="H2646" t="s">
        <v>1071</v>
      </c>
      <c r="I2646">
        <f t="shared" si="163"/>
        <v>0.75</v>
      </c>
      <c r="J2646">
        <f t="shared" si="162"/>
        <v>0.34019427750000003</v>
      </c>
      <c r="K2646">
        <v>0.48199999999999998</v>
      </c>
      <c r="L2646">
        <f t="shared" ref="L2646:L2709" si="164">J2646*K2646</f>
        <v>0.16397364175500001</v>
      </c>
    </row>
    <row r="2647" spans="1:12" x14ac:dyDescent="0.2">
      <c r="A2647" s="4">
        <v>43503</v>
      </c>
      <c r="B2647" t="s">
        <v>48</v>
      </c>
      <c r="C2647" s="28">
        <v>2</v>
      </c>
      <c r="D2647" s="35">
        <v>1</v>
      </c>
      <c r="E2647">
        <v>50</v>
      </c>
      <c r="F2647" t="s">
        <v>299</v>
      </c>
      <c r="G2647" t="s">
        <v>299</v>
      </c>
      <c r="H2647" t="s">
        <v>1071</v>
      </c>
      <c r="I2647">
        <f t="shared" si="163"/>
        <v>100</v>
      </c>
      <c r="J2647">
        <f t="shared" si="162"/>
        <v>45.359237</v>
      </c>
      <c r="K2647">
        <v>9.1999999999999998E-2</v>
      </c>
      <c r="L2647">
        <f t="shared" si="164"/>
        <v>4.1730498039999997</v>
      </c>
    </row>
    <row r="2648" spans="1:12" x14ac:dyDescent="0.2">
      <c r="A2648" s="4">
        <v>43503</v>
      </c>
      <c r="B2648" t="s">
        <v>48</v>
      </c>
      <c r="C2648" s="28">
        <v>1</v>
      </c>
      <c r="D2648" s="35">
        <v>1</v>
      </c>
      <c r="E2648">
        <v>10</v>
      </c>
      <c r="F2648" t="s">
        <v>709</v>
      </c>
      <c r="G2648" t="s">
        <v>299</v>
      </c>
      <c r="H2648" t="s">
        <v>1071</v>
      </c>
      <c r="I2648">
        <f t="shared" si="163"/>
        <v>10</v>
      </c>
      <c r="J2648">
        <f t="shared" si="162"/>
        <v>4.5359237000000006</v>
      </c>
      <c r="K2648">
        <v>9.1999999999999998E-2</v>
      </c>
      <c r="L2648">
        <f t="shared" si="164"/>
        <v>0.41730498040000003</v>
      </c>
    </row>
    <row r="2649" spans="1:12" x14ac:dyDescent="0.2">
      <c r="A2649" s="4">
        <v>43503</v>
      </c>
      <c r="B2649" t="s">
        <v>48</v>
      </c>
      <c r="C2649" s="28">
        <v>1</v>
      </c>
      <c r="D2649" s="35">
        <v>1</v>
      </c>
      <c r="E2649">
        <v>20</v>
      </c>
      <c r="F2649" t="s">
        <v>269</v>
      </c>
      <c r="G2649" t="s">
        <v>299</v>
      </c>
      <c r="H2649" t="s">
        <v>1071</v>
      </c>
      <c r="I2649">
        <f t="shared" si="163"/>
        <v>20</v>
      </c>
      <c r="J2649">
        <f t="shared" si="162"/>
        <v>9.0718474000000011</v>
      </c>
      <c r="K2649">
        <v>9.1999999999999998E-2</v>
      </c>
      <c r="L2649">
        <f t="shared" si="164"/>
        <v>0.83460996080000005</v>
      </c>
    </row>
    <row r="2650" spans="1:12" x14ac:dyDescent="0.2">
      <c r="A2650" s="4">
        <v>43502</v>
      </c>
      <c r="B2650" t="s">
        <v>48</v>
      </c>
      <c r="C2650" s="28">
        <v>1</v>
      </c>
      <c r="D2650" s="35">
        <v>1</v>
      </c>
      <c r="E2650">
        <v>20</v>
      </c>
      <c r="F2650" t="s">
        <v>269</v>
      </c>
      <c r="G2650" t="s">
        <v>299</v>
      </c>
      <c r="H2650" t="s">
        <v>1071</v>
      </c>
      <c r="I2650">
        <f t="shared" si="163"/>
        <v>20</v>
      </c>
      <c r="J2650">
        <f t="shared" si="162"/>
        <v>9.0718474000000011</v>
      </c>
      <c r="K2650">
        <v>9.1999999999999998E-2</v>
      </c>
      <c r="L2650">
        <f t="shared" si="164"/>
        <v>0.83460996080000005</v>
      </c>
    </row>
    <row r="2651" spans="1:12" x14ac:dyDescent="0.2">
      <c r="A2651" s="4">
        <v>43501</v>
      </c>
      <c r="B2651" t="s">
        <v>48</v>
      </c>
      <c r="C2651" s="28">
        <v>1</v>
      </c>
      <c r="D2651" s="35">
        <v>1</v>
      </c>
      <c r="E2651">
        <v>50</v>
      </c>
      <c r="F2651" t="s">
        <v>299</v>
      </c>
      <c r="G2651" t="s">
        <v>299</v>
      </c>
      <c r="H2651" t="s">
        <v>1071</v>
      </c>
      <c r="I2651">
        <f t="shared" si="163"/>
        <v>50</v>
      </c>
      <c r="J2651">
        <f t="shared" si="162"/>
        <v>22.6796185</v>
      </c>
      <c r="K2651">
        <v>9.1999999999999998E-2</v>
      </c>
      <c r="L2651">
        <f t="shared" si="164"/>
        <v>2.0865249019999998</v>
      </c>
    </row>
    <row r="2652" spans="1:12" x14ac:dyDescent="0.2">
      <c r="A2652" s="4">
        <v>43501</v>
      </c>
      <c r="B2652" t="s">
        <v>48</v>
      </c>
      <c r="C2652" s="28">
        <v>2</v>
      </c>
      <c r="D2652" s="35">
        <v>1</v>
      </c>
      <c r="E2652">
        <v>20</v>
      </c>
      <c r="F2652" t="s">
        <v>269</v>
      </c>
      <c r="G2652" t="s">
        <v>299</v>
      </c>
      <c r="H2652" t="s">
        <v>1071</v>
      </c>
      <c r="I2652">
        <f t="shared" si="163"/>
        <v>40</v>
      </c>
      <c r="J2652">
        <f t="shared" si="162"/>
        <v>18.143694800000002</v>
      </c>
      <c r="K2652">
        <v>9.1999999999999998E-2</v>
      </c>
      <c r="L2652">
        <f t="shared" si="164"/>
        <v>1.6692199216000001</v>
      </c>
    </row>
    <row r="2653" spans="1:12" x14ac:dyDescent="0.2">
      <c r="A2653" s="4">
        <v>43500</v>
      </c>
      <c r="B2653" t="s">
        <v>48</v>
      </c>
      <c r="C2653" s="28">
        <v>1</v>
      </c>
      <c r="D2653" s="35">
        <v>1</v>
      </c>
      <c r="E2653">
        <v>50</v>
      </c>
      <c r="F2653" t="s">
        <v>299</v>
      </c>
      <c r="G2653" t="s">
        <v>299</v>
      </c>
      <c r="H2653" t="s">
        <v>1071</v>
      </c>
      <c r="I2653">
        <f t="shared" si="163"/>
        <v>50</v>
      </c>
      <c r="J2653">
        <f t="shared" si="162"/>
        <v>22.6796185</v>
      </c>
      <c r="K2653">
        <v>9.1999999999999998E-2</v>
      </c>
      <c r="L2653">
        <f t="shared" si="164"/>
        <v>2.0865249019999998</v>
      </c>
    </row>
    <row r="2654" spans="1:12" x14ac:dyDescent="0.2">
      <c r="A2654" s="4">
        <v>43500</v>
      </c>
      <c r="B2654" t="s">
        <v>48</v>
      </c>
      <c r="C2654" s="28">
        <v>1</v>
      </c>
      <c r="D2654" s="35">
        <v>1</v>
      </c>
      <c r="E2654">
        <v>10</v>
      </c>
      <c r="F2654" t="s">
        <v>709</v>
      </c>
      <c r="G2654" t="s">
        <v>299</v>
      </c>
      <c r="H2654" t="s">
        <v>1071</v>
      </c>
      <c r="I2654">
        <f t="shared" si="163"/>
        <v>10</v>
      </c>
      <c r="J2654">
        <f t="shared" si="162"/>
        <v>4.5359237000000006</v>
      </c>
      <c r="K2654">
        <v>9.1999999999999998E-2</v>
      </c>
      <c r="L2654">
        <f t="shared" si="164"/>
        <v>0.41730498040000003</v>
      </c>
    </row>
    <row r="2655" spans="1:12" x14ac:dyDescent="0.2">
      <c r="A2655" s="4">
        <v>43500</v>
      </c>
      <c r="B2655" t="s">
        <v>48</v>
      </c>
      <c r="C2655" s="28">
        <v>2</v>
      </c>
      <c r="D2655" s="35">
        <v>1</v>
      </c>
      <c r="E2655">
        <v>20</v>
      </c>
      <c r="F2655" t="s">
        <v>269</v>
      </c>
      <c r="G2655" t="s">
        <v>299</v>
      </c>
      <c r="H2655" t="s">
        <v>1071</v>
      </c>
      <c r="I2655">
        <f t="shared" si="163"/>
        <v>40</v>
      </c>
      <c r="J2655">
        <f t="shared" si="162"/>
        <v>18.143694800000002</v>
      </c>
      <c r="K2655">
        <v>9.1999999999999998E-2</v>
      </c>
      <c r="L2655">
        <f t="shared" si="164"/>
        <v>1.6692199216000001</v>
      </c>
    </row>
    <row r="2656" spans="1:12" x14ac:dyDescent="0.2">
      <c r="A2656" s="4">
        <v>43498</v>
      </c>
      <c r="B2656" t="s">
        <v>48</v>
      </c>
      <c r="C2656" s="28">
        <v>1</v>
      </c>
      <c r="D2656" s="35">
        <v>1</v>
      </c>
      <c r="E2656">
        <v>20</v>
      </c>
      <c r="F2656" t="s">
        <v>322</v>
      </c>
      <c r="G2656" t="s">
        <v>299</v>
      </c>
      <c r="H2656" t="s">
        <v>1071</v>
      </c>
      <c r="I2656">
        <f t="shared" si="163"/>
        <v>20</v>
      </c>
      <c r="J2656">
        <f t="shared" si="162"/>
        <v>9.0718474000000011</v>
      </c>
      <c r="K2656">
        <v>9.1999999999999998E-2</v>
      </c>
      <c r="L2656">
        <f t="shared" si="164"/>
        <v>0.83460996080000005</v>
      </c>
    </row>
    <row r="2657" spans="1:12" x14ac:dyDescent="0.2">
      <c r="A2657" s="4">
        <v>43498</v>
      </c>
      <c r="B2657" t="s">
        <v>48</v>
      </c>
      <c r="C2657" s="28">
        <v>1</v>
      </c>
      <c r="D2657" s="35">
        <v>1</v>
      </c>
      <c r="E2657">
        <v>20</v>
      </c>
      <c r="F2657" t="s">
        <v>322</v>
      </c>
      <c r="G2657" t="s">
        <v>299</v>
      </c>
      <c r="H2657" t="s">
        <v>1071</v>
      </c>
      <c r="I2657">
        <f t="shared" si="163"/>
        <v>20</v>
      </c>
      <c r="J2657">
        <f t="shared" si="162"/>
        <v>9.0718474000000011</v>
      </c>
      <c r="K2657">
        <v>9.1999999999999998E-2</v>
      </c>
      <c r="L2657">
        <f t="shared" si="164"/>
        <v>0.83460996080000005</v>
      </c>
    </row>
    <row r="2658" spans="1:12" x14ac:dyDescent="0.2">
      <c r="A2658" s="4">
        <v>43501</v>
      </c>
      <c r="B2658" t="s">
        <v>48</v>
      </c>
      <c r="C2658" s="28">
        <v>5</v>
      </c>
      <c r="D2658" s="35">
        <v>1</v>
      </c>
      <c r="E2658">
        <f>12*1.3</f>
        <v>15.600000000000001</v>
      </c>
      <c r="F2658" t="s">
        <v>619</v>
      </c>
      <c r="G2658" t="s">
        <v>619</v>
      </c>
      <c r="H2658" t="s">
        <v>1071</v>
      </c>
      <c r="I2658">
        <f t="shared" si="163"/>
        <v>78</v>
      </c>
      <c r="J2658">
        <f t="shared" si="162"/>
        <v>35.380204859999999</v>
      </c>
      <c r="K2658">
        <v>0.93400000000000005</v>
      </c>
      <c r="L2658">
        <f t="shared" si="164"/>
        <v>33.045111339240002</v>
      </c>
    </row>
    <row r="2659" spans="1:12" x14ac:dyDescent="0.2">
      <c r="A2659" s="4">
        <v>43500</v>
      </c>
      <c r="B2659" t="s">
        <v>48</v>
      </c>
      <c r="C2659" s="28">
        <v>4</v>
      </c>
      <c r="D2659" s="35">
        <v>1</v>
      </c>
      <c r="E2659">
        <v>12</v>
      </c>
      <c r="F2659" t="s">
        <v>351</v>
      </c>
      <c r="G2659" t="s">
        <v>619</v>
      </c>
      <c r="H2659" t="s">
        <v>1071</v>
      </c>
      <c r="I2659">
        <f t="shared" si="163"/>
        <v>48</v>
      </c>
      <c r="J2659">
        <f t="shared" si="162"/>
        <v>21.772433760000002</v>
      </c>
      <c r="K2659">
        <v>0.93400000000000005</v>
      </c>
      <c r="L2659">
        <f t="shared" si="164"/>
        <v>20.335453131840001</v>
      </c>
    </row>
    <row r="2660" spans="1:12" x14ac:dyDescent="0.2">
      <c r="A2660" s="4">
        <v>43498</v>
      </c>
      <c r="B2660" t="s">
        <v>48</v>
      </c>
      <c r="C2660" s="28">
        <v>4</v>
      </c>
      <c r="D2660" s="35">
        <v>1</v>
      </c>
      <c r="E2660">
        <v>12</v>
      </c>
      <c r="F2660" t="s">
        <v>323</v>
      </c>
      <c r="G2660" t="s">
        <v>619</v>
      </c>
      <c r="H2660" t="s">
        <v>1071</v>
      </c>
      <c r="I2660">
        <f t="shared" si="163"/>
        <v>48</v>
      </c>
      <c r="J2660">
        <f t="shared" si="162"/>
        <v>21.772433760000002</v>
      </c>
      <c r="K2660">
        <v>0.93400000000000005</v>
      </c>
      <c r="L2660">
        <f t="shared" si="164"/>
        <v>20.335453131840001</v>
      </c>
    </row>
    <row r="2661" spans="1:12" x14ac:dyDescent="0.2">
      <c r="A2661" s="4">
        <v>43497</v>
      </c>
      <c r="B2661" t="s">
        <v>48</v>
      </c>
      <c r="C2661" s="28">
        <v>4</v>
      </c>
      <c r="D2661" s="35">
        <v>1</v>
      </c>
      <c r="E2661">
        <v>12</v>
      </c>
      <c r="F2661" t="s">
        <v>323</v>
      </c>
      <c r="G2661" t="s">
        <v>619</v>
      </c>
      <c r="H2661" t="s">
        <v>1071</v>
      </c>
      <c r="I2661">
        <f t="shared" si="163"/>
        <v>48</v>
      </c>
      <c r="J2661">
        <f t="shared" si="162"/>
        <v>21.772433760000002</v>
      </c>
      <c r="K2661">
        <v>0.93400000000000005</v>
      </c>
      <c r="L2661">
        <f t="shared" si="164"/>
        <v>20.335453131840001</v>
      </c>
    </row>
    <row r="2662" spans="1:12" x14ac:dyDescent="0.2">
      <c r="A2662" s="4">
        <v>43498</v>
      </c>
      <c r="B2662" t="s">
        <v>48</v>
      </c>
      <c r="C2662" s="28">
        <v>4</v>
      </c>
      <c r="D2662" s="35">
        <v>1</v>
      </c>
      <c r="E2662">
        <v>12</v>
      </c>
      <c r="F2662" t="s">
        <v>323</v>
      </c>
      <c r="G2662" t="s">
        <v>619</v>
      </c>
      <c r="H2662" t="s">
        <v>1071</v>
      </c>
      <c r="I2662">
        <f t="shared" si="163"/>
        <v>48</v>
      </c>
      <c r="J2662">
        <f t="shared" si="162"/>
        <v>21.772433760000002</v>
      </c>
      <c r="K2662">
        <v>0.93400000000000005</v>
      </c>
      <c r="L2662">
        <f t="shared" si="164"/>
        <v>20.335453131840001</v>
      </c>
    </row>
    <row r="2663" spans="1:12" x14ac:dyDescent="0.2">
      <c r="A2663" s="4">
        <v>43503</v>
      </c>
      <c r="B2663" t="s">
        <v>48</v>
      </c>
      <c r="C2663" s="28">
        <v>1</v>
      </c>
      <c r="D2663" s="35">
        <v>1</v>
      </c>
      <c r="E2663">
        <v>20</v>
      </c>
      <c r="F2663" t="s">
        <v>324</v>
      </c>
      <c r="G2663" t="s">
        <v>352</v>
      </c>
      <c r="H2663" t="s">
        <v>1071</v>
      </c>
      <c r="I2663">
        <f t="shared" si="163"/>
        <v>20</v>
      </c>
      <c r="J2663">
        <f t="shared" si="162"/>
        <v>9.0718474000000011</v>
      </c>
      <c r="K2663">
        <v>0.33100000000000002</v>
      </c>
      <c r="L2663">
        <f t="shared" si="164"/>
        <v>3.0027814894000007</v>
      </c>
    </row>
    <row r="2664" spans="1:12" x14ac:dyDescent="0.2">
      <c r="A2664" s="4">
        <v>43501</v>
      </c>
      <c r="B2664" t="s">
        <v>48</v>
      </c>
      <c r="C2664" s="28">
        <v>1</v>
      </c>
      <c r="D2664" s="35">
        <v>1</v>
      </c>
      <c r="E2664">
        <v>36</v>
      </c>
      <c r="F2664" t="s">
        <v>643</v>
      </c>
      <c r="G2664" t="s">
        <v>352</v>
      </c>
      <c r="H2664" t="s">
        <v>1071</v>
      </c>
      <c r="I2664">
        <f t="shared" si="163"/>
        <v>36</v>
      </c>
      <c r="J2664">
        <f t="shared" si="162"/>
        <v>16.329325319999999</v>
      </c>
      <c r="K2664">
        <v>0.33100000000000002</v>
      </c>
      <c r="L2664">
        <f t="shared" si="164"/>
        <v>5.4050066809199997</v>
      </c>
    </row>
    <row r="2665" spans="1:12" x14ac:dyDescent="0.2">
      <c r="A2665" s="4">
        <v>43500</v>
      </c>
      <c r="B2665" t="s">
        <v>48</v>
      </c>
      <c r="C2665" s="28">
        <v>1</v>
      </c>
      <c r="D2665" s="35">
        <v>1</v>
      </c>
      <c r="E2665">
        <v>20</v>
      </c>
      <c r="F2665" t="s">
        <v>324</v>
      </c>
      <c r="G2665" t="s">
        <v>352</v>
      </c>
      <c r="H2665" t="s">
        <v>1071</v>
      </c>
      <c r="I2665">
        <f t="shared" si="163"/>
        <v>20</v>
      </c>
      <c r="J2665">
        <f t="shared" si="162"/>
        <v>9.0718474000000011</v>
      </c>
      <c r="K2665">
        <v>0.33100000000000002</v>
      </c>
      <c r="L2665">
        <f t="shared" si="164"/>
        <v>3.0027814894000007</v>
      </c>
    </row>
    <row r="2666" spans="1:12" x14ac:dyDescent="0.2">
      <c r="A2666" s="4">
        <v>43498</v>
      </c>
      <c r="B2666" t="s">
        <v>48</v>
      </c>
      <c r="C2666" s="28">
        <v>1</v>
      </c>
      <c r="D2666" s="35">
        <v>1</v>
      </c>
      <c r="E2666">
        <v>20</v>
      </c>
      <c r="F2666" t="s">
        <v>324</v>
      </c>
      <c r="G2666" t="s">
        <v>352</v>
      </c>
      <c r="H2666" t="s">
        <v>1071</v>
      </c>
      <c r="I2666">
        <f t="shared" si="163"/>
        <v>20</v>
      </c>
      <c r="J2666">
        <f t="shared" si="162"/>
        <v>9.0718474000000011</v>
      </c>
      <c r="K2666">
        <v>0.33100000000000002</v>
      </c>
      <c r="L2666">
        <f t="shared" si="164"/>
        <v>3.0027814894000007</v>
      </c>
    </row>
    <row r="2667" spans="1:12" x14ac:dyDescent="0.2">
      <c r="A2667" s="4">
        <v>43498</v>
      </c>
      <c r="B2667" t="s">
        <v>48</v>
      </c>
      <c r="C2667" s="28">
        <v>1</v>
      </c>
      <c r="D2667" s="35">
        <v>1</v>
      </c>
      <c r="E2667">
        <v>20</v>
      </c>
      <c r="F2667" t="s">
        <v>729</v>
      </c>
      <c r="G2667" t="s">
        <v>163</v>
      </c>
      <c r="H2667" t="s">
        <v>1071</v>
      </c>
      <c r="I2667">
        <f t="shared" si="163"/>
        <v>20</v>
      </c>
      <c r="J2667">
        <f t="shared" si="162"/>
        <v>9.0718474000000011</v>
      </c>
      <c r="K2667">
        <v>0.33100000000000002</v>
      </c>
      <c r="L2667">
        <f t="shared" si="164"/>
        <v>3.0027814894000007</v>
      </c>
    </row>
    <row r="2668" spans="1:12" x14ac:dyDescent="0.2">
      <c r="A2668" s="4">
        <v>43497</v>
      </c>
      <c r="B2668" t="s">
        <v>538</v>
      </c>
      <c r="C2668">
        <v>1</v>
      </c>
      <c r="D2668">
        <v>4</v>
      </c>
      <c r="E2668">
        <v>2.5</v>
      </c>
      <c r="F2668" t="s">
        <v>436</v>
      </c>
      <c r="G2668" s="6" t="s">
        <v>861</v>
      </c>
      <c r="H2668" t="s">
        <v>1071</v>
      </c>
      <c r="I2668">
        <f t="shared" si="163"/>
        <v>10</v>
      </c>
      <c r="J2668">
        <f t="shared" si="162"/>
        <v>4.5359237000000006</v>
      </c>
      <c r="K2668">
        <v>1.61</v>
      </c>
      <c r="L2668">
        <f t="shared" si="164"/>
        <v>7.3028371570000017</v>
      </c>
    </row>
    <row r="2669" spans="1:12" x14ac:dyDescent="0.2">
      <c r="A2669" s="4">
        <v>43497</v>
      </c>
      <c r="B2669" t="s">
        <v>538</v>
      </c>
      <c r="C2669">
        <v>1</v>
      </c>
      <c r="D2669">
        <v>4</v>
      </c>
      <c r="E2669">
        <v>40.3125</v>
      </c>
      <c r="F2669" t="s">
        <v>548</v>
      </c>
      <c r="G2669" s="6" t="s">
        <v>861</v>
      </c>
      <c r="H2669" t="s">
        <v>1071</v>
      </c>
      <c r="I2669">
        <f t="shared" si="163"/>
        <v>161.25</v>
      </c>
      <c r="J2669">
        <f t="shared" si="162"/>
        <v>73.14176966250001</v>
      </c>
      <c r="K2669">
        <v>1.61</v>
      </c>
      <c r="L2669">
        <f t="shared" si="164"/>
        <v>117.75824915662503</v>
      </c>
    </row>
    <row r="2670" spans="1:12" x14ac:dyDescent="0.2">
      <c r="A2670" s="4">
        <v>43497</v>
      </c>
      <c r="B2670" t="s">
        <v>538</v>
      </c>
      <c r="C2670">
        <v>1</v>
      </c>
      <c r="D2670">
        <v>4</v>
      </c>
      <c r="E2670">
        <v>3.125</v>
      </c>
      <c r="F2670" t="s">
        <v>453</v>
      </c>
      <c r="G2670" s="6" t="s">
        <v>861</v>
      </c>
      <c r="H2670" t="s">
        <v>1071</v>
      </c>
      <c r="I2670">
        <f t="shared" si="163"/>
        <v>12.5</v>
      </c>
      <c r="J2670">
        <f t="shared" si="162"/>
        <v>5.669904625</v>
      </c>
      <c r="K2670">
        <v>1.61</v>
      </c>
      <c r="L2670">
        <f t="shared" si="164"/>
        <v>9.1285464462500006</v>
      </c>
    </row>
    <row r="2671" spans="1:12" x14ac:dyDescent="0.2">
      <c r="A2671" s="4">
        <v>43500</v>
      </c>
      <c r="B2671" t="s">
        <v>538</v>
      </c>
      <c r="C2671">
        <v>2</v>
      </c>
      <c r="D2671">
        <v>96</v>
      </c>
      <c r="E2671">
        <v>6.25E-2</v>
      </c>
      <c r="F2671" t="s">
        <v>746</v>
      </c>
      <c r="G2671" s="6" t="s">
        <v>861</v>
      </c>
      <c r="H2671" t="s">
        <v>1071</v>
      </c>
      <c r="I2671">
        <f t="shared" si="163"/>
        <v>12</v>
      </c>
      <c r="J2671">
        <f t="shared" si="162"/>
        <v>5.4431084400000005</v>
      </c>
      <c r="K2671">
        <v>1.61</v>
      </c>
      <c r="L2671">
        <f t="shared" si="164"/>
        <v>8.763404588400002</v>
      </c>
    </row>
    <row r="2672" spans="1:12" x14ac:dyDescent="0.2">
      <c r="A2672" s="4">
        <v>43500</v>
      </c>
      <c r="B2672" t="s">
        <v>538</v>
      </c>
      <c r="C2672">
        <v>1</v>
      </c>
      <c r="D2672">
        <v>8</v>
      </c>
      <c r="E2672">
        <v>5</v>
      </c>
      <c r="F2672" t="s">
        <v>542</v>
      </c>
      <c r="G2672" s="6" t="s">
        <v>861</v>
      </c>
      <c r="H2672" t="s">
        <v>1071</v>
      </c>
      <c r="I2672">
        <f t="shared" si="163"/>
        <v>40</v>
      </c>
      <c r="J2672">
        <f t="shared" si="162"/>
        <v>18.143694800000002</v>
      </c>
      <c r="K2672">
        <v>1.61</v>
      </c>
      <c r="L2672">
        <f t="shared" si="164"/>
        <v>29.211348628000007</v>
      </c>
    </row>
    <row r="2673" spans="1:12" x14ac:dyDescent="0.2">
      <c r="A2673" s="4">
        <v>43500</v>
      </c>
      <c r="B2673" t="s">
        <v>538</v>
      </c>
      <c r="C2673">
        <v>1</v>
      </c>
      <c r="D2673">
        <v>4</v>
      </c>
      <c r="E2673">
        <v>30.0625</v>
      </c>
      <c r="F2673" t="s">
        <v>545</v>
      </c>
      <c r="G2673" s="6" t="s">
        <v>861</v>
      </c>
      <c r="H2673" t="s">
        <v>1071</v>
      </c>
      <c r="I2673">
        <f t="shared" si="163"/>
        <v>120.25</v>
      </c>
      <c r="J2673">
        <f t="shared" si="162"/>
        <v>54.544482492500002</v>
      </c>
      <c r="K2673">
        <v>1.61</v>
      </c>
      <c r="L2673">
        <f t="shared" si="164"/>
        <v>87.816616812925005</v>
      </c>
    </row>
    <row r="2674" spans="1:12" x14ac:dyDescent="0.2">
      <c r="A2674" s="4">
        <v>43500</v>
      </c>
      <c r="B2674" t="s">
        <v>538</v>
      </c>
      <c r="C2674">
        <v>2</v>
      </c>
      <c r="D2674">
        <v>4</v>
      </c>
      <c r="E2674">
        <v>2.5</v>
      </c>
      <c r="F2674" t="s">
        <v>436</v>
      </c>
      <c r="G2674" s="6" t="s">
        <v>861</v>
      </c>
      <c r="H2674" t="s">
        <v>1071</v>
      </c>
      <c r="I2674">
        <f t="shared" si="163"/>
        <v>20</v>
      </c>
      <c r="J2674">
        <f t="shared" si="162"/>
        <v>9.0718474000000011</v>
      </c>
      <c r="K2674">
        <v>1.61</v>
      </c>
      <c r="L2674">
        <f t="shared" si="164"/>
        <v>14.605674314000003</v>
      </c>
    </row>
    <row r="2675" spans="1:12" x14ac:dyDescent="0.2">
      <c r="A2675" s="4">
        <v>43500</v>
      </c>
      <c r="B2675" t="s">
        <v>538</v>
      </c>
      <c r="C2675">
        <v>1</v>
      </c>
      <c r="D2675">
        <v>4</v>
      </c>
      <c r="E2675">
        <v>1.625</v>
      </c>
      <c r="F2675" t="s">
        <v>747</v>
      </c>
      <c r="G2675" s="6" t="s">
        <v>861</v>
      </c>
      <c r="H2675" t="s">
        <v>1071</v>
      </c>
      <c r="I2675">
        <f t="shared" si="163"/>
        <v>6.5</v>
      </c>
      <c r="J2675">
        <f t="shared" si="162"/>
        <v>2.9483504050000002</v>
      </c>
      <c r="K2675">
        <v>1.61</v>
      </c>
      <c r="L2675">
        <f t="shared" si="164"/>
        <v>4.7468441520500004</v>
      </c>
    </row>
    <row r="2676" spans="1:12" x14ac:dyDescent="0.2">
      <c r="A2676" s="4">
        <v>43500</v>
      </c>
      <c r="B2676" t="s">
        <v>538</v>
      </c>
      <c r="C2676">
        <v>1</v>
      </c>
      <c r="D2676">
        <v>4</v>
      </c>
      <c r="E2676">
        <v>30.3125</v>
      </c>
      <c r="F2676" t="s">
        <v>470</v>
      </c>
      <c r="G2676" s="6" t="s">
        <v>861</v>
      </c>
      <c r="H2676" t="s">
        <v>1071</v>
      </c>
      <c r="I2676">
        <f t="shared" si="163"/>
        <v>121.25</v>
      </c>
      <c r="J2676">
        <f t="shared" si="162"/>
        <v>54.998074862500005</v>
      </c>
      <c r="K2676">
        <v>1.61</v>
      </c>
      <c r="L2676">
        <f t="shared" si="164"/>
        <v>88.546900528625017</v>
      </c>
    </row>
    <row r="2677" spans="1:12" x14ac:dyDescent="0.2">
      <c r="A2677" s="4">
        <v>43500</v>
      </c>
      <c r="B2677" t="s">
        <v>538</v>
      </c>
      <c r="C2677">
        <v>2</v>
      </c>
      <c r="D2677">
        <v>4</v>
      </c>
      <c r="E2677">
        <v>30.3125</v>
      </c>
      <c r="F2677" t="s">
        <v>580</v>
      </c>
      <c r="G2677" s="6" t="s">
        <v>861</v>
      </c>
      <c r="H2677" t="s">
        <v>1071</v>
      </c>
      <c r="I2677">
        <f t="shared" si="163"/>
        <v>242.5</v>
      </c>
      <c r="J2677">
        <f t="shared" si="162"/>
        <v>109.99614972500001</v>
      </c>
      <c r="K2677">
        <v>1.61</v>
      </c>
      <c r="L2677">
        <f t="shared" si="164"/>
        <v>177.09380105725003</v>
      </c>
    </row>
    <row r="2678" spans="1:12" x14ac:dyDescent="0.2">
      <c r="A2678" s="4">
        <v>43500</v>
      </c>
      <c r="B2678" t="s">
        <v>538</v>
      </c>
      <c r="C2678">
        <v>1</v>
      </c>
      <c r="D2678">
        <v>4</v>
      </c>
      <c r="E2678">
        <v>40.3125</v>
      </c>
      <c r="F2678" t="s">
        <v>548</v>
      </c>
      <c r="G2678" s="6" t="s">
        <v>861</v>
      </c>
      <c r="H2678" t="s">
        <v>1071</v>
      </c>
      <c r="I2678">
        <f t="shared" si="163"/>
        <v>161.25</v>
      </c>
      <c r="J2678">
        <f t="shared" si="162"/>
        <v>73.14176966250001</v>
      </c>
      <c r="K2678">
        <v>1.61</v>
      </c>
      <c r="L2678">
        <f t="shared" si="164"/>
        <v>117.75824915662503</v>
      </c>
    </row>
    <row r="2679" spans="1:12" x14ac:dyDescent="0.2">
      <c r="A2679" s="4">
        <v>43503</v>
      </c>
      <c r="B2679" t="s">
        <v>538</v>
      </c>
      <c r="C2679">
        <v>2</v>
      </c>
      <c r="D2679">
        <v>4</v>
      </c>
      <c r="E2679">
        <v>1.8125</v>
      </c>
      <c r="F2679" t="s">
        <v>575</v>
      </c>
      <c r="G2679" s="6" t="s">
        <v>861</v>
      </c>
      <c r="H2679" t="s">
        <v>1071</v>
      </c>
      <c r="I2679">
        <f t="shared" si="163"/>
        <v>14.5</v>
      </c>
      <c r="J2679">
        <f t="shared" si="162"/>
        <v>6.577089365</v>
      </c>
      <c r="K2679">
        <v>1.61</v>
      </c>
      <c r="L2679">
        <f t="shared" si="164"/>
        <v>10.58911387765</v>
      </c>
    </row>
    <row r="2680" spans="1:12" x14ac:dyDescent="0.2">
      <c r="A2680" s="4">
        <v>43503</v>
      </c>
      <c r="B2680" t="s">
        <v>538</v>
      </c>
      <c r="C2680">
        <v>1</v>
      </c>
      <c r="D2680">
        <v>4</v>
      </c>
      <c r="E2680">
        <v>1.625</v>
      </c>
      <c r="F2680" t="s">
        <v>747</v>
      </c>
      <c r="G2680" s="6" t="s">
        <v>861</v>
      </c>
      <c r="H2680" t="s">
        <v>1071</v>
      </c>
      <c r="I2680">
        <f t="shared" si="163"/>
        <v>6.5</v>
      </c>
      <c r="J2680">
        <f t="shared" si="162"/>
        <v>2.9483504050000002</v>
      </c>
      <c r="K2680">
        <v>1.61</v>
      </c>
      <c r="L2680">
        <f t="shared" si="164"/>
        <v>4.7468441520500004</v>
      </c>
    </row>
    <row r="2681" spans="1:12" x14ac:dyDescent="0.2">
      <c r="A2681" s="4">
        <v>43503</v>
      </c>
      <c r="B2681" t="s">
        <v>538</v>
      </c>
      <c r="C2681">
        <v>2</v>
      </c>
      <c r="D2681">
        <v>4</v>
      </c>
      <c r="E2681">
        <v>30.3125</v>
      </c>
      <c r="F2681" t="s">
        <v>470</v>
      </c>
      <c r="G2681" s="6" t="s">
        <v>861</v>
      </c>
      <c r="H2681" t="s">
        <v>1071</v>
      </c>
      <c r="I2681">
        <f t="shared" si="163"/>
        <v>242.5</v>
      </c>
      <c r="J2681">
        <f t="shared" si="162"/>
        <v>109.99614972500001</v>
      </c>
      <c r="K2681">
        <v>1.61</v>
      </c>
      <c r="L2681">
        <f t="shared" si="164"/>
        <v>177.09380105725003</v>
      </c>
    </row>
    <row r="2682" spans="1:12" x14ac:dyDescent="0.2">
      <c r="A2682" s="4">
        <v>43503</v>
      </c>
      <c r="B2682" t="s">
        <v>538</v>
      </c>
      <c r="C2682">
        <v>2</v>
      </c>
      <c r="D2682">
        <v>4</v>
      </c>
      <c r="E2682">
        <v>30.3125</v>
      </c>
      <c r="F2682" t="s">
        <v>580</v>
      </c>
      <c r="G2682" s="6" t="s">
        <v>861</v>
      </c>
      <c r="H2682" t="s">
        <v>1071</v>
      </c>
      <c r="I2682">
        <f t="shared" si="163"/>
        <v>242.5</v>
      </c>
      <c r="J2682">
        <f t="shared" si="162"/>
        <v>109.99614972500001</v>
      </c>
      <c r="K2682">
        <v>1.61</v>
      </c>
      <c r="L2682">
        <f t="shared" si="164"/>
        <v>177.09380105725003</v>
      </c>
    </row>
    <row r="2683" spans="1:12" x14ac:dyDescent="0.2">
      <c r="A2683" s="4">
        <v>43503</v>
      </c>
      <c r="B2683" t="s">
        <v>538</v>
      </c>
      <c r="C2683">
        <v>2</v>
      </c>
      <c r="D2683">
        <v>4</v>
      </c>
      <c r="E2683">
        <v>40.3125</v>
      </c>
      <c r="F2683" t="s">
        <v>548</v>
      </c>
      <c r="G2683" s="6" t="s">
        <v>861</v>
      </c>
      <c r="H2683" t="s">
        <v>1071</v>
      </c>
      <c r="I2683">
        <f t="shared" si="163"/>
        <v>322.5</v>
      </c>
      <c r="J2683">
        <f t="shared" si="162"/>
        <v>146.28353932500002</v>
      </c>
      <c r="K2683">
        <v>1.61</v>
      </c>
      <c r="L2683">
        <f t="shared" si="164"/>
        <v>235.51649831325005</v>
      </c>
    </row>
    <row r="2684" spans="1:12" x14ac:dyDescent="0.2">
      <c r="A2684" s="4">
        <v>43497</v>
      </c>
      <c r="B2684" t="s">
        <v>517</v>
      </c>
      <c r="C2684">
        <v>1</v>
      </c>
      <c r="D2684">
        <v>6</v>
      </c>
      <c r="E2684">
        <v>1</v>
      </c>
      <c r="F2684" t="s">
        <v>519</v>
      </c>
      <c r="G2684" t="s">
        <v>847</v>
      </c>
      <c r="H2684" t="s">
        <v>1073</v>
      </c>
      <c r="I2684">
        <f t="shared" si="163"/>
        <v>6</v>
      </c>
      <c r="J2684">
        <f t="shared" si="162"/>
        <v>2.7215542200000002</v>
      </c>
      <c r="K2684">
        <v>9.9740000000000002</v>
      </c>
      <c r="L2684">
        <f t="shared" si="164"/>
        <v>27.144781790280003</v>
      </c>
    </row>
    <row r="2685" spans="1:12" x14ac:dyDescent="0.2">
      <c r="A2685" s="4">
        <v>43497</v>
      </c>
      <c r="B2685" t="s">
        <v>517</v>
      </c>
      <c r="C2685">
        <v>2</v>
      </c>
      <c r="D2685">
        <v>6</v>
      </c>
      <c r="E2685">
        <v>3</v>
      </c>
      <c r="F2685" t="s">
        <v>387</v>
      </c>
      <c r="G2685" t="s">
        <v>847</v>
      </c>
      <c r="H2685" t="s">
        <v>1073</v>
      </c>
      <c r="I2685">
        <f t="shared" si="163"/>
        <v>36</v>
      </c>
      <c r="J2685">
        <f t="shared" si="162"/>
        <v>16.329325319999999</v>
      </c>
      <c r="K2685">
        <v>9.9740000000000002</v>
      </c>
      <c r="L2685">
        <f t="shared" si="164"/>
        <v>162.86869074167998</v>
      </c>
    </row>
    <row r="2686" spans="1:12" x14ac:dyDescent="0.2">
      <c r="A2686" s="4">
        <v>43497</v>
      </c>
      <c r="B2686" t="s">
        <v>517</v>
      </c>
      <c r="C2686">
        <v>2</v>
      </c>
      <c r="D2686">
        <v>6</v>
      </c>
      <c r="E2686">
        <v>3</v>
      </c>
      <c r="F2686" t="s">
        <v>387</v>
      </c>
      <c r="G2686" t="s">
        <v>847</v>
      </c>
      <c r="H2686" t="s">
        <v>1073</v>
      </c>
      <c r="I2686">
        <f t="shared" si="163"/>
        <v>36</v>
      </c>
      <c r="J2686">
        <f t="shared" si="162"/>
        <v>16.329325319999999</v>
      </c>
      <c r="K2686">
        <v>9.9740000000000002</v>
      </c>
      <c r="L2686">
        <f t="shared" si="164"/>
        <v>162.86869074167998</v>
      </c>
    </row>
    <row r="2687" spans="1:12" x14ac:dyDescent="0.2">
      <c r="A2687" s="4">
        <v>43497</v>
      </c>
      <c r="B2687" t="s">
        <v>517</v>
      </c>
      <c r="C2687">
        <v>2</v>
      </c>
      <c r="D2687">
        <v>6</v>
      </c>
      <c r="E2687">
        <v>0.6875</v>
      </c>
      <c r="F2687" t="s">
        <v>388</v>
      </c>
      <c r="G2687" t="s">
        <v>847</v>
      </c>
      <c r="H2687" t="s">
        <v>1073</v>
      </c>
      <c r="I2687">
        <f t="shared" si="163"/>
        <v>8.25</v>
      </c>
      <c r="J2687">
        <f t="shared" si="162"/>
        <v>3.7421370525000004</v>
      </c>
      <c r="K2687">
        <v>9.9740000000000002</v>
      </c>
      <c r="L2687">
        <f t="shared" si="164"/>
        <v>37.324074961635006</v>
      </c>
    </row>
    <row r="2688" spans="1:12" x14ac:dyDescent="0.2">
      <c r="A2688" s="4">
        <v>43497</v>
      </c>
      <c r="B2688" t="s">
        <v>517</v>
      </c>
      <c r="C2688">
        <v>3</v>
      </c>
      <c r="D2688">
        <v>2</v>
      </c>
      <c r="E2688">
        <v>5</v>
      </c>
      <c r="F2688" t="s">
        <v>389</v>
      </c>
      <c r="G2688" t="s">
        <v>847</v>
      </c>
      <c r="H2688" t="s">
        <v>1073</v>
      </c>
      <c r="I2688">
        <f t="shared" si="163"/>
        <v>30</v>
      </c>
      <c r="J2688">
        <f t="shared" si="162"/>
        <v>13.607771100000001</v>
      </c>
      <c r="K2688">
        <v>9.9740000000000002</v>
      </c>
      <c r="L2688">
        <f t="shared" si="164"/>
        <v>135.72390895140001</v>
      </c>
    </row>
    <row r="2689" spans="1:12" x14ac:dyDescent="0.2">
      <c r="A2689" s="4">
        <v>43497</v>
      </c>
      <c r="B2689" t="s">
        <v>517</v>
      </c>
      <c r="C2689">
        <v>1</v>
      </c>
      <c r="D2689">
        <v>4</v>
      </c>
      <c r="E2689">
        <v>5</v>
      </c>
      <c r="F2689" t="s">
        <v>390</v>
      </c>
      <c r="G2689" t="s">
        <v>847</v>
      </c>
      <c r="H2689" t="s">
        <v>1073</v>
      </c>
      <c r="I2689">
        <f t="shared" si="163"/>
        <v>20</v>
      </c>
      <c r="J2689">
        <f t="shared" si="162"/>
        <v>9.0718474000000011</v>
      </c>
      <c r="K2689">
        <v>9.9740000000000002</v>
      </c>
      <c r="L2689">
        <f t="shared" si="164"/>
        <v>90.482605967600009</v>
      </c>
    </row>
    <row r="2690" spans="1:12" x14ac:dyDescent="0.2">
      <c r="A2690" s="4">
        <v>43497</v>
      </c>
      <c r="B2690" t="s">
        <v>517</v>
      </c>
      <c r="C2690">
        <v>5</v>
      </c>
      <c r="D2690">
        <v>4</v>
      </c>
      <c r="E2690">
        <v>5</v>
      </c>
      <c r="F2690" t="s">
        <v>391</v>
      </c>
      <c r="G2690" t="s">
        <v>847</v>
      </c>
      <c r="H2690" t="s">
        <v>1073</v>
      </c>
      <c r="I2690">
        <f t="shared" si="163"/>
        <v>100</v>
      </c>
      <c r="J2690">
        <f t="shared" si="162"/>
        <v>45.359237</v>
      </c>
      <c r="K2690">
        <v>9.9740000000000002</v>
      </c>
      <c r="L2690">
        <f t="shared" si="164"/>
        <v>452.413029838</v>
      </c>
    </row>
    <row r="2691" spans="1:12" x14ac:dyDescent="0.2">
      <c r="A2691" s="4">
        <v>43497</v>
      </c>
      <c r="B2691" t="s">
        <v>517</v>
      </c>
      <c r="C2691">
        <v>8</v>
      </c>
      <c r="D2691">
        <v>4</v>
      </c>
      <c r="E2691">
        <v>5</v>
      </c>
      <c r="F2691" t="s">
        <v>392</v>
      </c>
      <c r="G2691" t="s">
        <v>847</v>
      </c>
      <c r="H2691" t="s">
        <v>1073</v>
      </c>
      <c r="I2691">
        <f t="shared" si="163"/>
        <v>160</v>
      </c>
      <c r="J2691">
        <f t="shared" ref="J2691:J2754" si="165">CONVERT(I2691,"lbm","kg")</f>
        <v>72.574779200000009</v>
      </c>
      <c r="K2691">
        <v>9.9740000000000002</v>
      </c>
      <c r="L2691">
        <f t="shared" si="164"/>
        <v>723.86084774080007</v>
      </c>
    </row>
    <row r="2692" spans="1:12" x14ac:dyDescent="0.2">
      <c r="A2692" s="4">
        <v>43497</v>
      </c>
      <c r="B2692" t="s">
        <v>517</v>
      </c>
      <c r="C2692">
        <v>1</v>
      </c>
      <c r="D2692">
        <v>2</v>
      </c>
      <c r="E2692">
        <v>5</v>
      </c>
      <c r="F2692" t="s">
        <v>732</v>
      </c>
      <c r="G2692" t="s">
        <v>847</v>
      </c>
      <c r="H2692" t="s">
        <v>1073</v>
      </c>
      <c r="I2692">
        <f t="shared" si="163"/>
        <v>10</v>
      </c>
      <c r="J2692">
        <f t="shared" si="165"/>
        <v>4.5359237000000006</v>
      </c>
      <c r="K2692">
        <v>9.9740000000000002</v>
      </c>
      <c r="L2692">
        <f t="shared" si="164"/>
        <v>45.241302983800004</v>
      </c>
    </row>
    <row r="2693" spans="1:12" x14ac:dyDescent="0.2">
      <c r="A2693" s="4">
        <v>43497</v>
      </c>
      <c r="B2693" t="s">
        <v>517</v>
      </c>
      <c r="C2693">
        <v>2</v>
      </c>
      <c r="D2693">
        <v>4</v>
      </c>
      <c r="E2693">
        <v>2.5</v>
      </c>
      <c r="F2693" t="s">
        <v>1009</v>
      </c>
      <c r="G2693" t="s">
        <v>847</v>
      </c>
      <c r="H2693" t="s">
        <v>1073</v>
      </c>
      <c r="I2693">
        <f t="shared" si="163"/>
        <v>20</v>
      </c>
      <c r="J2693">
        <f t="shared" si="165"/>
        <v>9.0718474000000011</v>
      </c>
      <c r="K2693">
        <v>9.9740000000000002</v>
      </c>
      <c r="L2693">
        <f t="shared" si="164"/>
        <v>90.482605967600009</v>
      </c>
    </row>
    <row r="2694" spans="1:12" x14ac:dyDescent="0.2">
      <c r="A2694" s="4">
        <v>43497</v>
      </c>
      <c r="B2694" t="s">
        <v>517</v>
      </c>
      <c r="C2694">
        <v>1</v>
      </c>
      <c r="D2694">
        <v>8</v>
      </c>
      <c r="E2694">
        <v>1.25</v>
      </c>
      <c r="F2694" t="s">
        <v>1010</v>
      </c>
      <c r="G2694" t="s">
        <v>847</v>
      </c>
      <c r="H2694" t="s">
        <v>1073</v>
      </c>
      <c r="I2694">
        <f t="shared" si="163"/>
        <v>10</v>
      </c>
      <c r="J2694">
        <f t="shared" si="165"/>
        <v>4.5359237000000006</v>
      </c>
      <c r="K2694">
        <v>9.9740000000000002</v>
      </c>
      <c r="L2694">
        <f t="shared" si="164"/>
        <v>45.241302983800004</v>
      </c>
    </row>
    <row r="2695" spans="1:12" x14ac:dyDescent="0.2">
      <c r="A2695" s="4">
        <v>43497</v>
      </c>
      <c r="B2695" t="s">
        <v>517</v>
      </c>
      <c r="C2695">
        <v>1</v>
      </c>
      <c r="D2695">
        <v>4</v>
      </c>
      <c r="E2695">
        <v>2.5</v>
      </c>
      <c r="F2695" t="s">
        <v>1011</v>
      </c>
      <c r="G2695" t="s">
        <v>847</v>
      </c>
      <c r="H2695" t="s">
        <v>1073</v>
      </c>
      <c r="I2695">
        <f t="shared" si="163"/>
        <v>10</v>
      </c>
      <c r="J2695">
        <f t="shared" si="165"/>
        <v>4.5359237000000006</v>
      </c>
      <c r="K2695">
        <v>9.9740000000000002</v>
      </c>
      <c r="L2695">
        <f t="shared" si="164"/>
        <v>45.241302983800004</v>
      </c>
    </row>
    <row r="2696" spans="1:12" x14ac:dyDescent="0.2">
      <c r="A2696" s="4">
        <v>43497</v>
      </c>
      <c r="B2696" t="s">
        <v>517</v>
      </c>
      <c r="C2696">
        <v>2</v>
      </c>
      <c r="D2696">
        <v>2</v>
      </c>
      <c r="E2696">
        <v>5</v>
      </c>
      <c r="F2696" t="s">
        <v>393</v>
      </c>
      <c r="G2696" t="s">
        <v>847</v>
      </c>
      <c r="H2696" t="s">
        <v>1073</v>
      </c>
      <c r="I2696">
        <f t="shared" si="163"/>
        <v>20</v>
      </c>
      <c r="J2696">
        <f t="shared" si="165"/>
        <v>9.0718474000000011</v>
      </c>
      <c r="K2696">
        <v>9.9740000000000002</v>
      </c>
      <c r="L2696">
        <f t="shared" si="164"/>
        <v>90.482605967600009</v>
      </c>
    </row>
    <row r="2697" spans="1:12" x14ac:dyDescent="0.2">
      <c r="A2697" s="4">
        <v>43500</v>
      </c>
      <c r="B2697" t="s">
        <v>517</v>
      </c>
      <c r="C2697">
        <v>2</v>
      </c>
      <c r="D2697">
        <v>6</v>
      </c>
      <c r="E2697">
        <v>3</v>
      </c>
      <c r="F2697" t="s">
        <v>387</v>
      </c>
      <c r="G2697" t="s">
        <v>847</v>
      </c>
      <c r="H2697" t="s">
        <v>1073</v>
      </c>
      <c r="I2697">
        <f t="shared" si="163"/>
        <v>36</v>
      </c>
      <c r="J2697">
        <f t="shared" si="165"/>
        <v>16.329325319999999</v>
      </c>
      <c r="K2697">
        <v>9.9740000000000002</v>
      </c>
      <c r="L2697">
        <f t="shared" si="164"/>
        <v>162.86869074167998</v>
      </c>
    </row>
    <row r="2698" spans="1:12" x14ac:dyDescent="0.2">
      <c r="A2698" s="4">
        <v>43500</v>
      </c>
      <c r="B2698" t="s">
        <v>517</v>
      </c>
      <c r="C2698">
        <v>1</v>
      </c>
      <c r="D2698">
        <v>6</v>
      </c>
      <c r="E2698">
        <v>0.6875</v>
      </c>
      <c r="F2698" t="s">
        <v>388</v>
      </c>
      <c r="G2698" t="s">
        <v>847</v>
      </c>
      <c r="H2698" t="s">
        <v>1073</v>
      </c>
      <c r="I2698">
        <f t="shared" si="163"/>
        <v>4.125</v>
      </c>
      <c r="J2698">
        <f t="shared" si="165"/>
        <v>1.8710685262500002</v>
      </c>
      <c r="K2698">
        <v>9.9740000000000002</v>
      </c>
      <c r="L2698">
        <f t="shared" si="164"/>
        <v>18.662037480817503</v>
      </c>
    </row>
    <row r="2699" spans="1:12" x14ac:dyDescent="0.2">
      <c r="A2699" s="4">
        <v>43500</v>
      </c>
      <c r="B2699" t="s">
        <v>517</v>
      </c>
      <c r="C2699">
        <v>2</v>
      </c>
      <c r="D2699">
        <v>2</v>
      </c>
      <c r="E2699">
        <v>5</v>
      </c>
      <c r="F2699" t="s">
        <v>389</v>
      </c>
      <c r="G2699" t="s">
        <v>847</v>
      </c>
      <c r="H2699" t="s">
        <v>1073</v>
      </c>
      <c r="I2699">
        <f t="shared" si="163"/>
        <v>20</v>
      </c>
      <c r="J2699">
        <f t="shared" si="165"/>
        <v>9.0718474000000011</v>
      </c>
      <c r="K2699">
        <v>9.9740000000000002</v>
      </c>
      <c r="L2699">
        <f t="shared" si="164"/>
        <v>90.482605967600009</v>
      </c>
    </row>
    <row r="2700" spans="1:12" x14ac:dyDescent="0.2">
      <c r="A2700" s="4">
        <v>43500</v>
      </c>
      <c r="B2700" t="s">
        <v>517</v>
      </c>
      <c r="C2700">
        <v>1</v>
      </c>
      <c r="D2700">
        <v>4</v>
      </c>
      <c r="E2700">
        <v>5</v>
      </c>
      <c r="F2700" t="s">
        <v>390</v>
      </c>
      <c r="G2700" t="s">
        <v>847</v>
      </c>
      <c r="H2700" t="s">
        <v>1073</v>
      </c>
      <c r="I2700">
        <f t="shared" si="163"/>
        <v>20</v>
      </c>
      <c r="J2700">
        <f t="shared" si="165"/>
        <v>9.0718474000000011</v>
      </c>
      <c r="K2700">
        <v>9.9740000000000002</v>
      </c>
      <c r="L2700">
        <f t="shared" si="164"/>
        <v>90.482605967600009</v>
      </c>
    </row>
    <row r="2701" spans="1:12" x14ac:dyDescent="0.2">
      <c r="A2701" s="4">
        <v>43500</v>
      </c>
      <c r="B2701" t="s">
        <v>517</v>
      </c>
      <c r="C2701">
        <v>4</v>
      </c>
      <c r="D2701">
        <v>4</v>
      </c>
      <c r="E2701">
        <v>5</v>
      </c>
      <c r="F2701" t="s">
        <v>391</v>
      </c>
      <c r="G2701" t="s">
        <v>847</v>
      </c>
      <c r="H2701" t="s">
        <v>1073</v>
      </c>
      <c r="I2701">
        <f t="shared" ref="I2701:I2730" si="166">C2701*D2701*E2701</f>
        <v>80</v>
      </c>
      <c r="J2701">
        <f t="shared" si="165"/>
        <v>36.287389600000004</v>
      </c>
      <c r="K2701">
        <v>9.9740000000000002</v>
      </c>
      <c r="L2701">
        <f t="shared" si="164"/>
        <v>361.93042387040003</v>
      </c>
    </row>
    <row r="2702" spans="1:12" x14ac:dyDescent="0.2">
      <c r="A2702" s="4">
        <v>43500</v>
      </c>
      <c r="B2702" t="s">
        <v>517</v>
      </c>
      <c r="C2702">
        <v>12</v>
      </c>
      <c r="D2702">
        <v>4</v>
      </c>
      <c r="E2702">
        <v>5</v>
      </c>
      <c r="F2702" t="s">
        <v>392</v>
      </c>
      <c r="G2702" t="s">
        <v>847</v>
      </c>
      <c r="H2702" t="s">
        <v>1073</v>
      </c>
      <c r="I2702">
        <f t="shared" si="166"/>
        <v>240</v>
      </c>
      <c r="J2702">
        <f t="shared" si="165"/>
        <v>108.86216880000001</v>
      </c>
      <c r="K2702">
        <v>9.9740000000000002</v>
      </c>
      <c r="L2702">
        <f t="shared" si="164"/>
        <v>1085.7912716112</v>
      </c>
    </row>
    <row r="2703" spans="1:12" x14ac:dyDescent="0.2">
      <c r="A2703" s="4">
        <v>43500</v>
      </c>
      <c r="B2703" t="s">
        <v>517</v>
      </c>
      <c r="C2703">
        <v>1</v>
      </c>
      <c r="D2703">
        <v>4</v>
      </c>
      <c r="E2703">
        <v>2.5</v>
      </c>
      <c r="F2703" t="s">
        <v>1008</v>
      </c>
      <c r="G2703" t="s">
        <v>847</v>
      </c>
      <c r="H2703" t="s">
        <v>1073</v>
      </c>
      <c r="I2703">
        <f t="shared" si="166"/>
        <v>10</v>
      </c>
      <c r="J2703">
        <f t="shared" si="165"/>
        <v>4.5359237000000006</v>
      </c>
      <c r="K2703">
        <v>9.9740000000000002</v>
      </c>
      <c r="L2703">
        <f t="shared" si="164"/>
        <v>45.241302983800004</v>
      </c>
    </row>
    <row r="2704" spans="1:12" x14ac:dyDescent="0.2">
      <c r="A2704" s="4">
        <v>43500</v>
      </c>
      <c r="B2704" t="s">
        <v>517</v>
      </c>
      <c r="C2704">
        <v>1</v>
      </c>
      <c r="D2704">
        <v>8</v>
      </c>
      <c r="E2704">
        <v>1.25</v>
      </c>
      <c r="F2704" t="s">
        <v>1010</v>
      </c>
      <c r="G2704" t="s">
        <v>847</v>
      </c>
      <c r="H2704" t="s">
        <v>1073</v>
      </c>
      <c r="I2704">
        <f t="shared" si="166"/>
        <v>10</v>
      </c>
      <c r="J2704">
        <f t="shared" si="165"/>
        <v>4.5359237000000006</v>
      </c>
      <c r="K2704">
        <v>9.9740000000000002</v>
      </c>
      <c r="L2704">
        <f t="shared" si="164"/>
        <v>45.241302983800004</v>
      </c>
    </row>
    <row r="2705" spans="1:12" x14ac:dyDescent="0.2">
      <c r="A2705" s="4">
        <v>43500</v>
      </c>
      <c r="B2705" t="s">
        <v>517</v>
      </c>
      <c r="C2705">
        <v>1</v>
      </c>
      <c r="D2705">
        <v>4</v>
      </c>
      <c r="E2705">
        <v>2.5</v>
      </c>
      <c r="F2705" t="s">
        <v>1011</v>
      </c>
      <c r="G2705" t="s">
        <v>847</v>
      </c>
      <c r="H2705" t="s">
        <v>1073</v>
      </c>
      <c r="I2705">
        <f t="shared" si="166"/>
        <v>10</v>
      </c>
      <c r="J2705">
        <f t="shared" si="165"/>
        <v>4.5359237000000006</v>
      </c>
      <c r="K2705">
        <v>9.9740000000000002</v>
      </c>
      <c r="L2705">
        <f t="shared" si="164"/>
        <v>45.241302983800004</v>
      </c>
    </row>
    <row r="2706" spans="1:12" x14ac:dyDescent="0.2">
      <c r="A2706" s="4">
        <v>43500</v>
      </c>
      <c r="B2706" t="s">
        <v>517</v>
      </c>
      <c r="C2706">
        <v>2</v>
      </c>
      <c r="D2706">
        <v>2</v>
      </c>
      <c r="E2706">
        <v>5</v>
      </c>
      <c r="F2706" t="s">
        <v>393</v>
      </c>
      <c r="G2706" t="s">
        <v>847</v>
      </c>
      <c r="H2706" t="s">
        <v>1073</v>
      </c>
      <c r="I2706">
        <f t="shared" si="166"/>
        <v>20</v>
      </c>
      <c r="J2706">
        <f t="shared" si="165"/>
        <v>9.0718474000000011</v>
      </c>
      <c r="K2706">
        <v>9.9740000000000002</v>
      </c>
      <c r="L2706">
        <f t="shared" si="164"/>
        <v>90.482605967600009</v>
      </c>
    </row>
    <row r="2707" spans="1:12" x14ac:dyDescent="0.2">
      <c r="A2707" s="4">
        <v>43500</v>
      </c>
      <c r="B2707" t="s">
        <v>517</v>
      </c>
      <c r="C2707">
        <v>1</v>
      </c>
      <c r="D2707">
        <v>6</v>
      </c>
      <c r="E2707">
        <v>3</v>
      </c>
      <c r="F2707" t="s">
        <v>744</v>
      </c>
      <c r="G2707" t="s">
        <v>847</v>
      </c>
      <c r="H2707" t="s">
        <v>1073</v>
      </c>
      <c r="I2707">
        <f t="shared" si="166"/>
        <v>18</v>
      </c>
      <c r="J2707">
        <f t="shared" si="165"/>
        <v>8.1646626599999994</v>
      </c>
      <c r="K2707">
        <v>9.9740000000000002</v>
      </c>
      <c r="L2707">
        <f t="shared" si="164"/>
        <v>81.434345370839992</v>
      </c>
    </row>
    <row r="2708" spans="1:12" x14ac:dyDescent="0.2">
      <c r="A2708" s="4">
        <v>43500</v>
      </c>
      <c r="B2708" t="s">
        <v>517</v>
      </c>
      <c r="C2708">
        <v>2</v>
      </c>
      <c r="D2708">
        <v>6</v>
      </c>
      <c r="E2708">
        <v>3</v>
      </c>
      <c r="F2708" t="s">
        <v>387</v>
      </c>
      <c r="G2708" t="s">
        <v>847</v>
      </c>
      <c r="H2708" t="s">
        <v>1073</v>
      </c>
      <c r="I2708">
        <f t="shared" si="166"/>
        <v>36</v>
      </c>
      <c r="J2708">
        <f t="shared" si="165"/>
        <v>16.329325319999999</v>
      </c>
      <c r="K2708">
        <v>9.9740000000000002</v>
      </c>
      <c r="L2708">
        <f t="shared" si="164"/>
        <v>162.86869074167998</v>
      </c>
    </row>
    <row r="2709" spans="1:12" x14ac:dyDescent="0.2">
      <c r="A2709" s="4">
        <v>43503</v>
      </c>
      <c r="B2709" t="s">
        <v>517</v>
      </c>
      <c r="C2709">
        <v>2</v>
      </c>
      <c r="D2709">
        <v>4</v>
      </c>
      <c r="E2709">
        <v>5</v>
      </c>
      <c r="F2709" t="s">
        <v>521</v>
      </c>
      <c r="G2709" t="s">
        <v>847</v>
      </c>
      <c r="H2709" t="s">
        <v>1073</v>
      </c>
      <c r="I2709">
        <f t="shared" si="166"/>
        <v>40</v>
      </c>
      <c r="J2709">
        <f t="shared" si="165"/>
        <v>18.143694800000002</v>
      </c>
      <c r="K2709">
        <v>9.9740000000000002</v>
      </c>
      <c r="L2709">
        <f t="shared" si="164"/>
        <v>180.96521193520002</v>
      </c>
    </row>
    <row r="2710" spans="1:12" x14ac:dyDescent="0.2">
      <c r="A2710" s="4">
        <v>43503</v>
      </c>
      <c r="B2710" t="s">
        <v>517</v>
      </c>
      <c r="C2710">
        <v>1</v>
      </c>
      <c r="D2710">
        <v>4</v>
      </c>
      <c r="E2710">
        <v>2.5</v>
      </c>
      <c r="F2710" t="s">
        <v>1008</v>
      </c>
      <c r="G2710" t="s">
        <v>847</v>
      </c>
      <c r="H2710" t="s">
        <v>1073</v>
      </c>
      <c r="I2710">
        <f t="shared" si="166"/>
        <v>10</v>
      </c>
      <c r="J2710">
        <f t="shared" si="165"/>
        <v>4.5359237000000006</v>
      </c>
      <c r="K2710">
        <v>9.9740000000000002</v>
      </c>
      <c r="L2710">
        <f t="shared" ref="L2710:L2773" si="167">J2710*K2710</f>
        <v>45.241302983800004</v>
      </c>
    </row>
    <row r="2711" spans="1:12" x14ac:dyDescent="0.2">
      <c r="A2711" s="4">
        <v>43503</v>
      </c>
      <c r="B2711" t="s">
        <v>517</v>
      </c>
      <c r="C2711">
        <v>1</v>
      </c>
      <c r="D2711">
        <v>4</v>
      </c>
      <c r="E2711">
        <v>2.5</v>
      </c>
      <c r="F2711" t="s">
        <v>1011</v>
      </c>
      <c r="G2711" t="s">
        <v>847</v>
      </c>
      <c r="H2711" t="s">
        <v>1073</v>
      </c>
      <c r="I2711">
        <f t="shared" si="166"/>
        <v>10</v>
      </c>
      <c r="J2711">
        <f t="shared" si="165"/>
        <v>4.5359237000000006</v>
      </c>
      <c r="K2711">
        <v>9.9740000000000002</v>
      </c>
      <c r="L2711">
        <f t="shared" si="167"/>
        <v>45.241302983800004</v>
      </c>
    </row>
    <row r="2712" spans="1:12" x14ac:dyDescent="0.2">
      <c r="A2712" s="4">
        <v>43503</v>
      </c>
      <c r="B2712" t="s">
        <v>201</v>
      </c>
      <c r="C2712" s="35">
        <v>1</v>
      </c>
      <c r="D2712" s="35">
        <v>1</v>
      </c>
      <c r="E2712">
        <v>20</v>
      </c>
      <c r="F2712" s="9" t="s">
        <v>51</v>
      </c>
      <c r="G2712" s="9" t="s">
        <v>755</v>
      </c>
      <c r="H2712" s="9" t="s">
        <v>1072</v>
      </c>
      <c r="I2712">
        <f t="shared" si="166"/>
        <v>20</v>
      </c>
      <c r="J2712">
        <f t="shared" si="165"/>
        <v>9.0718474000000011</v>
      </c>
      <c r="K2712">
        <v>4.1879999999999997</v>
      </c>
      <c r="L2712">
        <f t="shared" si="167"/>
        <v>37.992896911199999</v>
      </c>
    </row>
    <row r="2713" spans="1:12" x14ac:dyDescent="0.2">
      <c r="A2713" s="4">
        <v>43502</v>
      </c>
      <c r="B2713" t="s">
        <v>201</v>
      </c>
      <c r="C2713" s="35">
        <v>1</v>
      </c>
      <c r="D2713" s="35">
        <v>1</v>
      </c>
      <c r="E2713">
        <v>300</v>
      </c>
      <c r="F2713" s="9" t="s">
        <v>51</v>
      </c>
      <c r="G2713" s="9" t="s">
        <v>755</v>
      </c>
      <c r="H2713" s="9" t="s">
        <v>1072</v>
      </c>
      <c r="I2713">
        <f t="shared" si="166"/>
        <v>300</v>
      </c>
      <c r="J2713">
        <f t="shared" si="165"/>
        <v>136.07771100000002</v>
      </c>
      <c r="K2713">
        <v>4.1879999999999997</v>
      </c>
      <c r="L2713">
        <f t="shared" si="167"/>
        <v>569.89345366800001</v>
      </c>
    </row>
    <row r="2714" spans="1:12" x14ac:dyDescent="0.2">
      <c r="A2714" s="4">
        <v>43502</v>
      </c>
      <c r="B2714" t="s">
        <v>201</v>
      </c>
      <c r="C2714" s="35">
        <v>1</v>
      </c>
      <c r="D2714" s="35">
        <v>1</v>
      </c>
      <c r="E2714">
        <v>300</v>
      </c>
      <c r="F2714" s="9" t="s">
        <v>295</v>
      </c>
      <c r="G2714" s="9" t="s">
        <v>755</v>
      </c>
      <c r="H2714" s="9" t="s">
        <v>1072</v>
      </c>
      <c r="I2714">
        <f t="shared" si="166"/>
        <v>300</v>
      </c>
      <c r="J2714">
        <f t="shared" si="165"/>
        <v>136.07771100000002</v>
      </c>
      <c r="K2714">
        <v>4.1879999999999997</v>
      </c>
      <c r="L2714">
        <f t="shared" si="167"/>
        <v>569.89345366800001</v>
      </c>
    </row>
    <row r="2715" spans="1:12" x14ac:dyDescent="0.2">
      <c r="A2715" s="4">
        <v>43502</v>
      </c>
      <c r="B2715" t="s">
        <v>201</v>
      </c>
      <c r="C2715" s="35">
        <v>1</v>
      </c>
      <c r="D2715" s="35">
        <v>1</v>
      </c>
      <c r="E2715">
        <v>20</v>
      </c>
      <c r="F2715" s="9" t="s">
        <v>474</v>
      </c>
      <c r="G2715" s="9" t="s">
        <v>755</v>
      </c>
      <c r="H2715" s="9" t="s">
        <v>1072</v>
      </c>
      <c r="I2715">
        <f t="shared" si="166"/>
        <v>20</v>
      </c>
      <c r="J2715">
        <f t="shared" si="165"/>
        <v>9.0718474000000011</v>
      </c>
      <c r="K2715">
        <v>4.1879999999999997</v>
      </c>
      <c r="L2715">
        <f t="shared" si="167"/>
        <v>37.992896911199999</v>
      </c>
    </row>
    <row r="2716" spans="1:12" x14ac:dyDescent="0.2">
      <c r="A2716" s="4">
        <v>43502</v>
      </c>
      <c r="B2716" t="s">
        <v>201</v>
      </c>
      <c r="C2716" s="35">
        <v>1</v>
      </c>
      <c r="D2716" s="35">
        <v>1</v>
      </c>
      <c r="E2716">
        <v>120</v>
      </c>
      <c r="F2716" s="9" t="s">
        <v>52</v>
      </c>
      <c r="G2716" s="9" t="s">
        <v>755</v>
      </c>
      <c r="H2716" s="9" t="s">
        <v>1072</v>
      </c>
      <c r="I2716">
        <f t="shared" si="166"/>
        <v>120</v>
      </c>
      <c r="J2716">
        <f t="shared" si="165"/>
        <v>54.431084400000003</v>
      </c>
      <c r="K2716">
        <v>4.1879999999999997</v>
      </c>
      <c r="L2716">
        <f t="shared" si="167"/>
        <v>227.95738146720001</v>
      </c>
    </row>
    <row r="2717" spans="1:12" x14ac:dyDescent="0.2">
      <c r="A2717" s="4">
        <v>43497</v>
      </c>
      <c r="B2717" t="s">
        <v>201</v>
      </c>
      <c r="C2717" s="35">
        <v>1</v>
      </c>
      <c r="D2717" s="35">
        <v>1</v>
      </c>
      <c r="E2717">
        <v>300</v>
      </c>
      <c r="F2717" s="9" t="s">
        <v>51</v>
      </c>
      <c r="G2717" s="9" t="s">
        <v>755</v>
      </c>
      <c r="H2717" s="9" t="s">
        <v>1072</v>
      </c>
      <c r="I2717">
        <f t="shared" si="166"/>
        <v>300</v>
      </c>
      <c r="J2717">
        <f t="shared" si="165"/>
        <v>136.07771100000002</v>
      </c>
      <c r="K2717">
        <v>4.1879999999999997</v>
      </c>
      <c r="L2717">
        <f t="shared" si="167"/>
        <v>569.89345366800001</v>
      </c>
    </row>
    <row r="2718" spans="1:12" x14ac:dyDescent="0.2">
      <c r="A2718" s="4">
        <v>43497</v>
      </c>
      <c r="B2718" t="s">
        <v>201</v>
      </c>
      <c r="C2718" s="35">
        <v>1</v>
      </c>
      <c r="D2718" s="35">
        <v>1</v>
      </c>
      <c r="E2718">
        <v>120</v>
      </c>
      <c r="F2718" s="9" t="s">
        <v>52</v>
      </c>
      <c r="G2718" s="9" t="s">
        <v>755</v>
      </c>
      <c r="H2718" s="9" t="s">
        <v>1072</v>
      </c>
      <c r="I2718">
        <f t="shared" si="166"/>
        <v>120</v>
      </c>
      <c r="J2718">
        <f t="shared" si="165"/>
        <v>54.431084400000003</v>
      </c>
      <c r="K2718">
        <v>4.1879999999999997</v>
      </c>
      <c r="L2718">
        <f t="shared" si="167"/>
        <v>227.95738146720001</v>
      </c>
    </row>
    <row r="2719" spans="1:12" x14ac:dyDescent="0.2">
      <c r="A2719" s="4">
        <v>43500</v>
      </c>
      <c r="B2719" t="s">
        <v>201</v>
      </c>
      <c r="C2719" s="35">
        <v>1</v>
      </c>
      <c r="D2719" s="35">
        <v>1</v>
      </c>
      <c r="E2719">
        <v>300</v>
      </c>
      <c r="F2719" s="9" t="s">
        <v>51</v>
      </c>
      <c r="G2719" s="9" t="s">
        <v>755</v>
      </c>
      <c r="H2719" s="9" t="s">
        <v>1072</v>
      </c>
      <c r="I2719">
        <f t="shared" si="166"/>
        <v>300</v>
      </c>
      <c r="J2719">
        <f t="shared" si="165"/>
        <v>136.07771100000002</v>
      </c>
      <c r="K2719">
        <v>4.1879999999999997</v>
      </c>
      <c r="L2719">
        <f t="shared" si="167"/>
        <v>569.89345366800001</v>
      </c>
    </row>
    <row r="2720" spans="1:12" x14ac:dyDescent="0.2">
      <c r="A2720" s="4">
        <v>43500</v>
      </c>
      <c r="B2720" t="s">
        <v>201</v>
      </c>
      <c r="C2720" s="35">
        <v>1</v>
      </c>
      <c r="D2720" s="35">
        <v>1</v>
      </c>
      <c r="E2720">
        <v>300</v>
      </c>
      <c r="F2720" s="9" t="s">
        <v>295</v>
      </c>
      <c r="G2720" s="9" t="s">
        <v>755</v>
      </c>
      <c r="H2720" s="9" t="s">
        <v>1072</v>
      </c>
      <c r="I2720">
        <f t="shared" si="166"/>
        <v>300</v>
      </c>
      <c r="J2720">
        <f t="shared" si="165"/>
        <v>136.07771100000002</v>
      </c>
      <c r="K2720">
        <v>4.1879999999999997</v>
      </c>
      <c r="L2720">
        <f t="shared" si="167"/>
        <v>569.89345366800001</v>
      </c>
    </row>
    <row r="2721" spans="1:12" x14ac:dyDescent="0.2">
      <c r="A2721" s="4">
        <v>43500</v>
      </c>
      <c r="B2721" t="s">
        <v>201</v>
      </c>
      <c r="C2721" s="35">
        <v>1</v>
      </c>
      <c r="D2721" s="35">
        <v>1</v>
      </c>
      <c r="E2721">
        <v>20</v>
      </c>
      <c r="F2721" s="9" t="s">
        <v>474</v>
      </c>
      <c r="G2721" s="9" t="s">
        <v>755</v>
      </c>
      <c r="H2721" s="9" t="s">
        <v>1072</v>
      </c>
      <c r="I2721">
        <f t="shared" si="166"/>
        <v>20</v>
      </c>
      <c r="J2721">
        <f t="shared" si="165"/>
        <v>9.0718474000000011</v>
      </c>
      <c r="K2721">
        <v>4.1879999999999997</v>
      </c>
      <c r="L2721">
        <f t="shared" si="167"/>
        <v>37.992896911199999</v>
      </c>
    </row>
    <row r="2722" spans="1:12" x14ac:dyDescent="0.2">
      <c r="A2722" s="4">
        <v>43500</v>
      </c>
      <c r="B2722" t="s">
        <v>201</v>
      </c>
      <c r="C2722" s="35">
        <v>1</v>
      </c>
      <c r="D2722" s="35">
        <v>1</v>
      </c>
      <c r="E2722">
        <v>120</v>
      </c>
      <c r="F2722" s="9" t="s">
        <v>52</v>
      </c>
      <c r="G2722" s="9" t="s">
        <v>755</v>
      </c>
      <c r="H2722" s="9" t="s">
        <v>1072</v>
      </c>
      <c r="I2722">
        <f t="shared" si="166"/>
        <v>120</v>
      </c>
      <c r="J2722">
        <f t="shared" si="165"/>
        <v>54.431084400000003</v>
      </c>
      <c r="K2722">
        <v>4.1879999999999997</v>
      </c>
      <c r="L2722">
        <f t="shared" si="167"/>
        <v>227.95738146720001</v>
      </c>
    </row>
    <row r="2723" spans="1:12" x14ac:dyDescent="0.2">
      <c r="A2723" s="4">
        <v>43501</v>
      </c>
      <c r="B2723" t="s">
        <v>201</v>
      </c>
      <c r="C2723" s="35">
        <v>1</v>
      </c>
      <c r="D2723" s="35">
        <v>1</v>
      </c>
      <c r="E2723">
        <v>300</v>
      </c>
      <c r="F2723" s="9" t="s">
        <v>51</v>
      </c>
      <c r="G2723" s="9" t="s">
        <v>755</v>
      </c>
      <c r="H2723" s="9" t="s">
        <v>1072</v>
      </c>
      <c r="I2723">
        <f t="shared" si="166"/>
        <v>300</v>
      </c>
      <c r="J2723">
        <f t="shared" si="165"/>
        <v>136.07771100000002</v>
      </c>
      <c r="K2723">
        <v>4.1879999999999997</v>
      </c>
      <c r="L2723">
        <f t="shared" si="167"/>
        <v>569.89345366800001</v>
      </c>
    </row>
    <row r="2724" spans="1:12" x14ac:dyDescent="0.2">
      <c r="A2724" s="4">
        <v>43497</v>
      </c>
      <c r="B2724" t="s">
        <v>530</v>
      </c>
      <c r="C2724">
        <v>6</v>
      </c>
      <c r="D2724">
        <v>160</v>
      </c>
      <c r="E2724">
        <v>6.25E-2</v>
      </c>
      <c r="F2724" t="s">
        <v>401</v>
      </c>
      <c r="G2724" t="s">
        <v>755</v>
      </c>
      <c r="H2724" s="9" t="s">
        <v>1072</v>
      </c>
      <c r="I2724">
        <f t="shared" si="166"/>
        <v>60</v>
      </c>
      <c r="J2724">
        <f t="shared" si="165"/>
        <v>27.215542200000002</v>
      </c>
      <c r="K2724">
        <v>4.1879999999999997</v>
      </c>
      <c r="L2724">
        <f t="shared" si="167"/>
        <v>113.9786907336</v>
      </c>
    </row>
    <row r="2725" spans="1:12" x14ac:dyDescent="0.2">
      <c r="A2725" s="4">
        <v>43500</v>
      </c>
      <c r="B2725" t="s">
        <v>530</v>
      </c>
      <c r="C2725">
        <v>4</v>
      </c>
      <c r="D2725">
        <v>160</v>
      </c>
      <c r="E2725">
        <v>6.25E-2</v>
      </c>
      <c r="F2725" t="s">
        <v>401</v>
      </c>
      <c r="G2725" t="s">
        <v>755</v>
      </c>
      <c r="H2725" s="9" t="s">
        <v>1072</v>
      </c>
      <c r="I2725">
        <f t="shared" si="166"/>
        <v>40</v>
      </c>
      <c r="J2725">
        <f t="shared" si="165"/>
        <v>18.143694800000002</v>
      </c>
      <c r="K2725">
        <v>4.1879999999999997</v>
      </c>
      <c r="L2725">
        <f t="shared" si="167"/>
        <v>75.985793822399998</v>
      </c>
    </row>
    <row r="2726" spans="1:12" x14ac:dyDescent="0.2">
      <c r="A2726" s="4">
        <v>43503</v>
      </c>
      <c r="B2726" t="s">
        <v>530</v>
      </c>
      <c r="C2726">
        <v>4</v>
      </c>
      <c r="D2726">
        <v>160</v>
      </c>
      <c r="E2726">
        <v>6.25E-2</v>
      </c>
      <c r="F2726" t="s">
        <v>401</v>
      </c>
      <c r="G2726" t="s">
        <v>755</v>
      </c>
      <c r="H2726" s="9" t="s">
        <v>1072</v>
      </c>
      <c r="I2726">
        <f t="shared" si="166"/>
        <v>40</v>
      </c>
      <c r="J2726">
        <f t="shared" si="165"/>
        <v>18.143694800000002</v>
      </c>
      <c r="K2726">
        <v>4.1879999999999997</v>
      </c>
      <c r="L2726">
        <f t="shared" si="167"/>
        <v>75.985793822399998</v>
      </c>
    </row>
    <row r="2727" spans="1:12" x14ac:dyDescent="0.2">
      <c r="A2727" s="4">
        <v>43497</v>
      </c>
      <c r="B2727" t="s">
        <v>538</v>
      </c>
      <c r="C2727">
        <v>4</v>
      </c>
      <c r="D2727">
        <v>6</v>
      </c>
      <c r="E2727">
        <v>10</v>
      </c>
      <c r="F2727" t="s">
        <v>539</v>
      </c>
      <c r="G2727" s="6" t="s">
        <v>896</v>
      </c>
      <c r="H2727" s="6" t="s">
        <v>1071</v>
      </c>
      <c r="I2727">
        <f t="shared" si="166"/>
        <v>240</v>
      </c>
      <c r="J2727">
        <f t="shared" si="165"/>
        <v>108.86216880000001</v>
      </c>
      <c r="K2727">
        <v>0.49099999999999999</v>
      </c>
      <c r="L2727">
        <f t="shared" si="167"/>
        <v>53.451324880800001</v>
      </c>
    </row>
    <row r="2728" spans="1:12" x14ac:dyDescent="0.2">
      <c r="A2728" s="4">
        <v>43500</v>
      </c>
      <c r="B2728" t="s">
        <v>538</v>
      </c>
      <c r="C2728">
        <v>4</v>
      </c>
      <c r="D2728">
        <v>6</v>
      </c>
      <c r="E2728">
        <v>10</v>
      </c>
      <c r="F2728" t="s">
        <v>539</v>
      </c>
      <c r="G2728" t="s">
        <v>896</v>
      </c>
      <c r="H2728" s="6" t="s">
        <v>1071</v>
      </c>
      <c r="I2728">
        <f t="shared" si="166"/>
        <v>240</v>
      </c>
      <c r="J2728">
        <f t="shared" si="165"/>
        <v>108.86216880000001</v>
      </c>
      <c r="K2728">
        <v>0.49099999999999999</v>
      </c>
      <c r="L2728">
        <f t="shared" si="167"/>
        <v>53.451324880800001</v>
      </c>
    </row>
    <row r="2729" spans="1:12" x14ac:dyDescent="0.2">
      <c r="A2729" s="4">
        <v>43502</v>
      </c>
      <c r="B2729" t="s">
        <v>48</v>
      </c>
      <c r="C2729" s="28">
        <v>1</v>
      </c>
      <c r="D2729" s="35">
        <v>1</v>
      </c>
      <c r="E2729">
        <f>30*(2.8/16)</f>
        <v>5.25</v>
      </c>
      <c r="F2729" t="s">
        <v>300</v>
      </c>
      <c r="G2729" t="s">
        <v>300</v>
      </c>
      <c r="H2729" s="6" t="s">
        <v>1071</v>
      </c>
      <c r="I2729">
        <f t="shared" si="166"/>
        <v>5.25</v>
      </c>
      <c r="J2729">
        <f t="shared" si="165"/>
        <v>2.3813599425</v>
      </c>
      <c r="K2729">
        <v>0.26100000000000001</v>
      </c>
      <c r="L2729">
        <f t="shared" si="167"/>
        <v>0.62153494499250006</v>
      </c>
    </row>
    <row r="2730" spans="1:12" x14ac:dyDescent="0.2">
      <c r="A2730" s="4">
        <v>43500</v>
      </c>
      <c r="B2730" t="s">
        <v>48</v>
      </c>
      <c r="C2730" s="28">
        <v>1</v>
      </c>
      <c r="D2730" s="35">
        <v>1</v>
      </c>
      <c r="E2730">
        <f>30*(2.8/16)</f>
        <v>5.25</v>
      </c>
      <c r="F2730" t="s">
        <v>300</v>
      </c>
      <c r="G2730" t="s">
        <v>300</v>
      </c>
      <c r="H2730" s="6" t="s">
        <v>1071</v>
      </c>
      <c r="I2730">
        <f t="shared" si="166"/>
        <v>5.25</v>
      </c>
      <c r="J2730">
        <f t="shared" si="165"/>
        <v>2.3813599425</v>
      </c>
      <c r="K2730">
        <v>0.26100000000000001</v>
      </c>
      <c r="L2730">
        <f t="shared" si="167"/>
        <v>0.62153494499250006</v>
      </c>
    </row>
    <row r="2731" spans="1:12" x14ac:dyDescent="0.2">
      <c r="A2731" s="4">
        <v>43503</v>
      </c>
      <c r="B2731" t="s">
        <v>538</v>
      </c>
      <c r="C2731">
        <v>1</v>
      </c>
      <c r="D2731">
        <v>6</v>
      </c>
      <c r="E2731" s="14" t="s">
        <v>422</v>
      </c>
      <c r="F2731" t="s">
        <v>423</v>
      </c>
      <c r="G2731" t="s">
        <v>1054</v>
      </c>
      <c r="H2731" s="14" t="s">
        <v>1071</v>
      </c>
      <c r="I2731">
        <v>0</v>
      </c>
      <c r="J2731">
        <f t="shared" si="165"/>
        <v>0</v>
      </c>
      <c r="K2731">
        <v>33.646999999999998</v>
      </c>
      <c r="L2731">
        <f t="shared" si="167"/>
        <v>0</v>
      </c>
    </row>
    <row r="2732" spans="1:12" x14ac:dyDescent="0.2">
      <c r="A2732" s="4">
        <v>43497</v>
      </c>
      <c r="B2732" t="s">
        <v>538</v>
      </c>
      <c r="C2732">
        <v>1</v>
      </c>
      <c r="D2732">
        <v>24</v>
      </c>
      <c r="E2732">
        <v>0.875</v>
      </c>
      <c r="F2732" t="s">
        <v>743</v>
      </c>
      <c r="G2732" t="s">
        <v>1051</v>
      </c>
      <c r="H2732" s="6" t="s">
        <v>1071</v>
      </c>
      <c r="I2732">
        <f t="shared" ref="I2732:I2757" si="168">C2732*D2732*E2732</f>
        <v>21</v>
      </c>
      <c r="J2732">
        <f t="shared" si="165"/>
        <v>9.5254397700000002</v>
      </c>
      <c r="K2732">
        <v>0.79200000000000004</v>
      </c>
      <c r="L2732">
        <f t="shared" si="167"/>
        <v>7.5441482978400005</v>
      </c>
    </row>
    <row r="2733" spans="1:12" x14ac:dyDescent="0.2">
      <c r="A2733" s="4">
        <v>43501</v>
      </c>
      <c r="B2733" t="s">
        <v>291</v>
      </c>
      <c r="C2733">
        <v>5</v>
      </c>
      <c r="D2733" s="35">
        <v>1</v>
      </c>
      <c r="E2733">
        <v>5</v>
      </c>
      <c r="F2733" t="s">
        <v>697</v>
      </c>
      <c r="G2733" t="s">
        <v>809</v>
      </c>
      <c r="H2733" s="9" t="s">
        <v>1071</v>
      </c>
      <c r="I2733">
        <f t="shared" si="168"/>
        <v>25</v>
      </c>
      <c r="J2733">
        <f t="shared" si="165"/>
        <v>11.33980925</v>
      </c>
      <c r="K2733">
        <v>6.2789999999999999</v>
      </c>
      <c r="L2733">
        <f t="shared" si="167"/>
        <v>71.202662280750005</v>
      </c>
    </row>
    <row r="2734" spans="1:12" x14ac:dyDescent="0.2">
      <c r="A2734" s="4">
        <v>43501</v>
      </c>
      <c r="B2734" t="s">
        <v>291</v>
      </c>
      <c r="C2734" s="8">
        <v>1</v>
      </c>
      <c r="D2734" s="35">
        <v>1</v>
      </c>
      <c r="E2734" s="8">
        <v>5</v>
      </c>
      <c r="F2734" s="8" t="s">
        <v>605</v>
      </c>
      <c r="G2734" s="8" t="s">
        <v>809</v>
      </c>
      <c r="H2734" s="9" t="s">
        <v>1071</v>
      </c>
      <c r="I2734">
        <f t="shared" si="168"/>
        <v>5</v>
      </c>
      <c r="J2734">
        <f t="shared" si="165"/>
        <v>2.2679618500000003</v>
      </c>
      <c r="K2734">
        <v>6.2789999999999999</v>
      </c>
      <c r="L2734">
        <f t="shared" si="167"/>
        <v>14.240532456150001</v>
      </c>
    </row>
    <row r="2735" spans="1:12" x14ac:dyDescent="0.2">
      <c r="A2735" s="4">
        <v>43497</v>
      </c>
      <c r="B2735" t="s">
        <v>22</v>
      </c>
      <c r="C2735" s="35">
        <v>1</v>
      </c>
      <c r="D2735" s="35">
        <v>1</v>
      </c>
      <c r="E2735">
        <v>36</v>
      </c>
      <c r="F2735" t="s">
        <v>213</v>
      </c>
      <c r="G2735" t="s">
        <v>213</v>
      </c>
      <c r="H2735" s="9" t="s">
        <v>1071</v>
      </c>
      <c r="I2735">
        <f t="shared" si="168"/>
        <v>36</v>
      </c>
      <c r="J2735">
        <f t="shared" si="165"/>
        <v>16.329325319999999</v>
      </c>
      <c r="K2735">
        <v>0.20599999999999999</v>
      </c>
      <c r="L2735">
        <f t="shared" si="167"/>
        <v>3.3638410159199994</v>
      </c>
    </row>
    <row r="2736" spans="1:12" x14ac:dyDescent="0.2">
      <c r="A2736" s="4">
        <v>43503</v>
      </c>
      <c r="B2736" t="s">
        <v>48</v>
      </c>
      <c r="C2736" s="28">
        <v>3</v>
      </c>
      <c r="D2736" s="35">
        <v>1</v>
      </c>
      <c r="E2736">
        <v>10</v>
      </c>
      <c r="F2736" t="s">
        <v>344</v>
      </c>
      <c r="G2736" t="s">
        <v>794</v>
      </c>
      <c r="H2736" s="9" t="s">
        <v>1071</v>
      </c>
      <c r="I2736">
        <f t="shared" si="168"/>
        <v>30</v>
      </c>
      <c r="J2736">
        <f t="shared" si="165"/>
        <v>13.607771100000001</v>
      </c>
      <c r="K2736">
        <v>0.20599999999999999</v>
      </c>
      <c r="L2736">
        <f t="shared" si="167"/>
        <v>2.8032008465999998</v>
      </c>
    </row>
    <row r="2737" spans="1:12" x14ac:dyDescent="0.2">
      <c r="A2737" s="4">
        <v>43497</v>
      </c>
      <c r="B2737" t="s">
        <v>538</v>
      </c>
      <c r="C2737">
        <v>2</v>
      </c>
      <c r="D2737">
        <v>4</v>
      </c>
      <c r="E2737">
        <v>7.79</v>
      </c>
      <c r="F2737" t="s">
        <v>543</v>
      </c>
      <c r="G2737" t="s">
        <v>980</v>
      </c>
      <c r="H2737" s="9" t="s">
        <v>1073</v>
      </c>
      <c r="I2737">
        <f t="shared" si="168"/>
        <v>62.32</v>
      </c>
      <c r="J2737">
        <f t="shared" si="165"/>
        <v>28.2678764984</v>
      </c>
      <c r="K2737">
        <v>3.33</v>
      </c>
      <c r="L2737">
        <f t="shared" si="167"/>
        <v>94.132028739671995</v>
      </c>
    </row>
    <row r="2738" spans="1:12" x14ac:dyDescent="0.2">
      <c r="A2738" s="4">
        <v>43497</v>
      </c>
      <c r="B2738" t="s">
        <v>538</v>
      </c>
      <c r="C2738">
        <v>2</v>
      </c>
      <c r="D2738">
        <v>6</v>
      </c>
      <c r="E2738">
        <v>7.125</v>
      </c>
      <c r="F2738" t="s">
        <v>1007</v>
      </c>
      <c r="G2738" t="s">
        <v>980</v>
      </c>
      <c r="H2738" s="9" t="s">
        <v>1071</v>
      </c>
      <c r="I2738">
        <f t="shared" si="168"/>
        <v>85.5</v>
      </c>
      <c r="J2738">
        <f t="shared" si="165"/>
        <v>38.782147635000001</v>
      </c>
      <c r="K2738">
        <v>3.33</v>
      </c>
      <c r="L2738">
        <f t="shared" si="167"/>
        <v>129.14455162455002</v>
      </c>
    </row>
    <row r="2739" spans="1:12" x14ac:dyDescent="0.2">
      <c r="A2739" s="4">
        <v>43497</v>
      </c>
      <c r="B2739" t="s">
        <v>538</v>
      </c>
      <c r="C2739">
        <v>1</v>
      </c>
      <c r="D2739">
        <v>24</v>
      </c>
      <c r="E2739">
        <v>0.3125</v>
      </c>
      <c r="F2739" t="s">
        <v>585</v>
      </c>
      <c r="G2739" t="s">
        <v>980</v>
      </c>
      <c r="H2739" s="9" t="s">
        <v>1071</v>
      </c>
      <c r="I2739">
        <f t="shared" si="168"/>
        <v>7.5</v>
      </c>
      <c r="J2739">
        <f t="shared" si="165"/>
        <v>3.4019427750000002</v>
      </c>
      <c r="K2739">
        <v>3.33</v>
      </c>
      <c r="L2739">
        <f t="shared" si="167"/>
        <v>11.32846944075</v>
      </c>
    </row>
    <row r="2740" spans="1:12" x14ac:dyDescent="0.2">
      <c r="A2740" s="4">
        <v>43497</v>
      </c>
      <c r="B2740" t="s">
        <v>538</v>
      </c>
      <c r="C2740">
        <v>1</v>
      </c>
      <c r="D2740">
        <v>12</v>
      </c>
      <c r="E2740">
        <v>0.4375</v>
      </c>
      <c r="F2740" t="s">
        <v>448</v>
      </c>
      <c r="G2740" t="s">
        <v>980</v>
      </c>
      <c r="H2740" s="9" t="s">
        <v>1073</v>
      </c>
      <c r="I2740">
        <f t="shared" si="168"/>
        <v>5.25</v>
      </c>
      <c r="J2740">
        <f t="shared" si="165"/>
        <v>2.3813599425</v>
      </c>
      <c r="K2740">
        <v>3.33</v>
      </c>
      <c r="L2740">
        <f t="shared" si="167"/>
        <v>7.9299286085250005</v>
      </c>
    </row>
    <row r="2741" spans="1:12" x14ac:dyDescent="0.2">
      <c r="A2741" s="4">
        <v>43497</v>
      </c>
      <c r="B2741" t="s">
        <v>538</v>
      </c>
      <c r="C2741">
        <v>1</v>
      </c>
      <c r="D2741">
        <v>12</v>
      </c>
      <c r="E2741">
        <v>1.5625</v>
      </c>
      <c r="F2741" t="s">
        <v>449</v>
      </c>
      <c r="G2741" t="s">
        <v>980</v>
      </c>
      <c r="H2741" s="9" t="s">
        <v>1073</v>
      </c>
      <c r="I2741">
        <f t="shared" si="168"/>
        <v>18.75</v>
      </c>
      <c r="J2741">
        <f t="shared" si="165"/>
        <v>8.5048569375000014</v>
      </c>
      <c r="K2741">
        <v>3.33</v>
      </c>
      <c r="L2741">
        <f t="shared" si="167"/>
        <v>28.321173601875007</v>
      </c>
    </row>
    <row r="2742" spans="1:12" x14ac:dyDescent="0.2">
      <c r="A2742" s="4">
        <v>43497</v>
      </c>
      <c r="B2742" t="s">
        <v>538</v>
      </c>
      <c r="C2742">
        <v>1</v>
      </c>
      <c r="D2742">
        <v>4</v>
      </c>
      <c r="E2742">
        <v>100.3125</v>
      </c>
      <c r="F2742" t="s">
        <v>456</v>
      </c>
      <c r="G2742" t="s">
        <v>980</v>
      </c>
      <c r="H2742" s="9" t="s">
        <v>1071</v>
      </c>
      <c r="I2742">
        <f t="shared" si="168"/>
        <v>401.25</v>
      </c>
      <c r="J2742">
        <f t="shared" si="165"/>
        <v>182.0039384625</v>
      </c>
      <c r="K2742">
        <v>3.33</v>
      </c>
      <c r="L2742">
        <f t="shared" si="167"/>
        <v>606.07311508012504</v>
      </c>
    </row>
    <row r="2743" spans="1:12" x14ac:dyDescent="0.2">
      <c r="A2743" s="4">
        <v>43497</v>
      </c>
      <c r="B2743" t="s">
        <v>538</v>
      </c>
      <c r="C2743">
        <v>1</v>
      </c>
      <c r="D2743">
        <v>2</v>
      </c>
      <c r="E2743">
        <v>100.3125</v>
      </c>
      <c r="F2743" t="s">
        <v>561</v>
      </c>
      <c r="G2743" t="s">
        <v>980</v>
      </c>
      <c r="H2743" s="9" t="s">
        <v>1071</v>
      </c>
      <c r="I2743">
        <f t="shared" si="168"/>
        <v>200.625</v>
      </c>
      <c r="J2743">
        <f t="shared" si="165"/>
        <v>91.001969231250001</v>
      </c>
      <c r="K2743">
        <v>3.33</v>
      </c>
      <c r="L2743">
        <f t="shared" si="167"/>
        <v>303.03655754006252</v>
      </c>
    </row>
    <row r="2744" spans="1:12" x14ac:dyDescent="0.2">
      <c r="A2744" s="4">
        <v>43497</v>
      </c>
      <c r="B2744" t="s">
        <v>538</v>
      </c>
      <c r="C2744">
        <v>2</v>
      </c>
      <c r="D2744">
        <v>4</v>
      </c>
      <c r="E2744">
        <v>11.68</v>
      </c>
      <c r="F2744" t="s">
        <v>585</v>
      </c>
      <c r="G2744" t="s">
        <v>980</v>
      </c>
      <c r="H2744" s="9" t="s">
        <v>1071</v>
      </c>
      <c r="I2744">
        <f t="shared" si="168"/>
        <v>93.44</v>
      </c>
      <c r="J2744">
        <f t="shared" si="165"/>
        <v>42.383671052800004</v>
      </c>
      <c r="K2744">
        <v>3.33</v>
      </c>
      <c r="L2744">
        <f t="shared" si="167"/>
        <v>141.13762460582402</v>
      </c>
    </row>
    <row r="2745" spans="1:12" x14ac:dyDescent="0.2">
      <c r="A2745" s="4">
        <v>43497</v>
      </c>
      <c r="B2745" t="s">
        <v>538</v>
      </c>
      <c r="C2745">
        <v>1</v>
      </c>
      <c r="D2745">
        <v>12</v>
      </c>
      <c r="E2745">
        <v>10.4375</v>
      </c>
      <c r="F2745" t="s">
        <v>460</v>
      </c>
      <c r="G2745" t="s">
        <v>980</v>
      </c>
      <c r="H2745" s="9" t="s">
        <v>1071</v>
      </c>
      <c r="I2745">
        <f t="shared" si="168"/>
        <v>125.25</v>
      </c>
      <c r="J2745">
        <f t="shared" si="165"/>
        <v>56.812444342500001</v>
      </c>
      <c r="K2745">
        <v>3.33</v>
      </c>
      <c r="L2745">
        <f t="shared" si="167"/>
        <v>189.18543966052502</v>
      </c>
    </row>
    <row r="2746" spans="1:12" x14ac:dyDescent="0.2">
      <c r="A2746" s="4">
        <v>43500</v>
      </c>
      <c r="B2746" t="s">
        <v>538</v>
      </c>
      <c r="C2746">
        <v>1</v>
      </c>
      <c r="D2746">
        <v>4</v>
      </c>
      <c r="E2746">
        <f>1.13*10.16</f>
        <v>11.480799999999999</v>
      </c>
      <c r="F2746" t="s">
        <v>572</v>
      </c>
      <c r="G2746" t="s">
        <v>980</v>
      </c>
      <c r="H2746" s="9" t="s">
        <v>1071</v>
      </c>
      <c r="I2746">
        <f t="shared" si="168"/>
        <v>45.923199999999994</v>
      </c>
      <c r="J2746">
        <f t="shared" si="165"/>
        <v>20.830413125983998</v>
      </c>
      <c r="K2746">
        <v>3.33</v>
      </c>
      <c r="L2746">
        <f t="shared" si="167"/>
        <v>69.365275709526713</v>
      </c>
    </row>
    <row r="2747" spans="1:12" x14ac:dyDescent="0.2">
      <c r="A2747" s="4">
        <v>43500</v>
      </c>
      <c r="B2747" t="s">
        <v>538</v>
      </c>
      <c r="C2747">
        <v>1</v>
      </c>
      <c r="D2747">
        <v>6</v>
      </c>
      <c r="E2747">
        <f>1.9*2.68</f>
        <v>5.0919999999999996</v>
      </c>
      <c r="F2747" t="s">
        <v>681</v>
      </c>
      <c r="G2747" t="s">
        <v>980</v>
      </c>
      <c r="H2747" s="9" t="s">
        <v>1071</v>
      </c>
      <c r="I2747">
        <f t="shared" si="168"/>
        <v>30.552</v>
      </c>
      <c r="J2747">
        <f t="shared" si="165"/>
        <v>13.858154088240001</v>
      </c>
      <c r="K2747">
        <v>3.33</v>
      </c>
      <c r="L2747">
        <f t="shared" si="167"/>
        <v>46.147653113839205</v>
      </c>
    </row>
    <row r="2748" spans="1:12" x14ac:dyDescent="0.2">
      <c r="A2748" s="4">
        <v>43500</v>
      </c>
      <c r="B2748" t="s">
        <v>538</v>
      </c>
      <c r="C2748">
        <v>2</v>
      </c>
      <c r="D2748">
        <v>12</v>
      </c>
      <c r="E2748">
        <v>0.4375</v>
      </c>
      <c r="F2748" t="s">
        <v>448</v>
      </c>
      <c r="G2748" t="s">
        <v>980</v>
      </c>
      <c r="H2748" s="9" t="s">
        <v>1071</v>
      </c>
      <c r="I2748">
        <f t="shared" si="168"/>
        <v>10.5</v>
      </c>
      <c r="J2748">
        <f t="shared" si="165"/>
        <v>4.7627198850000001</v>
      </c>
      <c r="K2748">
        <v>3.33</v>
      </c>
      <c r="L2748">
        <f t="shared" si="167"/>
        <v>15.859857217050001</v>
      </c>
    </row>
    <row r="2749" spans="1:12" x14ac:dyDescent="0.2">
      <c r="A2749" s="4">
        <v>43500</v>
      </c>
      <c r="B2749" t="s">
        <v>538</v>
      </c>
      <c r="C2749">
        <v>1</v>
      </c>
      <c r="D2749">
        <v>4</v>
      </c>
      <c r="E2749">
        <v>10.16</v>
      </c>
      <c r="F2749" t="s">
        <v>584</v>
      </c>
      <c r="G2749" t="s">
        <v>980</v>
      </c>
      <c r="H2749" s="9" t="s">
        <v>1071</v>
      </c>
      <c r="I2749">
        <f t="shared" si="168"/>
        <v>40.64</v>
      </c>
      <c r="J2749">
        <f t="shared" si="165"/>
        <v>18.433993916800002</v>
      </c>
      <c r="K2749">
        <v>3.33</v>
      </c>
      <c r="L2749">
        <f t="shared" si="167"/>
        <v>61.38519974294401</v>
      </c>
    </row>
    <row r="2750" spans="1:12" x14ac:dyDescent="0.2">
      <c r="A2750" s="4">
        <v>43500</v>
      </c>
      <c r="B2750" t="s">
        <v>538</v>
      </c>
      <c r="C2750">
        <v>6</v>
      </c>
      <c r="D2750">
        <v>2</v>
      </c>
      <c r="E2750">
        <f>1.5*9.59</f>
        <v>14.385</v>
      </c>
      <c r="F2750" t="s">
        <v>563</v>
      </c>
      <c r="G2750" t="s">
        <v>980</v>
      </c>
      <c r="H2750" s="9" t="s">
        <v>1071</v>
      </c>
      <c r="I2750">
        <f t="shared" si="168"/>
        <v>172.62</v>
      </c>
      <c r="J2750">
        <f t="shared" si="165"/>
        <v>78.299114909400004</v>
      </c>
      <c r="K2750">
        <v>3.33</v>
      </c>
      <c r="L2750">
        <f t="shared" si="167"/>
        <v>260.73605264830201</v>
      </c>
    </row>
    <row r="2751" spans="1:12" x14ac:dyDescent="0.2">
      <c r="A2751" s="4">
        <v>43503</v>
      </c>
      <c r="B2751" t="s">
        <v>538</v>
      </c>
      <c r="C2751">
        <v>1</v>
      </c>
      <c r="D2751">
        <v>24</v>
      </c>
      <c r="E2751">
        <v>0.3125</v>
      </c>
      <c r="F2751" t="s">
        <v>585</v>
      </c>
      <c r="G2751" t="s">
        <v>980</v>
      </c>
      <c r="H2751" s="9" t="s">
        <v>1071</v>
      </c>
      <c r="I2751">
        <f t="shared" si="168"/>
        <v>7.5</v>
      </c>
      <c r="J2751">
        <f t="shared" si="165"/>
        <v>3.4019427750000002</v>
      </c>
      <c r="K2751">
        <v>3.33</v>
      </c>
      <c r="L2751">
        <f t="shared" si="167"/>
        <v>11.32846944075</v>
      </c>
    </row>
    <row r="2752" spans="1:12" x14ac:dyDescent="0.2">
      <c r="A2752" s="4">
        <v>43503</v>
      </c>
      <c r="B2752" t="s">
        <v>538</v>
      </c>
      <c r="C2752">
        <v>1</v>
      </c>
      <c r="D2752">
        <v>24</v>
      </c>
      <c r="E2752">
        <f>6/16</f>
        <v>0.375</v>
      </c>
      <c r="F2752" t="s">
        <v>594</v>
      </c>
      <c r="G2752" t="s">
        <v>980</v>
      </c>
      <c r="H2752" s="9" t="s">
        <v>1071</v>
      </c>
      <c r="I2752">
        <f t="shared" si="168"/>
        <v>9</v>
      </c>
      <c r="J2752">
        <f t="shared" si="165"/>
        <v>4.0823313299999997</v>
      </c>
      <c r="K2752">
        <v>3.33</v>
      </c>
      <c r="L2752">
        <f t="shared" si="167"/>
        <v>13.594163328899999</v>
      </c>
    </row>
    <row r="2753" spans="1:12" x14ac:dyDescent="0.2">
      <c r="A2753" s="4">
        <v>43503</v>
      </c>
      <c r="B2753" t="s">
        <v>538</v>
      </c>
      <c r="C2753">
        <v>1</v>
      </c>
      <c r="D2753">
        <v>4</v>
      </c>
      <c r="E2753">
        <v>11.68</v>
      </c>
      <c r="F2753" t="s">
        <v>585</v>
      </c>
      <c r="G2753" t="s">
        <v>980</v>
      </c>
      <c r="H2753" s="9" t="s">
        <v>1071</v>
      </c>
      <c r="I2753">
        <f t="shared" si="168"/>
        <v>46.72</v>
      </c>
      <c r="J2753">
        <f t="shared" si="165"/>
        <v>21.191835526400002</v>
      </c>
      <c r="K2753">
        <v>3.33</v>
      </c>
      <c r="L2753">
        <f t="shared" si="167"/>
        <v>70.568812302912008</v>
      </c>
    </row>
    <row r="2754" spans="1:12" x14ac:dyDescent="0.2">
      <c r="A2754" s="4">
        <v>43500</v>
      </c>
      <c r="B2754" t="s">
        <v>538</v>
      </c>
      <c r="C2754">
        <v>2</v>
      </c>
      <c r="D2754">
        <v>4</v>
      </c>
      <c r="E2754">
        <v>11.68</v>
      </c>
      <c r="F2754" t="s">
        <v>585</v>
      </c>
      <c r="G2754" t="s">
        <v>980</v>
      </c>
      <c r="H2754" s="9" t="s">
        <v>1071</v>
      </c>
      <c r="I2754">
        <f t="shared" si="168"/>
        <v>93.44</v>
      </c>
      <c r="J2754">
        <f t="shared" si="165"/>
        <v>42.383671052800004</v>
      </c>
      <c r="K2754">
        <v>3.33</v>
      </c>
      <c r="L2754">
        <f t="shared" si="167"/>
        <v>141.13762460582402</v>
      </c>
    </row>
    <row r="2755" spans="1:12" x14ac:dyDescent="0.2">
      <c r="A2755" s="4">
        <v>43500</v>
      </c>
      <c r="B2755" t="s">
        <v>538</v>
      </c>
      <c r="C2755">
        <v>3</v>
      </c>
      <c r="D2755">
        <v>4</v>
      </c>
      <c r="E2755">
        <v>7.79</v>
      </c>
      <c r="F2755" t="s">
        <v>543</v>
      </c>
      <c r="G2755" t="s">
        <v>1089</v>
      </c>
      <c r="H2755" s="9" t="s">
        <v>1073</v>
      </c>
      <c r="I2755">
        <f t="shared" si="168"/>
        <v>93.48</v>
      </c>
      <c r="J2755">
        <f t="shared" ref="J2755:J2818" si="169">CONVERT(I2755,"lbm","kg")</f>
        <v>42.4018147476</v>
      </c>
      <c r="K2755">
        <v>3.33</v>
      </c>
      <c r="L2755">
        <f t="shared" si="167"/>
        <v>141.19804310950801</v>
      </c>
    </row>
    <row r="2756" spans="1:12" x14ac:dyDescent="0.2">
      <c r="A2756" s="4">
        <v>43497</v>
      </c>
      <c r="B2756" t="s">
        <v>538</v>
      </c>
      <c r="C2756">
        <v>1</v>
      </c>
      <c r="D2756">
        <v>24</v>
      </c>
      <c r="E2756">
        <v>1</v>
      </c>
      <c r="F2756" t="s">
        <v>433</v>
      </c>
      <c r="G2756" t="s">
        <v>900</v>
      </c>
      <c r="H2756" s="9" t="s">
        <v>1071</v>
      </c>
      <c r="I2756">
        <f t="shared" si="168"/>
        <v>24</v>
      </c>
      <c r="J2756">
        <f t="shared" si="169"/>
        <v>10.886216880000001</v>
      </c>
      <c r="K2756">
        <v>0.76</v>
      </c>
      <c r="L2756">
        <f t="shared" si="167"/>
        <v>8.2735248288000012</v>
      </c>
    </row>
    <row r="2757" spans="1:12" x14ac:dyDescent="0.2">
      <c r="A2757" s="4">
        <v>43503</v>
      </c>
      <c r="B2757" t="s">
        <v>538</v>
      </c>
      <c r="C2757">
        <v>1</v>
      </c>
      <c r="D2757">
        <v>24</v>
      </c>
      <c r="E2757">
        <v>1</v>
      </c>
      <c r="F2757" t="s">
        <v>433</v>
      </c>
      <c r="G2757" t="s">
        <v>900</v>
      </c>
      <c r="H2757" s="9" t="s">
        <v>1071</v>
      </c>
      <c r="I2757">
        <f t="shared" si="168"/>
        <v>24</v>
      </c>
      <c r="J2757">
        <f t="shared" si="169"/>
        <v>10.886216880000001</v>
      </c>
      <c r="K2757">
        <v>0.76</v>
      </c>
      <c r="L2757">
        <f t="shared" si="167"/>
        <v>8.2735248288000012</v>
      </c>
    </row>
    <row r="2758" spans="1:12" x14ac:dyDescent="0.2">
      <c r="A2758" s="4">
        <v>43503</v>
      </c>
      <c r="B2758" t="s">
        <v>538</v>
      </c>
      <c r="C2758">
        <v>1</v>
      </c>
      <c r="D2758">
        <v>500</v>
      </c>
      <c r="E2758" s="6" t="s">
        <v>1088</v>
      </c>
      <c r="F2758" s="6" t="s">
        <v>430</v>
      </c>
      <c r="G2758" s="6" t="s">
        <v>881</v>
      </c>
      <c r="H2758" s="9" t="s">
        <v>1071</v>
      </c>
      <c r="I2758">
        <v>0</v>
      </c>
      <c r="J2758">
        <f t="shared" si="169"/>
        <v>0</v>
      </c>
      <c r="K2758">
        <v>2.5299999999999998</v>
      </c>
      <c r="L2758">
        <f t="shared" si="167"/>
        <v>0</v>
      </c>
    </row>
    <row r="2759" spans="1:12" x14ac:dyDescent="0.2">
      <c r="A2759" s="4">
        <v>43497</v>
      </c>
      <c r="B2759" t="s">
        <v>538</v>
      </c>
      <c r="C2759">
        <v>1</v>
      </c>
      <c r="D2759">
        <v>6</v>
      </c>
      <c r="E2759">
        <v>30.0625</v>
      </c>
      <c r="F2759" t="s">
        <v>680</v>
      </c>
      <c r="G2759" t="s">
        <v>1047</v>
      </c>
      <c r="H2759" s="9" t="s">
        <v>1071</v>
      </c>
      <c r="I2759">
        <f t="shared" ref="I2759:I2790" si="170">C2759*D2759*E2759</f>
        <v>180.375</v>
      </c>
      <c r="J2759">
        <f t="shared" si="169"/>
        <v>81.816723738750014</v>
      </c>
      <c r="K2759">
        <v>2.5299999999999998</v>
      </c>
      <c r="L2759">
        <f t="shared" si="167"/>
        <v>206.99631105903751</v>
      </c>
    </row>
    <row r="2760" spans="1:12" x14ac:dyDescent="0.2">
      <c r="A2760" s="4">
        <v>43497</v>
      </c>
      <c r="B2760" t="s">
        <v>538</v>
      </c>
      <c r="C2760">
        <v>1</v>
      </c>
      <c r="D2760">
        <v>1</v>
      </c>
      <c r="E2760">
        <v>10</v>
      </c>
      <c r="F2760" t="s">
        <v>454</v>
      </c>
      <c r="G2760" t="s">
        <v>1053</v>
      </c>
      <c r="H2760" s="9" t="s">
        <v>1071</v>
      </c>
      <c r="I2760">
        <f t="shared" si="170"/>
        <v>10</v>
      </c>
      <c r="J2760">
        <f t="shared" si="169"/>
        <v>4.5359237000000006</v>
      </c>
      <c r="K2760">
        <v>3.8250000000000002</v>
      </c>
      <c r="L2760">
        <f t="shared" si="167"/>
        <v>17.349908152500003</v>
      </c>
    </row>
    <row r="2761" spans="1:12" x14ac:dyDescent="0.2">
      <c r="A2761" s="4">
        <v>43500</v>
      </c>
      <c r="B2761" t="s">
        <v>538</v>
      </c>
      <c r="C2761">
        <v>1</v>
      </c>
      <c r="D2761">
        <v>1</v>
      </c>
      <c r="E2761">
        <v>10</v>
      </c>
      <c r="F2761" t="s">
        <v>454</v>
      </c>
      <c r="G2761" t="s">
        <v>1053</v>
      </c>
      <c r="H2761" s="9" t="s">
        <v>1071</v>
      </c>
      <c r="I2761">
        <f t="shared" si="170"/>
        <v>10</v>
      </c>
      <c r="J2761">
        <f t="shared" si="169"/>
        <v>4.5359237000000006</v>
      </c>
      <c r="K2761">
        <v>3.8250000000000002</v>
      </c>
      <c r="L2761">
        <f t="shared" si="167"/>
        <v>17.349908152500003</v>
      </c>
    </row>
    <row r="2762" spans="1:12" x14ac:dyDescent="0.2">
      <c r="A2762" s="4">
        <v>43497</v>
      </c>
      <c r="B2762" t="s">
        <v>517</v>
      </c>
      <c r="C2762">
        <v>2</v>
      </c>
      <c r="D2762">
        <v>1</v>
      </c>
      <c r="E2762">
        <v>2</v>
      </c>
      <c r="F2762" t="s">
        <v>380</v>
      </c>
      <c r="G2762" t="s">
        <v>841</v>
      </c>
      <c r="H2762" s="9" t="s">
        <v>1073</v>
      </c>
      <c r="I2762">
        <f t="shared" si="170"/>
        <v>4</v>
      </c>
      <c r="J2762">
        <f t="shared" si="169"/>
        <v>1.8143694800000001</v>
      </c>
      <c r="K2762">
        <v>5.2</v>
      </c>
      <c r="L2762">
        <f t="shared" si="167"/>
        <v>9.4347212960000011</v>
      </c>
    </row>
    <row r="2763" spans="1:12" x14ac:dyDescent="0.2">
      <c r="A2763" s="4">
        <v>43503</v>
      </c>
      <c r="B2763" t="s">
        <v>48</v>
      </c>
      <c r="C2763" s="28">
        <v>2</v>
      </c>
      <c r="D2763" s="35">
        <v>1</v>
      </c>
      <c r="E2763">
        <f>10/9*(50)</f>
        <v>55.555555555555557</v>
      </c>
      <c r="F2763" t="s">
        <v>620</v>
      </c>
      <c r="G2763" t="s">
        <v>620</v>
      </c>
      <c r="H2763" s="9" t="s">
        <v>1071</v>
      </c>
      <c r="I2763">
        <f t="shared" si="170"/>
        <v>111.11111111111111</v>
      </c>
      <c r="J2763">
        <f t="shared" si="169"/>
        <v>50.399152222222227</v>
      </c>
      <c r="K2763">
        <v>0.40899999999999997</v>
      </c>
      <c r="L2763">
        <f t="shared" si="167"/>
        <v>20.613253258888889</v>
      </c>
    </row>
    <row r="2764" spans="1:12" x14ac:dyDescent="0.2">
      <c r="A2764" s="4">
        <v>43502</v>
      </c>
      <c r="B2764" t="s">
        <v>48</v>
      </c>
      <c r="C2764" s="28">
        <v>1</v>
      </c>
      <c r="D2764" s="35">
        <v>1</v>
      </c>
      <c r="E2764">
        <f>10/9*(50)</f>
        <v>55.555555555555557</v>
      </c>
      <c r="F2764" t="s">
        <v>620</v>
      </c>
      <c r="G2764" t="s">
        <v>620</v>
      </c>
      <c r="H2764" s="9" t="s">
        <v>1071</v>
      </c>
      <c r="I2764">
        <f t="shared" si="170"/>
        <v>55.555555555555557</v>
      </c>
      <c r="J2764">
        <f t="shared" si="169"/>
        <v>25.199576111111114</v>
      </c>
      <c r="K2764">
        <v>0.40899999999999997</v>
      </c>
      <c r="L2764">
        <f t="shared" si="167"/>
        <v>10.306626629444445</v>
      </c>
    </row>
    <row r="2765" spans="1:12" x14ac:dyDescent="0.2">
      <c r="A2765" s="4">
        <v>43500</v>
      </c>
      <c r="B2765" t="s">
        <v>48</v>
      </c>
      <c r="C2765" s="28">
        <v>1</v>
      </c>
      <c r="D2765" s="35">
        <v>1</v>
      </c>
      <c r="E2765">
        <f>10/9*(50)</f>
        <v>55.555555555555557</v>
      </c>
      <c r="F2765" t="s">
        <v>620</v>
      </c>
      <c r="G2765" t="s">
        <v>620</v>
      </c>
      <c r="H2765" s="9" t="s">
        <v>1071</v>
      </c>
      <c r="I2765">
        <f t="shared" si="170"/>
        <v>55.555555555555557</v>
      </c>
      <c r="J2765">
        <f t="shared" si="169"/>
        <v>25.199576111111114</v>
      </c>
      <c r="K2765">
        <v>0.40899999999999997</v>
      </c>
      <c r="L2765">
        <f t="shared" si="167"/>
        <v>10.306626629444445</v>
      </c>
    </row>
    <row r="2766" spans="1:12" x14ac:dyDescent="0.2">
      <c r="A2766" s="4">
        <v>43497</v>
      </c>
      <c r="B2766" t="s">
        <v>48</v>
      </c>
      <c r="C2766" s="28">
        <v>2</v>
      </c>
      <c r="D2766" s="35">
        <v>1</v>
      </c>
      <c r="E2766">
        <f>10/9*(50)</f>
        <v>55.555555555555557</v>
      </c>
      <c r="F2766" t="s">
        <v>620</v>
      </c>
      <c r="G2766" t="s">
        <v>620</v>
      </c>
      <c r="H2766" s="9" t="s">
        <v>1071</v>
      </c>
      <c r="I2766">
        <f t="shared" si="170"/>
        <v>111.11111111111111</v>
      </c>
      <c r="J2766">
        <f t="shared" si="169"/>
        <v>50.399152222222227</v>
      </c>
      <c r="K2766">
        <v>0.40899999999999997</v>
      </c>
      <c r="L2766">
        <f t="shared" si="167"/>
        <v>20.613253258888889</v>
      </c>
    </row>
    <row r="2767" spans="1:12" x14ac:dyDescent="0.2">
      <c r="A2767" s="4">
        <v>43497</v>
      </c>
      <c r="B2767" t="s">
        <v>538</v>
      </c>
      <c r="C2767">
        <v>1</v>
      </c>
      <c r="D2767">
        <v>4</v>
      </c>
      <c r="E2767">
        <v>8.4700000000000006</v>
      </c>
      <c r="F2767" t="s">
        <v>738</v>
      </c>
      <c r="G2767" s="6" t="s">
        <v>998</v>
      </c>
      <c r="H2767" s="9" t="s">
        <v>1071</v>
      </c>
      <c r="I2767">
        <f t="shared" si="170"/>
        <v>33.880000000000003</v>
      </c>
      <c r="J2767">
        <f t="shared" si="169"/>
        <v>15.367709495600002</v>
      </c>
      <c r="K2767">
        <v>3.33</v>
      </c>
      <c r="L2767">
        <f t="shared" si="167"/>
        <v>51.174472620348006</v>
      </c>
    </row>
    <row r="2768" spans="1:12" x14ac:dyDescent="0.2">
      <c r="A2768" s="4">
        <v>43497</v>
      </c>
      <c r="B2768" t="s">
        <v>517</v>
      </c>
      <c r="C2768">
        <v>18</v>
      </c>
      <c r="D2768">
        <v>2</v>
      </c>
      <c r="E2768">
        <v>20</v>
      </c>
      <c r="F2768" t="s">
        <v>381</v>
      </c>
      <c r="G2768" t="s">
        <v>843</v>
      </c>
      <c r="H2768" s="9" t="s">
        <v>1073</v>
      </c>
      <c r="I2768">
        <f t="shared" si="170"/>
        <v>720</v>
      </c>
      <c r="J2768">
        <f t="shared" si="169"/>
        <v>326.58650640000002</v>
      </c>
      <c r="K2768">
        <v>3.754</v>
      </c>
      <c r="L2768">
        <f t="shared" si="167"/>
        <v>1226.0057450256002</v>
      </c>
    </row>
    <row r="2769" spans="1:12" x14ac:dyDescent="0.2">
      <c r="A2769" s="4">
        <v>43497</v>
      </c>
      <c r="B2769" t="s">
        <v>517</v>
      </c>
      <c r="C2769">
        <v>2</v>
      </c>
      <c r="D2769">
        <v>15</v>
      </c>
      <c r="E2769">
        <v>2</v>
      </c>
      <c r="F2769" t="s">
        <v>385</v>
      </c>
      <c r="G2769" t="s">
        <v>843</v>
      </c>
      <c r="H2769" s="9" t="s">
        <v>1073</v>
      </c>
      <c r="I2769">
        <f t="shared" si="170"/>
        <v>60</v>
      </c>
      <c r="J2769">
        <f t="shared" si="169"/>
        <v>27.215542200000002</v>
      </c>
      <c r="K2769">
        <v>3.754</v>
      </c>
      <c r="L2769">
        <f t="shared" si="167"/>
        <v>102.1671454188</v>
      </c>
    </row>
    <row r="2770" spans="1:12" x14ac:dyDescent="0.2">
      <c r="A2770" s="4">
        <v>43497</v>
      </c>
      <c r="B2770" t="s">
        <v>517</v>
      </c>
      <c r="C2770">
        <v>3</v>
      </c>
      <c r="D2770">
        <v>1</v>
      </c>
      <c r="E2770">
        <f>15*(24/16)</f>
        <v>22.5</v>
      </c>
      <c r="F2770" t="s">
        <v>731</v>
      </c>
      <c r="G2770" t="s">
        <v>843</v>
      </c>
      <c r="H2770" s="9" t="s">
        <v>1073</v>
      </c>
      <c r="I2770">
        <f t="shared" si="170"/>
        <v>67.5</v>
      </c>
      <c r="J2770">
        <f t="shared" si="169"/>
        <v>30.617484975</v>
      </c>
      <c r="K2770">
        <v>3.754</v>
      </c>
      <c r="L2770">
        <f t="shared" si="167"/>
        <v>114.93803859614999</v>
      </c>
    </row>
    <row r="2771" spans="1:12" x14ac:dyDescent="0.2">
      <c r="A2771" s="4">
        <v>43500</v>
      </c>
      <c r="B2771" t="s">
        <v>517</v>
      </c>
      <c r="C2771">
        <v>8</v>
      </c>
      <c r="D2771">
        <v>2</v>
      </c>
      <c r="E2771">
        <v>20</v>
      </c>
      <c r="F2771" t="s">
        <v>381</v>
      </c>
      <c r="G2771" t="s">
        <v>843</v>
      </c>
      <c r="H2771" s="9" t="s">
        <v>1073</v>
      </c>
      <c r="I2771">
        <f t="shared" si="170"/>
        <v>320</v>
      </c>
      <c r="J2771">
        <f t="shared" si="169"/>
        <v>145.14955840000002</v>
      </c>
      <c r="K2771">
        <v>3.754</v>
      </c>
      <c r="L2771">
        <f t="shared" si="167"/>
        <v>544.89144223360006</v>
      </c>
    </row>
    <row r="2772" spans="1:12" x14ac:dyDescent="0.2">
      <c r="A2772" s="4">
        <v>43500</v>
      </c>
      <c r="B2772" t="s">
        <v>517</v>
      </c>
      <c r="C2772">
        <v>2</v>
      </c>
      <c r="D2772">
        <v>15</v>
      </c>
      <c r="E2772">
        <v>2</v>
      </c>
      <c r="F2772" t="s">
        <v>385</v>
      </c>
      <c r="G2772" t="s">
        <v>843</v>
      </c>
      <c r="H2772" s="9" t="s">
        <v>1073</v>
      </c>
      <c r="I2772">
        <f t="shared" si="170"/>
        <v>60</v>
      </c>
      <c r="J2772">
        <f t="shared" si="169"/>
        <v>27.215542200000002</v>
      </c>
      <c r="K2772">
        <v>3.754</v>
      </c>
      <c r="L2772">
        <f t="shared" si="167"/>
        <v>102.1671454188</v>
      </c>
    </row>
    <row r="2773" spans="1:12" x14ac:dyDescent="0.2">
      <c r="A2773" s="4">
        <v>43500</v>
      </c>
      <c r="B2773" t="s">
        <v>517</v>
      </c>
      <c r="C2773">
        <v>2</v>
      </c>
      <c r="D2773">
        <v>15</v>
      </c>
      <c r="E2773">
        <f>24/16</f>
        <v>1.5</v>
      </c>
      <c r="F2773" t="s">
        <v>386</v>
      </c>
      <c r="G2773" t="s">
        <v>843</v>
      </c>
      <c r="H2773" s="9" t="s">
        <v>1073</v>
      </c>
      <c r="I2773">
        <f t="shared" si="170"/>
        <v>45</v>
      </c>
      <c r="J2773">
        <f t="shared" si="169"/>
        <v>20.411656650000001</v>
      </c>
      <c r="K2773">
        <v>3.754</v>
      </c>
      <c r="L2773">
        <f t="shared" si="167"/>
        <v>76.62535906410001</v>
      </c>
    </row>
    <row r="2774" spans="1:12" x14ac:dyDescent="0.2">
      <c r="A2774" s="4">
        <v>43503</v>
      </c>
      <c r="B2774" t="s">
        <v>517</v>
      </c>
      <c r="C2774">
        <v>3</v>
      </c>
      <c r="D2774">
        <v>2</v>
      </c>
      <c r="E2774">
        <v>20</v>
      </c>
      <c r="F2774" t="s">
        <v>381</v>
      </c>
      <c r="G2774" t="s">
        <v>843</v>
      </c>
      <c r="H2774" s="9" t="s">
        <v>1073</v>
      </c>
      <c r="I2774">
        <f t="shared" si="170"/>
        <v>120</v>
      </c>
      <c r="J2774">
        <f t="shared" si="169"/>
        <v>54.431084400000003</v>
      </c>
      <c r="K2774">
        <v>3.754</v>
      </c>
      <c r="L2774">
        <f t="shared" ref="L2774:L2837" si="171">J2774*K2774</f>
        <v>204.33429083760001</v>
      </c>
    </row>
    <row r="2775" spans="1:12" x14ac:dyDescent="0.2">
      <c r="A2775" s="4">
        <v>43503</v>
      </c>
      <c r="B2775" t="s">
        <v>48</v>
      </c>
      <c r="C2775" s="28">
        <v>1</v>
      </c>
      <c r="D2775" s="35">
        <v>1</v>
      </c>
      <c r="E2775">
        <f>10/9*(35)</f>
        <v>38.888888888888893</v>
      </c>
      <c r="F2775" t="s">
        <v>302</v>
      </c>
      <c r="G2775" t="s">
        <v>785</v>
      </c>
      <c r="H2775" s="9" t="s">
        <v>1071</v>
      </c>
      <c r="I2775">
        <f t="shared" si="170"/>
        <v>38.888888888888893</v>
      </c>
      <c r="J2775">
        <f t="shared" si="169"/>
        <v>17.63970327777778</v>
      </c>
      <c r="K2775">
        <v>0.52600000000000002</v>
      </c>
      <c r="L2775">
        <f t="shared" si="171"/>
        <v>9.2784839241111126</v>
      </c>
    </row>
    <row r="2776" spans="1:12" x14ac:dyDescent="0.2">
      <c r="A2776" s="4">
        <v>43502</v>
      </c>
      <c r="B2776" t="s">
        <v>48</v>
      </c>
      <c r="C2776" s="28">
        <v>2</v>
      </c>
      <c r="D2776" s="35">
        <v>1</v>
      </c>
      <c r="E2776">
        <f>10/9*(35)</f>
        <v>38.888888888888893</v>
      </c>
      <c r="F2776" t="s">
        <v>621</v>
      </c>
      <c r="G2776" t="s">
        <v>785</v>
      </c>
      <c r="H2776" s="9" t="s">
        <v>1071</v>
      </c>
      <c r="I2776">
        <f t="shared" si="170"/>
        <v>77.777777777777786</v>
      </c>
      <c r="J2776">
        <f t="shared" si="169"/>
        <v>35.27940655555556</v>
      </c>
      <c r="K2776">
        <v>0.52600000000000002</v>
      </c>
      <c r="L2776">
        <f t="shared" si="171"/>
        <v>18.556967848222225</v>
      </c>
    </row>
    <row r="2777" spans="1:12" x14ac:dyDescent="0.2">
      <c r="A2777" s="4">
        <v>43502</v>
      </c>
      <c r="B2777" t="s">
        <v>48</v>
      </c>
      <c r="C2777" s="28">
        <v>0</v>
      </c>
      <c r="D2777" s="35">
        <v>1</v>
      </c>
      <c r="E2777">
        <v>10</v>
      </c>
      <c r="F2777" t="s">
        <v>713</v>
      </c>
      <c r="G2777" t="s">
        <v>785</v>
      </c>
      <c r="H2777" s="9" t="s">
        <v>1071</v>
      </c>
      <c r="I2777">
        <f t="shared" si="170"/>
        <v>0</v>
      </c>
      <c r="J2777">
        <f t="shared" si="169"/>
        <v>0</v>
      </c>
      <c r="K2777">
        <v>0.52600000000000002</v>
      </c>
      <c r="L2777">
        <f t="shared" si="171"/>
        <v>0</v>
      </c>
    </row>
    <row r="2778" spans="1:12" x14ac:dyDescent="0.2">
      <c r="A2778" s="4">
        <v>43500</v>
      </c>
      <c r="B2778" t="s">
        <v>48</v>
      </c>
      <c r="C2778" s="28">
        <v>2</v>
      </c>
      <c r="D2778" s="35">
        <v>1</v>
      </c>
      <c r="E2778">
        <f>10/9*(35)</f>
        <v>38.888888888888893</v>
      </c>
      <c r="F2778" t="s">
        <v>621</v>
      </c>
      <c r="G2778" t="s">
        <v>785</v>
      </c>
      <c r="H2778" s="9" t="s">
        <v>1071</v>
      </c>
      <c r="I2778">
        <f t="shared" si="170"/>
        <v>77.777777777777786</v>
      </c>
      <c r="J2778">
        <f t="shared" si="169"/>
        <v>35.27940655555556</v>
      </c>
      <c r="K2778">
        <v>0.52600000000000002</v>
      </c>
      <c r="L2778">
        <f t="shared" si="171"/>
        <v>18.556967848222225</v>
      </c>
    </row>
    <row r="2779" spans="1:12" x14ac:dyDescent="0.2">
      <c r="A2779" s="4">
        <v>43497</v>
      </c>
      <c r="B2779" t="s">
        <v>48</v>
      </c>
      <c r="C2779" s="28">
        <v>2</v>
      </c>
      <c r="D2779" s="35">
        <v>1</v>
      </c>
      <c r="E2779">
        <f>10/9*(35)</f>
        <v>38.888888888888893</v>
      </c>
      <c r="F2779" t="s">
        <v>621</v>
      </c>
      <c r="G2779" t="s">
        <v>785</v>
      </c>
      <c r="H2779" s="9" t="s">
        <v>1071</v>
      </c>
      <c r="I2779">
        <f t="shared" si="170"/>
        <v>77.777777777777786</v>
      </c>
      <c r="J2779">
        <f t="shared" si="169"/>
        <v>35.27940655555556</v>
      </c>
      <c r="K2779">
        <v>0.52600000000000002</v>
      </c>
      <c r="L2779">
        <f t="shared" si="171"/>
        <v>18.556967848222225</v>
      </c>
    </row>
    <row r="2780" spans="1:12" x14ac:dyDescent="0.2">
      <c r="A2780" s="4">
        <v>43500</v>
      </c>
      <c r="B2780" t="s">
        <v>531</v>
      </c>
      <c r="C2780">
        <v>6</v>
      </c>
      <c r="D2780">
        <v>72</v>
      </c>
      <c r="E2780">
        <f>3/16</f>
        <v>0.1875</v>
      </c>
      <c r="F2780" t="s">
        <v>751</v>
      </c>
      <c r="G2780" s="6" t="s">
        <v>1000</v>
      </c>
      <c r="H2780" s="9" t="s">
        <v>1071</v>
      </c>
      <c r="I2780">
        <f t="shared" si="170"/>
        <v>81</v>
      </c>
      <c r="J2780">
        <f t="shared" si="169"/>
        <v>36.74098197</v>
      </c>
      <c r="K2780">
        <v>3.46</v>
      </c>
      <c r="L2780">
        <f t="shared" si="171"/>
        <v>127.12379761619999</v>
      </c>
    </row>
    <row r="2781" spans="1:12" x14ac:dyDescent="0.2">
      <c r="A2781" s="4">
        <v>43497</v>
      </c>
      <c r="B2781" t="s">
        <v>538</v>
      </c>
      <c r="C2781">
        <v>1</v>
      </c>
      <c r="D2781">
        <v>6</v>
      </c>
      <c r="E2781">
        <v>0.125</v>
      </c>
      <c r="F2781" t="s">
        <v>664</v>
      </c>
      <c r="G2781" s="14" t="s">
        <v>931</v>
      </c>
      <c r="H2781" s="9" t="s">
        <v>1071</v>
      </c>
      <c r="I2781">
        <f t="shared" si="170"/>
        <v>0.75</v>
      </c>
      <c r="J2781">
        <f t="shared" si="169"/>
        <v>0.34019427750000003</v>
      </c>
      <c r="L2781">
        <f t="shared" si="171"/>
        <v>0</v>
      </c>
    </row>
    <row r="2782" spans="1:12" x14ac:dyDescent="0.2">
      <c r="A2782" s="4">
        <v>43500</v>
      </c>
      <c r="B2782" t="s">
        <v>48</v>
      </c>
      <c r="C2782" s="28">
        <v>1</v>
      </c>
      <c r="D2782" s="35">
        <v>1</v>
      </c>
      <c r="E2782">
        <f>24*(3.07/16)</f>
        <v>4.6049999999999995</v>
      </c>
      <c r="F2782" t="s">
        <v>720</v>
      </c>
      <c r="G2782" t="s">
        <v>720</v>
      </c>
      <c r="H2782" s="9" t="s">
        <v>1071</v>
      </c>
      <c r="I2782">
        <f t="shared" si="170"/>
        <v>4.6049999999999995</v>
      </c>
      <c r="J2782">
        <f t="shared" si="169"/>
        <v>2.0887928638499997</v>
      </c>
      <c r="K2782">
        <v>0.33100000000000002</v>
      </c>
      <c r="L2782">
        <f t="shared" si="171"/>
        <v>0.69139043793434996</v>
      </c>
    </row>
    <row r="2783" spans="1:12" x14ac:dyDescent="0.2">
      <c r="A2783" s="4">
        <v>43497</v>
      </c>
      <c r="B2783" t="s">
        <v>527</v>
      </c>
      <c r="C2783">
        <v>10</v>
      </c>
      <c r="D2783">
        <v>1</v>
      </c>
      <c r="E2783">
        <v>10</v>
      </c>
      <c r="F2783" t="s">
        <v>1012</v>
      </c>
      <c r="G2783" t="s">
        <v>1044</v>
      </c>
      <c r="H2783" s="9" t="s">
        <v>1072</v>
      </c>
      <c r="I2783">
        <f t="shared" si="170"/>
        <v>100</v>
      </c>
      <c r="J2783">
        <f t="shared" si="169"/>
        <v>45.359237</v>
      </c>
      <c r="K2783">
        <v>3.0209999999999999</v>
      </c>
      <c r="L2783">
        <f t="shared" si="171"/>
        <v>137.030254977</v>
      </c>
    </row>
    <row r="2784" spans="1:12" x14ac:dyDescent="0.2">
      <c r="A2784" s="4">
        <v>43500</v>
      </c>
      <c r="B2784" t="s">
        <v>527</v>
      </c>
      <c r="C2784">
        <v>6</v>
      </c>
      <c r="D2784">
        <v>1</v>
      </c>
      <c r="E2784">
        <v>10</v>
      </c>
      <c r="F2784" t="s">
        <v>528</v>
      </c>
      <c r="G2784" t="s">
        <v>1044</v>
      </c>
      <c r="H2784" s="9" t="s">
        <v>1072</v>
      </c>
      <c r="I2784">
        <f t="shared" si="170"/>
        <v>60</v>
      </c>
      <c r="J2784">
        <f t="shared" si="169"/>
        <v>27.215542200000002</v>
      </c>
      <c r="K2784">
        <v>3.0209999999999999</v>
      </c>
      <c r="L2784">
        <f t="shared" si="171"/>
        <v>82.218152986199996</v>
      </c>
    </row>
    <row r="2785" spans="1:12" x14ac:dyDescent="0.2">
      <c r="A2785" s="4">
        <v>43500</v>
      </c>
      <c r="B2785" t="s">
        <v>527</v>
      </c>
      <c r="C2785">
        <v>6</v>
      </c>
      <c r="D2785">
        <v>1</v>
      </c>
      <c r="E2785">
        <v>10</v>
      </c>
      <c r="F2785" t="s">
        <v>1012</v>
      </c>
      <c r="G2785" t="s">
        <v>1044</v>
      </c>
      <c r="H2785" s="9" t="s">
        <v>1072</v>
      </c>
      <c r="I2785">
        <f t="shared" si="170"/>
        <v>60</v>
      </c>
      <c r="J2785">
        <f t="shared" si="169"/>
        <v>27.215542200000002</v>
      </c>
      <c r="K2785">
        <v>3.0209999999999999</v>
      </c>
      <c r="L2785">
        <f t="shared" si="171"/>
        <v>82.218152986199996</v>
      </c>
    </row>
    <row r="2786" spans="1:12" x14ac:dyDescent="0.2">
      <c r="A2786" s="4">
        <v>43500</v>
      </c>
      <c r="B2786" t="s">
        <v>527</v>
      </c>
      <c r="C2786">
        <v>6</v>
      </c>
      <c r="D2786">
        <v>1</v>
      </c>
      <c r="E2786">
        <v>10</v>
      </c>
      <c r="F2786" t="s">
        <v>399</v>
      </c>
      <c r="G2786" t="s">
        <v>1044</v>
      </c>
      <c r="H2786" s="9" t="s">
        <v>1072</v>
      </c>
      <c r="I2786">
        <f t="shared" si="170"/>
        <v>60</v>
      </c>
      <c r="J2786">
        <f t="shared" si="169"/>
        <v>27.215542200000002</v>
      </c>
      <c r="K2786">
        <v>3.0209999999999999</v>
      </c>
      <c r="L2786">
        <f t="shared" si="171"/>
        <v>82.218152986199996</v>
      </c>
    </row>
    <row r="2787" spans="1:12" x14ac:dyDescent="0.2">
      <c r="A2787" s="4">
        <v>43503</v>
      </c>
      <c r="B2787" t="s">
        <v>527</v>
      </c>
      <c r="C2787">
        <v>9</v>
      </c>
      <c r="D2787">
        <v>1</v>
      </c>
      <c r="E2787">
        <v>10</v>
      </c>
      <c r="F2787" t="s">
        <v>528</v>
      </c>
      <c r="G2787" t="s">
        <v>1044</v>
      </c>
      <c r="H2787" s="9" t="s">
        <v>1072</v>
      </c>
      <c r="I2787">
        <f t="shared" si="170"/>
        <v>90</v>
      </c>
      <c r="J2787">
        <f t="shared" si="169"/>
        <v>40.823313300000002</v>
      </c>
      <c r="K2787">
        <v>3.0209999999999999</v>
      </c>
      <c r="L2787">
        <f t="shared" si="171"/>
        <v>123.3272294793</v>
      </c>
    </row>
    <row r="2788" spans="1:12" x14ac:dyDescent="0.2">
      <c r="A2788" s="4">
        <v>43503</v>
      </c>
      <c r="B2788" t="s">
        <v>527</v>
      </c>
      <c r="C2788">
        <v>8</v>
      </c>
      <c r="D2788">
        <v>1</v>
      </c>
      <c r="E2788">
        <v>10</v>
      </c>
      <c r="F2788" t="s">
        <v>399</v>
      </c>
      <c r="G2788" t="s">
        <v>1044</v>
      </c>
      <c r="H2788" s="9" t="s">
        <v>1072</v>
      </c>
      <c r="I2788">
        <f t="shared" si="170"/>
        <v>80</v>
      </c>
      <c r="J2788">
        <f t="shared" si="169"/>
        <v>36.287389600000004</v>
      </c>
      <c r="K2788">
        <v>3.0209999999999999</v>
      </c>
      <c r="L2788">
        <f t="shared" si="171"/>
        <v>109.6242039816</v>
      </c>
    </row>
    <row r="2789" spans="1:12" x14ac:dyDescent="0.2">
      <c r="A2789" s="4">
        <v>43497</v>
      </c>
      <c r="B2789" t="s">
        <v>538</v>
      </c>
      <c r="C2789">
        <v>4</v>
      </c>
      <c r="D2789">
        <v>1</v>
      </c>
      <c r="E2789">
        <v>50</v>
      </c>
      <c r="F2789" t="s">
        <v>431</v>
      </c>
      <c r="G2789" t="s">
        <v>863</v>
      </c>
      <c r="H2789" s="9" t="s">
        <v>1071</v>
      </c>
      <c r="I2789">
        <f t="shared" si="170"/>
        <v>200</v>
      </c>
      <c r="J2789">
        <f t="shared" si="169"/>
        <v>90.718474000000001</v>
      </c>
      <c r="K2789">
        <v>0.35799999999999998</v>
      </c>
      <c r="L2789">
        <f t="shared" si="171"/>
        <v>32.477213691999999</v>
      </c>
    </row>
    <row r="2790" spans="1:12" x14ac:dyDescent="0.2">
      <c r="A2790" s="4">
        <v>43500</v>
      </c>
      <c r="B2790" t="s">
        <v>538</v>
      </c>
      <c r="C2790">
        <v>3</v>
      </c>
      <c r="D2790">
        <v>1</v>
      </c>
      <c r="E2790">
        <v>50</v>
      </c>
      <c r="F2790" t="s">
        <v>431</v>
      </c>
      <c r="G2790" t="s">
        <v>863</v>
      </c>
      <c r="H2790" s="9" t="s">
        <v>1071</v>
      </c>
      <c r="I2790">
        <f t="shared" si="170"/>
        <v>150</v>
      </c>
      <c r="J2790">
        <f t="shared" si="169"/>
        <v>68.038855500000011</v>
      </c>
      <c r="K2790">
        <v>0.35799999999999998</v>
      </c>
      <c r="L2790">
        <f t="shared" si="171"/>
        <v>24.357910269000001</v>
      </c>
    </row>
    <row r="2791" spans="1:12" x14ac:dyDescent="0.2">
      <c r="A2791" s="4">
        <v>43503</v>
      </c>
      <c r="B2791" t="s">
        <v>538</v>
      </c>
      <c r="C2791">
        <v>2</v>
      </c>
      <c r="D2791">
        <v>1</v>
      </c>
      <c r="E2791">
        <v>50</v>
      </c>
      <c r="F2791" t="s">
        <v>431</v>
      </c>
      <c r="G2791" t="s">
        <v>863</v>
      </c>
      <c r="H2791" s="9" t="s">
        <v>1071</v>
      </c>
      <c r="I2791">
        <f t="shared" ref="I2791:I2822" si="172">C2791*D2791*E2791</f>
        <v>100</v>
      </c>
      <c r="J2791">
        <f t="shared" si="169"/>
        <v>45.359237</v>
      </c>
      <c r="K2791">
        <v>0.35799999999999998</v>
      </c>
      <c r="L2791">
        <f t="shared" si="171"/>
        <v>16.238606846</v>
      </c>
    </row>
    <row r="2792" spans="1:12" x14ac:dyDescent="0.2">
      <c r="A2792" s="4">
        <v>43502</v>
      </c>
      <c r="B2792" t="s">
        <v>48</v>
      </c>
      <c r="C2792" s="28">
        <v>1</v>
      </c>
      <c r="D2792" s="35">
        <v>1</v>
      </c>
      <c r="E2792">
        <f>4*4.54</f>
        <v>18.16</v>
      </c>
      <c r="F2792" t="s">
        <v>714</v>
      </c>
      <c r="G2792" t="s">
        <v>811</v>
      </c>
      <c r="H2792" s="9" t="s">
        <v>1071</v>
      </c>
      <c r="I2792">
        <f t="shared" si="172"/>
        <v>18.16</v>
      </c>
      <c r="J2792">
        <f t="shared" si="169"/>
        <v>8.2372374392000012</v>
      </c>
      <c r="K2792">
        <v>0.74299999999999999</v>
      </c>
      <c r="L2792">
        <f t="shared" si="171"/>
        <v>6.1202674173256009</v>
      </c>
    </row>
    <row r="2793" spans="1:12" x14ac:dyDescent="0.2">
      <c r="A2793" s="4">
        <v>43501</v>
      </c>
      <c r="B2793" t="s">
        <v>48</v>
      </c>
      <c r="C2793" s="28">
        <v>1</v>
      </c>
      <c r="D2793" s="35">
        <v>1</v>
      </c>
      <c r="E2793">
        <f>4*4.54</f>
        <v>18.16</v>
      </c>
      <c r="F2793" t="s">
        <v>303</v>
      </c>
      <c r="G2793" t="s">
        <v>811</v>
      </c>
      <c r="H2793" s="9" t="s">
        <v>1071</v>
      </c>
      <c r="I2793">
        <f t="shared" si="172"/>
        <v>18.16</v>
      </c>
      <c r="J2793">
        <f t="shared" si="169"/>
        <v>8.2372374392000012</v>
      </c>
      <c r="K2793">
        <v>0.74299999999999999</v>
      </c>
      <c r="L2793">
        <f t="shared" si="171"/>
        <v>6.1202674173256009</v>
      </c>
    </row>
    <row r="2794" spans="1:12" x14ac:dyDescent="0.2">
      <c r="A2794" s="4">
        <v>43500</v>
      </c>
      <c r="B2794" t="s">
        <v>48</v>
      </c>
      <c r="C2794" s="28">
        <v>2</v>
      </c>
      <c r="D2794" s="35">
        <v>1</v>
      </c>
      <c r="E2794">
        <v>25</v>
      </c>
      <c r="F2794" t="s">
        <v>493</v>
      </c>
      <c r="G2794" t="s">
        <v>215</v>
      </c>
      <c r="H2794" s="9" t="s">
        <v>1071</v>
      </c>
      <c r="I2794">
        <f t="shared" si="172"/>
        <v>50</v>
      </c>
      <c r="J2794">
        <f t="shared" si="169"/>
        <v>22.6796185</v>
      </c>
      <c r="K2794">
        <v>0.95</v>
      </c>
      <c r="L2794">
        <f t="shared" si="171"/>
        <v>21.545637575000001</v>
      </c>
    </row>
    <row r="2795" spans="1:12" x14ac:dyDescent="0.2">
      <c r="A2795" s="4">
        <v>43503</v>
      </c>
      <c r="B2795" t="s">
        <v>48</v>
      </c>
      <c r="C2795" s="28">
        <v>8</v>
      </c>
      <c r="D2795" s="35">
        <v>1</v>
      </c>
      <c r="E2795">
        <v>18</v>
      </c>
      <c r="F2795" t="s">
        <v>304</v>
      </c>
      <c r="G2795" t="s">
        <v>786</v>
      </c>
      <c r="H2795" s="9" t="s">
        <v>1071</v>
      </c>
      <c r="I2795">
        <f t="shared" si="172"/>
        <v>144</v>
      </c>
      <c r="J2795">
        <f t="shared" si="169"/>
        <v>65.317301279999995</v>
      </c>
      <c r="K2795">
        <v>0.47799999999999998</v>
      </c>
      <c r="L2795">
        <f t="shared" si="171"/>
        <v>31.221670011839997</v>
      </c>
    </row>
    <row r="2796" spans="1:12" x14ac:dyDescent="0.2">
      <c r="A2796" s="4">
        <v>43502</v>
      </c>
      <c r="B2796" t="s">
        <v>48</v>
      </c>
      <c r="C2796" s="28">
        <v>8</v>
      </c>
      <c r="D2796" s="35">
        <v>1</v>
      </c>
      <c r="E2796">
        <v>18</v>
      </c>
      <c r="F2796" t="s">
        <v>304</v>
      </c>
      <c r="G2796" t="s">
        <v>786</v>
      </c>
      <c r="H2796" s="9" t="s">
        <v>1071</v>
      </c>
      <c r="I2796">
        <f t="shared" si="172"/>
        <v>144</v>
      </c>
      <c r="J2796">
        <f t="shared" si="169"/>
        <v>65.317301279999995</v>
      </c>
      <c r="K2796">
        <v>0.47799999999999998</v>
      </c>
      <c r="L2796">
        <f t="shared" si="171"/>
        <v>31.221670011839997</v>
      </c>
    </row>
    <row r="2797" spans="1:12" x14ac:dyDescent="0.2">
      <c r="A2797" s="4">
        <v>43501</v>
      </c>
      <c r="B2797" t="s">
        <v>48</v>
      </c>
      <c r="C2797" s="28">
        <v>8</v>
      </c>
      <c r="D2797" s="35">
        <v>1</v>
      </c>
      <c r="E2797">
        <v>18</v>
      </c>
      <c r="F2797" t="s">
        <v>304</v>
      </c>
      <c r="G2797" t="s">
        <v>786</v>
      </c>
      <c r="H2797" s="9" t="s">
        <v>1071</v>
      </c>
      <c r="I2797">
        <f t="shared" si="172"/>
        <v>144</v>
      </c>
      <c r="J2797">
        <f t="shared" si="169"/>
        <v>65.317301279999995</v>
      </c>
      <c r="K2797">
        <v>0.47799999999999998</v>
      </c>
      <c r="L2797">
        <f t="shared" si="171"/>
        <v>31.221670011839997</v>
      </c>
    </row>
    <row r="2798" spans="1:12" x14ac:dyDescent="0.2">
      <c r="A2798" s="4">
        <v>43500</v>
      </c>
      <c r="B2798" t="s">
        <v>48</v>
      </c>
      <c r="C2798" s="28">
        <v>6</v>
      </c>
      <c r="D2798" s="35">
        <v>1</v>
      </c>
      <c r="E2798">
        <v>18</v>
      </c>
      <c r="F2798" t="s">
        <v>304</v>
      </c>
      <c r="G2798" t="s">
        <v>786</v>
      </c>
      <c r="H2798" s="9" t="s">
        <v>1071</v>
      </c>
      <c r="I2798">
        <f t="shared" si="172"/>
        <v>108</v>
      </c>
      <c r="J2798">
        <f t="shared" si="169"/>
        <v>48.987975960000007</v>
      </c>
      <c r="K2798">
        <v>0.47799999999999998</v>
      </c>
      <c r="L2798">
        <f t="shared" si="171"/>
        <v>23.416252508880003</v>
      </c>
    </row>
    <row r="2799" spans="1:12" x14ac:dyDescent="0.2">
      <c r="A2799" s="4">
        <v>43501</v>
      </c>
      <c r="B2799" t="s">
        <v>48</v>
      </c>
      <c r="C2799" s="28">
        <v>2</v>
      </c>
      <c r="D2799" s="35">
        <v>1</v>
      </c>
      <c r="E2799">
        <f>2*36*(8.7/16)</f>
        <v>39.15</v>
      </c>
      <c r="F2799" t="s">
        <v>481</v>
      </c>
      <c r="G2799" t="s">
        <v>836</v>
      </c>
      <c r="H2799" s="9" t="s">
        <v>1071</v>
      </c>
      <c r="I2799">
        <f t="shared" si="172"/>
        <v>78.3</v>
      </c>
      <c r="J2799">
        <f t="shared" si="169"/>
        <v>35.516282571000005</v>
      </c>
      <c r="K2799">
        <v>1.21</v>
      </c>
      <c r="L2799">
        <f t="shared" si="171"/>
        <v>42.974701910910007</v>
      </c>
    </row>
    <row r="2800" spans="1:12" x14ac:dyDescent="0.2">
      <c r="A2800" s="4">
        <v>43500</v>
      </c>
      <c r="B2800" t="s">
        <v>38</v>
      </c>
      <c r="C2800" s="9">
        <v>12</v>
      </c>
      <c r="D2800" s="35">
        <v>1</v>
      </c>
      <c r="E2800">
        <v>2.0499999999999998</v>
      </c>
      <c r="F2800" s="9" t="s">
        <v>610</v>
      </c>
      <c r="G2800" s="9" t="s">
        <v>957</v>
      </c>
      <c r="H2800" s="9" t="s">
        <v>1073</v>
      </c>
      <c r="I2800">
        <f t="shared" si="172"/>
        <v>24.599999999999998</v>
      </c>
      <c r="J2800">
        <f t="shared" si="169"/>
        <v>11.158372302</v>
      </c>
      <c r="K2800">
        <f>(0.5*1.323)+(0.5*5.2)</f>
        <v>3.2614999999999998</v>
      </c>
      <c r="L2800">
        <f t="shared" si="171"/>
        <v>36.393031262972997</v>
      </c>
    </row>
    <row r="2801" spans="1:12" x14ac:dyDescent="0.2">
      <c r="A2801" s="4">
        <v>43497</v>
      </c>
      <c r="B2801" t="s">
        <v>38</v>
      </c>
      <c r="C2801" s="9">
        <v>24</v>
      </c>
      <c r="D2801" s="35">
        <v>1</v>
      </c>
      <c r="E2801">
        <v>2.0499999999999998</v>
      </c>
      <c r="F2801" s="9" t="s">
        <v>610</v>
      </c>
      <c r="G2801" s="9" t="s">
        <v>957</v>
      </c>
      <c r="H2801" s="9" t="s">
        <v>1073</v>
      </c>
      <c r="I2801">
        <f t="shared" si="172"/>
        <v>49.199999999999996</v>
      </c>
      <c r="J2801">
        <f t="shared" si="169"/>
        <v>22.316744604</v>
      </c>
      <c r="K2801">
        <f>(0.5*1.323)+(0.5*5.2)</f>
        <v>3.2614999999999998</v>
      </c>
      <c r="L2801">
        <f t="shared" si="171"/>
        <v>72.786062525945994</v>
      </c>
    </row>
    <row r="2802" spans="1:12" x14ac:dyDescent="0.2">
      <c r="A2802" s="4">
        <v>43503</v>
      </c>
      <c r="B2802" t="s">
        <v>517</v>
      </c>
      <c r="C2802">
        <v>2</v>
      </c>
      <c r="D2802">
        <v>12</v>
      </c>
      <c r="E2802">
        <v>2.0499999999999998</v>
      </c>
      <c r="F2802" t="s">
        <v>752</v>
      </c>
      <c r="G2802" t="s">
        <v>957</v>
      </c>
      <c r="H2802" s="9" t="s">
        <v>1073</v>
      </c>
      <c r="I2802">
        <f t="shared" si="172"/>
        <v>49.199999999999996</v>
      </c>
      <c r="J2802">
        <f t="shared" si="169"/>
        <v>22.316744604</v>
      </c>
      <c r="K2802">
        <f>(0.5*1.323)+(0.5*5.2)</f>
        <v>3.2614999999999998</v>
      </c>
      <c r="L2802">
        <f t="shared" si="171"/>
        <v>72.786062525945994</v>
      </c>
    </row>
    <row r="2803" spans="1:12" x14ac:dyDescent="0.2">
      <c r="A2803" s="4">
        <v>43500</v>
      </c>
      <c r="B2803" t="s">
        <v>38</v>
      </c>
      <c r="C2803" s="9">
        <v>12</v>
      </c>
      <c r="D2803" s="35">
        <v>1</v>
      </c>
      <c r="E2803" s="9">
        <v>1.06</v>
      </c>
      <c r="F2803" s="9" t="s">
        <v>698</v>
      </c>
      <c r="G2803" s="9" t="s">
        <v>698</v>
      </c>
      <c r="H2803" s="9" t="s">
        <v>1073</v>
      </c>
      <c r="I2803">
        <f t="shared" si="172"/>
        <v>12.72</v>
      </c>
      <c r="J2803">
        <f t="shared" si="169"/>
        <v>5.7696949464000014</v>
      </c>
      <c r="K2803">
        <v>5.32</v>
      </c>
      <c r="L2803">
        <f t="shared" si="171"/>
        <v>30.694777114848009</v>
      </c>
    </row>
    <row r="2804" spans="1:12" x14ac:dyDescent="0.2">
      <c r="A2804" s="4">
        <v>43497</v>
      </c>
      <c r="B2804" t="s">
        <v>38</v>
      </c>
      <c r="C2804" s="9">
        <v>12</v>
      </c>
      <c r="D2804" s="35">
        <v>1</v>
      </c>
      <c r="E2804" s="9">
        <v>1.06</v>
      </c>
      <c r="F2804" s="9" t="s">
        <v>698</v>
      </c>
      <c r="G2804" s="9" t="s">
        <v>698</v>
      </c>
      <c r="H2804" s="9" t="s">
        <v>1073</v>
      </c>
      <c r="I2804">
        <f t="shared" si="172"/>
        <v>12.72</v>
      </c>
      <c r="J2804">
        <f t="shared" si="169"/>
        <v>5.7696949464000014</v>
      </c>
      <c r="K2804">
        <v>5.32</v>
      </c>
      <c r="L2804">
        <f t="shared" si="171"/>
        <v>30.694777114848009</v>
      </c>
    </row>
    <row r="2805" spans="1:12" x14ac:dyDescent="0.2">
      <c r="A2805" s="4">
        <v>43503</v>
      </c>
      <c r="B2805" t="s">
        <v>517</v>
      </c>
      <c r="C2805">
        <v>1</v>
      </c>
      <c r="D2805">
        <v>12</v>
      </c>
      <c r="E2805">
        <v>0.125</v>
      </c>
      <c r="F2805" t="s">
        <v>668</v>
      </c>
      <c r="G2805" t="s">
        <v>698</v>
      </c>
      <c r="H2805" s="9" t="s">
        <v>1073</v>
      </c>
      <c r="I2805">
        <f t="shared" si="172"/>
        <v>1.5</v>
      </c>
      <c r="J2805">
        <f t="shared" si="169"/>
        <v>0.68038855500000006</v>
      </c>
      <c r="K2805">
        <v>5.32</v>
      </c>
      <c r="L2805">
        <f t="shared" si="171"/>
        <v>3.6196671126000006</v>
      </c>
    </row>
    <row r="2806" spans="1:12" x14ac:dyDescent="0.2">
      <c r="A2806" s="4">
        <v>43503</v>
      </c>
      <c r="B2806" t="s">
        <v>48</v>
      </c>
      <c r="C2806" s="28">
        <v>1</v>
      </c>
      <c r="D2806" s="35">
        <v>1</v>
      </c>
      <c r="E2806">
        <v>0.25</v>
      </c>
      <c r="F2806" t="s">
        <v>706</v>
      </c>
      <c r="G2806" t="s">
        <v>812</v>
      </c>
      <c r="H2806" s="9" t="s">
        <v>1071</v>
      </c>
      <c r="I2806">
        <f t="shared" si="172"/>
        <v>0.25</v>
      </c>
      <c r="J2806">
        <f t="shared" si="169"/>
        <v>0.11339809250000001</v>
      </c>
      <c r="K2806">
        <v>0.221</v>
      </c>
      <c r="L2806">
        <f t="shared" si="171"/>
        <v>2.5060978442500003E-2</v>
      </c>
    </row>
    <row r="2807" spans="1:12" x14ac:dyDescent="0.2">
      <c r="A2807" s="4">
        <v>43503</v>
      </c>
      <c r="B2807" t="s">
        <v>48</v>
      </c>
      <c r="C2807" s="28">
        <v>1</v>
      </c>
      <c r="D2807" s="35">
        <v>1</v>
      </c>
      <c r="E2807">
        <v>1</v>
      </c>
      <c r="F2807" t="s">
        <v>309</v>
      </c>
      <c r="G2807" t="s">
        <v>812</v>
      </c>
      <c r="H2807" s="9" t="s">
        <v>1071</v>
      </c>
      <c r="I2807">
        <f t="shared" si="172"/>
        <v>1</v>
      </c>
      <c r="J2807">
        <f t="shared" si="169"/>
        <v>0.45359237000000002</v>
      </c>
      <c r="K2807">
        <v>0.221</v>
      </c>
      <c r="L2807">
        <f t="shared" si="171"/>
        <v>0.10024391377000001</v>
      </c>
    </row>
    <row r="2808" spans="1:12" x14ac:dyDescent="0.2">
      <c r="A2808" s="4">
        <v>43501</v>
      </c>
      <c r="B2808" t="s">
        <v>48</v>
      </c>
      <c r="C2808" s="28">
        <v>1</v>
      </c>
      <c r="D2808" s="35">
        <v>1</v>
      </c>
      <c r="E2808">
        <v>1</v>
      </c>
      <c r="F2808" t="s">
        <v>309</v>
      </c>
      <c r="G2808" t="s">
        <v>812</v>
      </c>
      <c r="H2808" s="9" t="s">
        <v>1071</v>
      </c>
      <c r="I2808">
        <f t="shared" si="172"/>
        <v>1</v>
      </c>
      <c r="J2808">
        <f t="shared" si="169"/>
        <v>0.45359237000000002</v>
      </c>
      <c r="K2808">
        <v>0.221</v>
      </c>
      <c r="L2808">
        <f t="shared" si="171"/>
        <v>0.10024391377000001</v>
      </c>
    </row>
    <row r="2809" spans="1:12" x14ac:dyDescent="0.2">
      <c r="A2809" s="4">
        <v>43497</v>
      </c>
      <c r="B2809" t="s">
        <v>48</v>
      </c>
      <c r="C2809" s="28">
        <v>1</v>
      </c>
      <c r="D2809" s="35">
        <v>1</v>
      </c>
      <c r="E2809">
        <v>0.25</v>
      </c>
      <c r="F2809" t="s">
        <v>306</v>
      </c>
      <c r="G2809" t="s">
        <v>812</v>
      </c>
      <c r="H2809" s="9" t="s">
        <v>1071</v>
      </c>
      <c r="I2809">
        <f t="shared" si="172"/>
        <v>0.25</v>
      </c>
      <c r="J2809">
        <f t="shared" si="169"/>
        <v>0.11339809250000001</v>
      </c>
      <c r="K2809">
        <v>0.221</v>
      </c>
      <c r="L2809">
        <f t="shared" si="171"/>
        <v>2.5060978442500003E-2</v>
      </c>
    </row>
    <row r="2810" spans="1:12" x14ac:dyDescent="0.2">
      <c r="A2810" s="4">
        <v>43503</v>
      </c>
      <c r="B2810" t="s">
        <v>48</v>
      </c>
      <c r="C2810" s="28">
        <v>1</v>
      </c>
      <c r="D2810" s="35">
        <v>1</v>
      </c>
      <c r="E2810">
        <v>18</v>
      </c>
      <c r="F2810" t="s">
        <v>353</v>
      </c>
      <c r="G2810" t="s">
        <v>995</v>
      </c>
      <c r="H2810" s="9" t="s">
        <v>1071</v>
      </c>
      <c r="I2810">
        <f t="shared" si="172"/>
        <v>18</v>
      </c>
      <c r="J2810">
        <f t="shared" si="169"/>
        <v>8.1646626599999994</v>
      </c>
      <c r="K2810">
        <v>2.44</v>
      </c>
      <c r="L2810">
        <f t="shared" si="171"/>
        <v>19.921776890399997</v>
      </c>
    </row>
    <row r="2811" spans="1:12" x14ac:dyDescent="0.2">
      <c r="A2811" s="4">
        <v>43497</v>
      </c>
      <c r="B2811" t="s">
        <v>538</v>
      </c>
      <c r="C2811">
        <v>1</v>
      </c>
      <c r="D2811">
        <v>6</v>
      </c>
      <c r="E2811">
        <v>5</v>
      </c>
      <c r="F2811" t="s">
        <v>571</v>
      </c>
      <c r="G2811" t="s">
        <v>878</v>
      </c>
      <c r="H2811" s="9" t="s">
        <v>1071</v>
      </c>
      <c r="I2811">
        <f t="shared" si="172"/>
        <v>30</v>
      </c>
      <c r="J2811">
        <f t="shared" si="169"/>
        <v>13.607771100000001</v>
      </c>
      <c r="K2811">
        <v>2.44</v>
      </c>
      <c r="L2811">
        <f t="shared" si="171"/>
        <v>33.202961483999999</v>
      </c>
    </row>
    <row r="2812" spans="1:12" x14ac:dyDescent="0.2">
      <c r="A2812" s="4">
        <v>43500</v>
      </c>
      <c r="B2812" t="s">
        <v>538</v>
      </c>
      <c r="C2812">
        <v>1</v>
      </c>
      <c r="D2812">
        <v>6</v>
      </c>
      <c r="E2812">
        <v>5</v>
      </c>
      <c r="F2812" t="s">
        <v>571</v>
      </c>
      <c r="G2812" t="s">
        <v>878</v>
      </c>
      <c r="H2812" s="9" t="s">
        <v>1071</v>
      </c>
      <c r="I2812">
        <f t="shared" si="172"/>
        <v>30</v>
      </c>
      <c r="J2812">
        <f t="shared" si="169"/>
        <v>13.607771100000001</v>
      </c>
      <c r="K2812">
        <v>2.44</v>
      </c>
      <c r="L2812">
        <f t="shared" si="171"/>
        <v>33.202961483999999</v>
      </c>
    </row>
    <row r="2813" spans="1:12" x14ac:dyDescent="0.2">
      <c r="A2813" s="4">
        <v>43503</v>
      </c>
      <c r="B2813" t="s">
        <v>48</v>
      </c>
      <c r="C2813" s="28">
        <v>8</v>
      </c>
      <c r="D2813" s="35">
        <v>1</v>
      </c>
      <c r="E2813">
        <f>6*4</f>
        <v>24</v>
      </c>
      <c r="F2813" t="s">
        <v>708</v>
      </c>
      <c r="G2813" t="s">
        <v>789</v>
      </c>
      <c r="H2813" s="9" t="s">
        <v>1071</v>
      </c>
      <c r="I2813">
        <f t="shared" si="172"/>
        <v>192</v>
      </c>
      <c r="J2813">
        <f t="shared" si="169"/>
        <v>87.089735040000008</v>
      </c>
      <c r="K2813">
        <v>0.28399999999999997</v>
      </c>
      <c r="L2813">
        <f t="shared" si="171"/>
        <v>24.733484751359999</v>
      </c>
    </row>
    <row r="2814" spans="1:12" x14ac:dyDescent="0.2">
      <c r="A2814" s="4">
        <v>43502</v>
      </c>
      <c r="B2814" t="s">
        <v>48</v>
      </c>
      <c r="C2814" s="28">
        <v>8</v>
      </c>
      <c r="D2814" s="35">
        <v>1</v>
      </c>
      <c r="E2814">
        <f>6*4</f>
        <v>24</v>
      </c>
      <c r="F2814" t="s">
        <v>708</v>
      </c>
      <c r="G2814" t="s">
        <v>789</v>
      </c>
      <c r="H2814" s="9" t="s">
        <v>1071</v>
      </c>
      <c r="I2814">
        <f t="shared" si="172"/>
        <v>192</v>
      </c>
      <c r="J2814">
        <f t="shared" si="169"/>
        <v>87.089735040000008</v>
      </c>
      <c r="K2814">
        <v>0.28399999999999997</v>
      </c>
      <c r="L2814">
        <f t="shared" si="171"/>
        <v>24.733484751359999</v>
      </c>
    </row>
    <row r="2815" spans="1:12" x14ac:dyDescent="0.2">
      <c r="A2815" s="4">
        <v>43501</v>
      </c>
      <c r="B2815" t="s">
        <v>48</v>
      </c>
      <c r="C2815" s="28">
        <v>8</v>
      </c>
      <c r="D2815" s="35">
        <v>1</v>
      </c>
      <c r="E2815">
        <f>9*4</f>
        <v>36</v>
      </c>
      <c r="F2815" t="s">
        <v>312</v>
      </c>
      <c r="G2815" t="s">
        <v>789</v>
      </c>
      <c r="H2815" s="9" t="s">
        <v>1071</v>
      </c>
      <c r="I2815">
        <f t="shared" si="172"/>
        <v>288</v>
      </c>
      <c r="J2815">
        <f t="shared" si="169"/>
        <v>130.63460255999999</v>
      </c>
      <c r="K2815">
        <v>0.28399999999999997</v>
      </c>
      <c r="L2815">
        <f t="shared" si="171"/>
        <v>37.100227127039993</v>
      </c>
    </row>
    <row r="2816" spans="1:12" x14ac:dyDescent="0.2">
      <c r="A2816" s="4">
        <v>43500</v>
      </c>
      <c r="B2816" t="s">
        <v>48</v>
      </c>
      <c r="C2816" s="28">
        <v>6</v>
      </c>
      <c r="D2816" s="35">
        <v>1</v>
      </c>
      <c r="E2816">
        <f>9*4</f>
        <v>36</v>
      </c>
      <c r="F2816" t="s">
        <v>312</v>
      </c>
      <c r="G2816" t="s">
        <v>789</v>
      </c>
      <c r="H2816" s="9" t="s">
        <v>1071</v>
      </c>
      <c r="I2816">
        <f t="shared" si="172"/>
        <v>216</v>
      </c>
      <c r="J2816">
        <f t="shared" si="169"/>
        <v>97.975951920000014</v>
      </c>
      <c r="K2816">
        <v>0.28399999999999997</v>
      </c>
      <c r="L2816">
        <f t="shared" si="171"/>
        <v>27.82517034528</v>
      </c>
    </row>
    <row r="2817" spans="1:12" x14ac:dyDescent="0.2">
      <c r="A2817" s="4">
        <v>43497</v>
      </c>
      <c r="B2817" t="s">
        <v>48</v>
      </c>
      <c r="C2817" s="28">
        <v>8</v>
      </c>
      <c r="D2817" s="35">
        <v>1</v>
      </c>
      <c r="E2817">
        <f>9*4</f>
        <v>36</v>
      </c>
      <c r="F2817" t="s">
        <v>312</v>
      </c>
      <c r="G2817" t="s">
        <v>789</v>
      </c>
      <c r="H2817" s="9" t="s">
        <v>1071</v>
      </c>
      <c r="I2817">
        <f t="shared" si="172"/>
        <v>288</v>
      </c>
      <c r="J2817">
        <f t="shared" si="169"/>
        <v>130.63460255999999</v>
      </c>
      <c r="K2817">
        <v>0.28399999999999997</v>
      </c>
      <c r="L2817">
        <f t="shared" si="171"/>
        <v>37.100227127039993</v>
      </c>
    </row>
    <row r="2818" spans="1:12" x14ac:dyDescent="0.2">
      <c r="A2818" s="10">
        <v>43497</v>
      </c>
      <c r="B2818" s="8" t="s">
        <v>946</v>
      </c>
      <c r="C2818" s="9">
        <v>1</v>
      </c>
      <c r="D2818" s="35">
        <v>1</v>
      </c>
      <c r="E2818" s="8">
        <v>20</v>
      </c>
      <c r="F2818" s="9" t="s">
        <v>956</v>
      </c>
      <c r="G2818" s="9" t="s">
        <v>950</v>
      </c>
      <c r="H2818" s="9" t="s">
        <v>1073</v>
      </c>
      <c r="I2818">
        <f t="shared" si="172"/>
        <v>20</v>
      </c>
      <c r="J2818">
        <f t="shared" si="169"/>
        <v>9.0718474000000011</v>
      </c>
      <c r="K2818">
        <v>3.84</v>
      </c>
      <c r="L2818">
        <f t="shared" si="171"/>
        <v>34.835894016000005</v>
      </c>
    </row>
    <row r="2819" spans="1:12" x14ac:dyDescent="0.2">
      <c r="A2819" s="10">
        <v>43497</v>
      </c>
      <c r="B2819" s="8" t="s">
        <v>946</v>
      </c>
      <c r="C2819" s="9">
        <v>1</v>
      </c>
      <c r="D2819" s="35">
        <v>1</v>
      </c>
      <c r="E2819" s="9">
        <v>30</v>
      </c>
      <c r="F2819" s="9" t="s">
        <v>955</v>
      </c>
      <c r="G2819" s="9" t="s">
        <v>950</v>
      </c>
      <c r="H2819" s="9" t="s">
        <v>1073</v>
      </c>
      <c r="I2819">
        <f t="shared" si="172"/>
        <v>30</v>
      </c>
      <c r="J2819">
        <f t="shared" ref="J2819:J2882" si="173">CONVERT(I2819,"lbm","kg")</f>
        <v>13.607771100000001</v>
      </c>
      <c r="K2819">
        <v>3.84</v>
      </c>
      <c r="L2819">
        <f t="shared" si="171"/>
        <v>52.253841024000003</v>
      </c>
    </row>
    <row r="2820" spans="1:12" x14ac:dyDescent="0.2">
      <c r="A2820" s="10">
        <v>43497</v>
      </c>
      <c r="B2820" s="8" t="s">
        <v>946</v>
      </c>
      <c r="C2820" s="9">
        <v>1</v>
      </c>
      <c r="D2820" s="35">
        <v>1</v>
      </c>
      <c r="E2820" s="9">
        <v>10</v>
      </c>
      <c r="F2820" s="9" t="s">
        <v>953</v>
      </c>
      <c r="G2820" s="9" t="s">
        <v>950</v>
      </c>
      <c r="H2820" s="9" t="s">
        <v>1073</v>
      </c>
      <c r="I2820">
        <f t="shared" si="172"/>
        <v>10</v>
      </c>
      <c r="J2820">
        <f t="shared" si="173"/>
        <v>4.5359237000000006</v>
      </c>
      <c r="K2820">
        <v>3.84</v>
      </c>
      <c r="L2820">
        <f t="shared" si="171"/>
        <v>17.417947008000002</v>
      </c>
    </row>
    <row r="2821" spans="1:12" x14ac:dyDescent="0.2">
      <c r="A2821" s="13">
        <v>43497</v>
      </c>
      <c r="B2821" s="6" t="s">
        <v>688</v>
      </c>
      <c r="C2821" s="6">
        <v>3</v>
      </c>
      <c r="D2821" s="39">
        <v>1</v>
      </c>
      <c r="E2821" s="6">
        <f>3*6.07</f>
        <v>18.21</v>
      </c>
      <c r="F2821" s="6" t="s">
        <v>689</v>
      </c>
      <c r="G2821" s="6" t="s">
        <v>950</v>
      </c>
      <c r="H2821" s="9" t="s">
        <v>1073</v>
      </c>
      <c r="I2821">
        <f t="shared" si="172"/>
        <v>54.63</v>
      </c>
      <c r="J2821">
        <f t="shared" si="173"/>
        <v>24.779751173100003</v>
      </c>
      <c r="K2821">
        <v>3.84</v>
      </c>
      <c r="L2821">
        <f t="shared" si="171"/>
        <v>95.15424450470401</v>
      </c>
    </row>
    <row r="2822" spans="1:12" x14ac:dyDescent="0.2">
      <c r="A2822" s="13">
        <v>43497</v>
      </c>
      <c r="B2822" s="6" t="s">
        <v>688</v>
      </c>
      <c r="C2822" s="6">
        <v>3</v>
      </c>
      <c r="D2822" s="39">
        <v>1</v>
      </c>
      <c r="E2822" s="6">
        <f>3*6.07</f>
        <v>18.21</v>
      </c>
      <c r="F2822" s="6" t="s">
        <v>690</v>
      </c>
      <c r="G2822" s="6" t="s">
        <v>950</v>
      </c>
      <c r="H2822" s="9" t="s">
        <v>1073</v>
      </c>
      <c r="I2822">
        <f t="shared" si="172"/>
        <v>54.63</v>
      </c>
      <c r="J2822">
        <f t="shared" si="173"/>
        <v>24.779751173100003</v>
      </c>
      <c r="K2822">
        <v>3.84</v>
      </c>
      <c r="L2822">
        <f t="shared" si="171"/>
        <v>95.15424450470401</v>
      </c>
    </row>
    <row r="2823" spans="1:12" x14ac:dyDescent="0.2">
      <c r="A2823" s="13">
        <v>43497</v>
      </c>
      <c r="B2823" s="6" t="s">
        <v>688</v>
      </c>
      <c r="C2823" s="6">
        <v>3</v>
      </c>
      <c r="D2823" s="39">
        <v>1</v>
      </c>
      <c r="E2823" s="6">
        <f>3*6.07</f>
        <v>18.21</v>
      </c>
      <c r="F2823" s="6" t="s">
        <v>691</v>
      </c>
      <c r="G2823" s="6" t="s">
        <v>950</v>
      </c>
      <c r="H2823" s="9" t="s">
        <v>1073</v>
      </c>
      <c r="I2823">
        <f t="shared" ref="I2823:I2854" si="174">C2823*D2823*E2823</f>
        <v>54.63</v>
      </c>
      <c r="J2823">
        <f t="shared" si="173"/>
        <v>24.779751173100003</v>
      </c>
      <c r="K2823">
        <v>3.84</v>
      </c>
      <c r="L2823">
        <f t="shared" si="171"/>
        <v>95.15424450470401</v>
      </c>
    </row>
    <row r="2824" spans="1:12" x14ac:dyDescent="0.2">
      <c r="A2824" s="4">
        <v>43497</v>
      </c>
      <c r="B2824" t="s">
        <v>538</v>
      </c>
      <c r="C2824">
        <v>1</v>
      </c>
      <c r="D2824">
        <v>6</v>
      </c>
      <c r="E2824">
        <v>4</v>
      </c>
      <c r="F2824" t="s">
        <v>438</v>
      </c>
      <c r="G2824" t="s">
        <v>1049</v>
      </c>
      <c r="H2824" s="9" t="s">
        <v>1071</v>
      </c>
      <c r="I2824">
        <f t="shared" si="174"/>
        <v>24</v>
      </c>
      <c r="J2824">
        <f t="shared" si="173"/>
        <v>10.886216880000001</v>
      </c>
      <c r="K2824">
        <v>3.25</v>
      </c>
      <c r="L2824">
        <f t="shared" si="171"/>
        <v>35.380204860000006</v>
      </c>
    </row>
    <row r="2825" spans="1:12" x14ac:dyDescent="0.2">
      <c r="A2825" s="4">
        <v>43503</v>
      </c>
      <c r="B2825" t="s">
        <v>538</v>
      </c>
      <c r="C2825">
        <v>1</v>
      </c>
      <c r="D2825">
        <v>6</v>
      </c>
      <c r="E2825">
        <v>4</v>
      </c>
      <c r="F2825" t="s">
        <v>438</v>
      </c>
      <c r="G2825" t="s">
        <v>1049</v>
      </c>
      <c r="H2825" s="9" t="s">
        <v>1071</v>
      </c>
      <c r="I2825">
        <f t="shared" si="174"/>
        <v>24</v>
      </c>
      <c r="J2825">
        <f t="shared" si="173"/>
        <v>10.886216880000001</v>
      </c>
      <c r="K2825">
        <v>3.25</v>
      </c>
      <c r="L2825">
        <f t="shared" si="171"/>
        <v>35.380204860000006</v>
      </c>
    </row>
    <row r="2826" spans="1:12" x14ac:dyDescent="0.2">
      <c r="A2826" s="4">
        <v>43498</v>
      </c>
      <c r="B2826" t="s">
        <v>48</v>
      </c>
      <c r="C2826" s="28">
        <v>2</v>
      </c>
      <c r="D2826" s="35">
        <v>1</v>
      </c>
      <c r="E2826">
        <f>24*(6.5/16)</f>
        <v>9.75</v>
      </c>
      <c r="F2826" t="s">
        <v>507</v>
      </c>
      <c r="G2826" t="s">
        <v>507</v>
      </c>
      <c r="H2826" s="9" t="s">
        <v>1071</v>
      </c>
      <c r="I2826">
        <f t="shared" si="174"/>
        <v>19.5</v>
      </c>
      <c r="J2826">
        <f t="shared" si="173"/>
        <v>8.8450512149999998</v>
      </c>
      <c r="K2826">
        <v>0.193</v>
      </c>
      <c r="L2826">
        <f t="shared" si="171"/>
        <v>1.707094884495</v>
      </c>
    </row>
    <row r="2827" spans="1:12" x14ac:dyDescent="0.2">
      <c r="A2827" s="4">
        <v>43497</v>
      </c>
      <c r="B2827" t="s">
        <v>48</v>
      </c>
      <c r="C2827" s="28">
        <v>3</v>
      </c>
      <c r="D2827" s="35">
        <v>1</v>
      </c>
      <c r="E2827">
        <v>10</v>
      </c>
      <c r="F2827" t="s">
        <v>356</v>
      </c>
      <c r="G2827" t="s">
        <v>819</v>
      </c>
      <c r="H2827" s="9" t="s">
        <v>1071</v>
      </c>
      <c r="I2827">
        <f t="shared" si="174"/>
        <v>30</v>
      </c>
      <c r="J2827">
        <f t="shared" si="173"/>
        <v>13.607771100000001</v>
      </c>
      <c r="K2827">
        <v>0.193</v>
      </c>
      <c r="L2827">
        <f t="shared" si="171"/>
        <v>2.6262998223</v>
      </c>
    </row>
    <row r="2828" spans="1:12" x14ac:dyDescent="0.2">
      <c r="A2828" s="4">
        <v>43497</v>
      </c>
      <c r="B2828" t="s">
        <v>48</v>
      </c>
      <c r="C2828" s="28">
        <v>1</v>
      </c>
      <c r="D2828" s="35">
        <v>1</v>
      </c>
      <c r="E2828">
        <f>12*2.12</f>
        <v>25.44</v>
      </c>
      <c r="F2828" t="s">
        <v>336</v>
      </c>
      <c r="G2828" t="s">
        <v>185</v>
      </c>
      <c r="H2828" s="9" t="s">
        <v>1071</v>
      </c>
      <c r="I2828">
        <f t="shared" si="174"/>
        <v>25.44</v>
      </c>
      <c r="J2828">
        <f t="shared" si="173"/>
        <v>11.539389892800003</v>
      </c>
      <c r="K2828">
        <v>0.33200000000000002</v>
      </c>
      <c r="L2828">
        <f t="shared" si="171"/>
        <v>3.8310774444096012</v>
      </c>
    </row>
    <row r="2829" spans="1:12" x14ac:dyDescent="0.2">
      <c r="A2829" s="4">
        <v>43497</v>
      </c>
      <c r="B2829" t="s">
        <v>538</v>
      </c>
      <c r="C2829">
        <v>1</v>
      </c>
      <c r="D2829">
        <v>1</v>
      </c>
      <c r="E2829">
        <v>20</v>
      </c>
      <c r="F2829" t="s">
        <v>656</v>
      </c>
      <c r="G2829" t="s">
        <v>973</v>
      </c>
      <c r="H2829" s="9" t="s">
        <v>1071</v>
      </c>
      <c r="I2829">
        <f t="shared" si="174"/>
        <v>20</v>
      </c>
      <c r="J2829">
        <f t="shared" si="173"/>
        <v>9.0718474000000011</v>
      </c>
      <c r="K2829">
        <v>1.88</v>
      </c>
      <c r="L2829">
        <f t="shared" si="171"/>
        <v>17.055073112000002</v>
      </c>
    </row>
    <row r="2830" spans="1:12" x14ac:dyDescent="0.2">
      <c r="A2830" s="4">
        <v>43503</v>
      </c>
      <c r="B2830" t="s">
        <v>48</v>
      </c>
      <c r="C2830" s="28">
        <v>4</v>
      </c>
      <c r="D2830" s="35">
        <v>1</v>
      </c>
      <c r="E2830">
        <v>12</v>
      </c>
      <c r="F2830" t="s">
        <v>488</v>
      </c>
      <c r="G2830" t="s">
        <v>787</v>
      </c>
      <c r="H2830" s="9" t="s">
        <v>1071</v>
      </c>
      <c r="I2830">
        <f t="shared" si="174"/>
        <v>48</v>
      </c>
      <c r="J2830">
        <f t="shared" si="173"/>
        <v>21.772433760000002</v>
      </c>
      <c r="K2830">
        <v>0.22</v>
      </c>
      <c r="L2830">
        <f t="shared" si="171"/>
        <v>4.7899354272000005</v>
      </c>
    </row>
    <row r="2831" spans="1:12" x14ac:dyDescent="0.2">
      <c r="A2831" s="4">
        <v>43500</v>
      </c>
      <c r="B2831" t="s">
        <v>48</v>
      </c>
      <c r="C2831" s="28">
        <v>3</v>
      </c>
      <c r="D2831" s="35">
        <v>1</v>
      </c>
      <c r="E2831">
        <v>12</v>
      </c>
      <c r="F2831" t="s">
        <v>488</v>
      </c>
      <c r="G2831" t="s">
        <v>787</v>
      </c>
      <c r="H2831" s="9" t="s">
        <v>1071</v>
      </c>
      <c r="I2831">
        <f t="shared" si="174"/>
        <v>36</v>
      </c>
      <c r="J2831">
        <f t="shared" si="173"/>
        <v>16.329325319999999</v>
      </c>
      <c r="K2831">
        <v>0.22</v>
      </c>
      <c r="L2831">
        <f t="shared" si="171"/>
        <v>3.5924515703999997</v>
      </c>
    </row>
    <row r="2832" spans="1:12" x14ac:dyDescent="0.2">
      <c r="A2832" s="4">
        <v>43497</v>
      </c>
      <c r="B2832" t="s">
        <v>48</v>
      </c>
      <c r="C2832" s="28">
        <v>2</v>
      </c>
      <c r="D2832" s="35">
        <v>1</v>
      </c>
      <c r="E2832">
        <v>12</v>
      </c>
      <c r="F2832" t="s">
        <v>488</v>
      </c>
      <c r="G2832" t="s">
        <v>787</v>
      </c>
      <c r="H2832" s="9" t="s">
        <v>1071</v>
      </c>
      <c r="I2832">
        <f t="shared" si="174"/>
        <v>24</v>
      </c>
      <c r="J2832">
        <f t="shared" si="173"/>
        <v>10.886216880000001</v>
      </c>
      <c r="K2832">
        <v>0.22</v>
      </c>
      <c r="L2832">
        <f t="shared" si="171"/>
        <v>2.3949677136000003</v>
      </c>
    </row>
    <row r="2833" spans="1:12" x14ac:dyDescent="0.2">
      <c r="A2833" s="4">
        <v>43502</v>
      </c>
      <c r="B2833" t="s">
        <v>48</v>
      </c>
      <c r="C2833" s="28">
        <v>1</v>
      </c>
      <c r="D2833" s="35">
        <v>1</v>
      </c>
      <c r="E2833">
        <f>12*2.135</f>
        <v>25.619999999999997</v>
      </c>
      <c r="F2833" t="s">
        <v>622</v>
      </c>
      <c r="G2833" t="s">
        <v>1040</v>
      </c>
      <c r="H2833" s="9" t="s">
        <v>1071</v>
      </c>
      <c r="I2833">
        <f t="shared" si="174"/>
        <v>25.619999999999997</v>
      </c>
      <c r="J2833">
        <f t="shared" si="173"/>
        <v>11.621036519399999</v>
      </c>
      <c r="K2833">
        <v>1.9430000000000001</v>
      </c>
      <c r="L2833">
        <f t="shared" si="171"/>
        <v>22.579673957194199</v>
      </c>
    </row>
    <row r="2834" spans="1:12" x14ac:dyDescent="0.2">
      <c r="A2834" s="4">
        <v>43497</v>
      </c>
      <c r="B2834" t="s">
        <v>531</v>
      </c>
      <c r="C2834">
        <v>1</v>
      </c>
      <c r="D2834">
        <v>2</v>
      </c>
      <c r="E2834">
        <v>5</v>
      </c>
      <c r="F2834" t="s">
        <v>735</v>
      </c>
      <c r="G2834" t="s">
        <v>997</v>
      </c>
      <c r="H2834" s="9" t="s">
        <v>1071</v>
      </c>
      <c r="I2834">
        <f t="shared" si="174"/>
        <v>10</v>
      </c>
      <c r="J2834">
        <f t="shared" si="173"/>
        <v>4.5359237000000006</v>
      </c>
      <c r="K2834">
        <v>0.63900000000000001</v>
      </c>
      <c r="L2834">
        <f t="shared" si="171"/>
        <v>2.8984552443000005</v>
      </c>
    </row>
    <row r="2835" spans="1:12" x14ac:dyDescent="0.2">
      <c r="A2835" s="4">
        <v>43497</v>
      </c>
      <c r="B2835" t="s">
        <v>517</v>
      </c>
      <c r="C2835">
        <v>1</v>
      </c>
      <c r="D2835">
        <v>6</v>
      </c>
      <c r="E2835">
        <v>5</v>
      </c>
      <c r="F2835" t="s">
        <v>646</v>
      </c>
      <c r="G2835" s="14" t="s">
        <v>926</v>
      </c>
      <c r="H2835" s="9" t="s">
        <v>1071</v>
      </c>
      <c r="I2835">
        <f t="shared" si="174"/>
        <v>30</v>
      </c>
      <c r="J2835">
        <f t="shared" si="173"/>
        <v>13.607771100000001</v>
      </c>
      <c r="L2835">
        <f t="shared" si="171"/>
        <v>0</v>
      </c>
    </row>
    <row r="2836" spans="1:12" x14ac:dyDescent="0.2">
      <c r="A2836" s="4">
        <v>43500</v>
      </c>
      <c r="B2836" t="s">
        <v>517</v>
      </c>
      <c r="C2836">
        <v>1</v>
      </c>
      <c r="D2836">
        <v>6</v>
      </c>
      <c r="E2836">
        <v>5</v>
      </c>
      <c r="F2836" t="s">
        <v>646</v>
      </c>
      <c r="G2836" s="14" t="s">
        <v>926</v>
      </c>
      <c r="H2836" s="9" t="s">
        <v>1071</v>
      </c>
      <c r="I2836">
        <f t="shared" si="174"/>
        <v>30</v>
      </c>
      <c r="J2836">
        <f t="shared" si="173"/>
        <v>13.607771100000001</v>
      </c>
      <c r="L2836">
        <f t="shared" si="171"/>
        <v>0</v>
      </c>
    </row>
    <row r="2837" spans="1:12" x14ac:dyDescent="0.2">
      <c r="A2837" s="4">
        <v>43500</v>
      </c>
      <c r="B2837" t="s">
        <v>38</v>
      </c>
      <c r="C2837" s="9">
        <v>6</v>
      </c>
      <c r="D2837" s="35">
        <v>1</v>
      </c>
      <c r="E2837">
        <f t="shared" ref="E2837:E2848" si="175">8.6*5</f>
        <v>43</v>
      </c>
      <c r="F2837" s="9" t="s">
        <v>608</v>
      </c>
      <c r="G2837" s="9" t="s">
        <v>774</v>
      </c>
      <c r="H2837" s="9" t="s">
        <v>1073</v>
      </c>
      <c r="I2837">
        <f t="shared" si="174"/>
        <v>258</v>
      </c>
      <c r="J2837">
        <f t="shared" si="173"/>
        <v>117.02683146</v>
      </c>
      <c r="K2837">
        <v>1.23</v>
      </c>
      <c r="L2837">
        <f t="shared" si="171"/>
        <v>143.9430026958</v>
      </c>
    </row>
    <row r="2838" spans="1:12" x14ac:dyDescent="0.2">
      <c r="A2838" s="4">
        <v>43500</v>
      </c>
      <c r="B2838" t="s">
        <v>38</v>
      </c>
      <c r="C2838" s="9">
        <v>5</v>
      </c>
      <c r="D2838" s="35">
        <v>1</v>
      </c>
      <c r="E2838">
        <f t="shared" si="175"/>
        <v>43</v>
      </c>
      <c r="F2838" s="9" t="s">
        <v>609</v>
      </c>
      <c r="G2838" s="9" t="s">
        <v>774</v>
      </c>
      <c r="H2838" s="9" t="s">
        <v>1073</v>
      </c>
      <c r="I2838">
        <f t="shared" si="174"/>
        <v>215</v>
      </c>
      <c r="J2838">
        <f t="shared" si="173"/>
        <v>97.522359550000004</v>
      </c>
      <c r="K2838">
        <v>1.23</v>
      </c>
      <c r="L2838">
        <f t="shared" ref="L2838:L2901" si="176">J2838*K2838</f>
        <v>119.9525022465</v>
      </c>
    </row>
    <row r="2839" spans="1:12" x14ac:dyDescent="0.2">
      <c r="A2839" s="4">
        <v>43500</v>
      </c>
      <c r="B2839" t="s">
        <v>38</v>
      </c>
      <c r="C2839" s="9">
        <v>2</v>
      </c>
      <c r="D2839" s="35">
        <v>1</v>
      </c>
      <c r="E2839">
        <f t="shared" si="175"/>
        <v>43</v>
      </c>
      <c r="F2839" s="9" t="s">
        <v>611</v>
      </c>
      <c r="G2839" s="9" t="s">
        <v>774</v>
      </c>
      <c r="H2839" s="9" t="s">
        <v>1073</v>
      </c>
      <c r="I2839">
        <f t="shared" si="174"/>
        <v>86</v>
      </c>
      <c r="J2839">
        <f t="shared" si="173"/>
        <v>39.008943819999999</v>
      </c>
      <c r="K2839">
        <v>1.23</v>
      </c>
      <c r="L2839">
        <f t="shared" si="176"/>
        <v>47.981000898600001</v>
      </c>
    </row>
    <row r="2840" spans="1:12" x14ac:dyDescent="0.2">
      <c r="A2840" s="4">
        <v>43500</v>
      </c>
      <c r="B2840" t="s">
        <v>38</v>
      </c>
      <c r="C2840" s="9">
        <v>5</v>
      </c>
      <c r="D2840" s="35">
        <v>1</v>
      </c>
      <c r="E2840">
        <f t="shared" si="175"/>
        <v>43</v>
      </c>
      <c r="F2840" s="9" t="s">
        <v>612</v>
      </c>
      <c r="G2840" s="9" t="s">
        <v>774</v>
      </c>
      <c r="H2840" s="9" t="s">
        <v>1073</v>
      </c>
      <c r="I2840">
        <f t="shared" si="174"/>
        <v>215</v>
      </c>
      <c r="J2840">
        <f t="shared" si="173"/>
        <v>97.522359550000004</v>
      </c>
      <c r="K2840">
        <v>1.23</v>
      </c>
      <c r="L2840">
        <f t="shared" si="176"/>
        <v>119.9525022465</v>
      </c>
    </row>
    <row r="2841" spans="1:12" x14ac:dyDescent="0.2">
      <c r="A2841" s="4">
        <v>43497</v>
      </c>
      <c r="B2841" t="s">
        <v>38</v>
      </c>
      <c r="C2841" s="9">
        <v>11</v>
      </c>
      <c r="D2841" s="35">
        <v>1</v>
      </c>
      <c r="E2841">
        <f t="shared" si="175"/>
        <v>43</v>
      </c>
      <c r="F2841" s="9" t="s">
        <v>608</v>
      </c>
      <c r="G2841" s="9" t="s">
        <v>774</v>
      </c>
      <c r="H2841" s="9" t="s">
        <v>1073</v>
      </c>
      <c r="I2841">
        <f t="shared" si="174"/>
        <v>473</v>
      </c>
      <c r="J2841">
        <f t="shared" si="173"/>
        <v>214.54919101000002</v>
      </c>
      <c r="K2841">
        <v>1.23</v>
      </c>
      <c r="L2841">
        <f t="shared" si="176"/>
        <v>263.89550494230002</v>
      </c>
    </row>
    <row r="2842" spans="1:12" x14ac:dyDescent="0.2">
      <c r="A2842" s="4">
        <v>43497</v>
      </c>
      <c r="B2842" t="s">
        <v>38</v>
      </c>
      <c r="C2842" s="9">
        <v>5</v>
      </c>
      <c r="D2842" s="35">
        <v>1</v>
      </c>
      <c r="E2842">
        <f t="shared" si="175"/>
        <v>43</v>
      </c>
      <c r="F2842" s="9" t="s">
        <v>609</v>
      </c>
      <c r="G2842" s="9" t="s">
        <v>774</v>
      </c>
      <c r="H2842" s="9" t="s">
        <v>1073</v>
      </c>
      <c r="I2842">
        <f t="shared" si="174"/>
        <v>215</v>
      </c>
      <c r="J2842">
        <f t="shared" si="173"/>
        <v>97.522359550000004</v>
      </c>
      <c r="K2842">
        <v>1.23</v>
      </c>
      <c r="L2842">
        <f t="shared" si="176"/>
        <v>119.9525022465</v>
      </c>
    </row>
    <row r="2843" spans="1:12" x14ac:dyDescent="0.2">
      <c r="A2843" s="4">
        <v>43497</v>
      </c>
      <c r="B2843" t="s">
        <v>38</v>
      </c>
      <c r="C2843" s="9">
        <v>2</v>
      </c>
      <c r="D2843" s="35">
        <v>1</v>
      </c>
      <c r="E2843">
        <f t="shared" si="175"/>
        <v>43</v>
      </c>
      <c r="F2843" s="9" t="s">
        <v>611</v>
      </c>
      <c r="G2843" s="9" t="s">
        <v>774</v>
      </c>
      <c r="H2843" s="9" t="s">
        <v>1073</v>
      </c>
      <c r="I2843">
        <f t="shared" si="174"/>
        <v>86</v>
      </c>
      <c r="J2843">
        <f t="shared" si="173"/>
        <v>39.008943819999999</v>
      </c>
      <c r="K2843">
        <v>1.23</v>
      </c>
      <c r="L2843">
        <f t="shared" si="176"/>
        <v>47.981000898600001</v>
      </c>
    </row>
    <row r="2844" spans="1:12" x14ac:dyDescent="0.2">
      <c r="A2844" s="4">
        <v>43497</v>
      </c>
      <c r="B2844" t="s">
        <v>38</v>
      </c>
      <c r="C2844" s="9">
        <v>5</v>
      </c>
      <c r="D2844" s="35">
        <v>1</v>
      </c>
      <c r="E2844">
        <f t="shared" si="175"/>
        <v>43</v>
      </c>
      <c r="F2844" s="9" t="s">
        <v>612</v>
      </c>
      <c r="G2844" s="9" t="s">
        <v>774</v>
      </c>
      <c r="H2844" s="9" t="s">
        <v>1073</v>
      </c>
      <c r="I2844">
        <f t="shared" si="174"/>
        <v>215</v>
      </c>
      <c r="J2844">
        <f t="shared" si="173"/>
        <v>97.522359550000004</v>
      </c>
      <c r="K2844">
        <v>1.23</v>
      </c>
      <c r="L2844">
        <f t="shared" si="176"/>
        <v>119.9525022465</v>
      </c>
    </row>
    <row r="2845" spans="1:12" x14ac:dyDescent="0.2">
      <c r="A2845" s="4">
        <v>43502</v>
      </c>
      <c r="B2845" s="6" t="s">
        <v>1059</v>
      </c>
      <c r="C2845">
        <v>10</v>
      </c>
      <c r="D2845" s="35">
        <v>1</v>
      </c>
      <c r="E2845">
        <f t="shared" si="175"/>
        <v>43</v>
      </c>
      <c r="F2845" t="s">
        <v>695</v>
      </c>
      <c r="G2845" t="s">
        <v>774</v>
      </c>
      <c r="H2845" s="9" t="s">
        <v>1073</v>
      </c>
      <c r="I2845">
        <f t="shared" si="174"/>
        <v>430</v>
      </c>
      <c r="J2845">
        <f t="shared" si="173"/>
        <v>195.04471910000001</v>
      </c>
      <c r="K2845">
        <v>1.23</v>
      </c>
      <c r="L2845">
        <f t="shared" si="176"/>
        <v>239.90500449300001</v>
      </c>
    </row>
    <row r="2846" spans="1:12" x14ac:dyDescent="0.2">
      <c r="A2846" s="4">
        <v>43502</v>
      </c>
      <c r="B2846" s="6" t="s">
        <v>1059</v>
      </c>
      <c r="C2846">
        <v>8</v>
      </c>
      <c r="D2846" s="35">
        <v>1</v>
      </c>
      <c r="E2846">
        <f t="shared" si="175"/>
        <v>43</v>
      </c>
      <c r="F2846" t="s">
        <v>609</v>
      </c>
      <c r="G2846" t="s">
        <v>774</v>
      </c>
      <c r="H2846" s="9" t="s">
        <v>1073</v>
      </c>
      <c r="I2846">
        <f t="shared" si="174"/>
        <v>344</v>
      </c>
      <c r="J2846">
        <f t="shared" si="173"/>
        <v>156.03577528</v>
      </c>
      <c r="K2846">
        <v>1.23</v>
      </c>
      <c r="L2846">
        <f t="shared" si="176"/>
        <v>191.92400359440001</v>
      </c>
    </row>
    <row r="2847" spans="1:12" x14ac:dyDescent="0.2">
      <c r="A2847" s="4">
        <v>43502</v>
      </c>
      <c r="B2847" s="6" t="s">
        <v>1059</v>
      </c>
      <c r="C2847">
        <v>2</v>
      </c>
      <c r="D2847" s="35">
        <v>1</v>
      </c>
      <c r="E2847">
        <f t="shared" si="175"/>
        <v>43</v>
      </c>
      <c r="F2847" t="s">
        <v>611</v>
      </c>
      <c r="G2847" t="s">
        <v>774</v>
      </c>
      <c r="H2847" s="9" t="s">
        <v>1073</v>
      </c>
      <c r="I2847">
        <f t="shared" si="174"/>
        <v>86</v>
      </c>
      <c r="J2847">
        <f t="shared" si="173"/>
        <v>39.008943819999999</v>
      </c>
      <c r="K2847">
        <v>1.23</v>
      </c>
      <c r="L2847">
        <f t="shared" si="176"/>
        <v>47.981000898600001</v>
      </c>
    </row>
    <row r="2848" spans="1:12" x14ac:dyDescent="0.2">
      <c r="A2848" s="4">
        <v>43502</v>
      </c>
      <c r="B2848" s="6" t="s">
        <v>1059</v>
      </c>
      <c r="C2848">
        <v>4</v>
      </c>
      <c r="D2848" s="35">
        <v>1</v>
      </c>
      <c r="E2848">
        <f t="shared" si="175"/>
        <v>43</v>
      </c>
      <c r="F2848" t="s">
        <v>696</v>
      </c>
      <c r="G2848" t="s">
        <v>774</v>
      </c>
      <c r="H2848" s="9" t="s">
        <v>1073</v>
      </c>
      <c r="I2848">
        <f t="shared" si="174"/>
        <v>172</v>
      </c>
      <c r="J2848">
        <f t="shared" si="173"/>
        <v>78.017887639999998</v>
      </c>
      <c r="K2848">
        <v>1.23</v>
      </c>
      <c r="L2848">
        <f t="shared" si="176"/>
        <v>95.962001797200003</v>
      </c>
    </row>
    <row r="2849" spans="1:12" x14ac:dyDescent="0.2">
      <c r="A2849" s="4">
        <v>43497</v>
      </c>
      <c r="B2849" t="s">
        <v>517</v>
      </c>
      <c r="C2849">
        <v>2</v>
      </c>
      <c r="D2849">
        <v>20</v>
      </c>
      <c r="E2849">
        <v>0.5</v>
      </c>
      <c r="F2849" t="s">
        <v>465</v>
      </c>
      <c r="G2849" t="s">
        <v>842</v>
      </c>
      <c r="H2849" s="9" t="s">
        <v>1073</v>
      </c>
      <c r="I2849">
        <f t="shared" si="174"/>
        <v>20</v>
      </c>
      <c r="J2849">
        <f t="shared" si="173"/>
        <v>9.0718474000000011</v>
      </c>
      <c r="K2849">
        <v>1.23</v>
      </c>
      <c r="L2849">
        <f t="shared" si="176"/>
        <v>11.158372302000002</v>
      </c>
    </row>
    <row r="2850" spans="1:12" x14ac:dyDescent="0.2">
      <c r="A2850" s="4">
        <v>43500</v>
      </c>
      <c r="B2850" t="s">
        <v>517</v>
      </c>
      <c r="C2850">
        <v>2</v>
      </c>
      <c r="D2850">
        <v>20</v>
      </c>
      <c r="E2850">
        <v>0.5</v>
      </c>
      <c r="F2850" t="s">
        <v>465</v>
      </c>
      <c r="G2850" t="s">
        <v>842</v>
      </c>
      <c r="H2850" s="9" t="s">
        <v>1073</v>
      </c>
      <c r="I2850">
        <f t="shared" si="174"/>
        <v>20</v>
      </c>
      <c r="J2850">
        <f t="shared" si="173"/>
        <v>9.0718474000000011</v>
      </c>
      <c r="K2850">
        <v>1.23</v>
      </c>
      <c r="L2850">
        <f t="shared" si="176"/>
        <v>11.158372302000002</v>
      </c>
    </row>
    <row r="2851" spans="1:12" x14ac:dyDescent="0.2">
      <c r="A2851" s="4">
        <v>43503</v>
      </c>
      <c r="B2851" t="s">
        <v>517</v>
      </c>
      <c r="C2851">
        <v>2</v>
      </c>
      <c r="D2851">
        <v>20</v>
      </c>
      <c r="E2851">
        <v>0.5</v>
      </c>
      <c r="F2851" t="s">
        <v>465</v>
      </c>
      <c r="G2851" t="s">
        <v>842</v>
      </c>
      <c r="H2851" s="9" t="s">
        <v>1073</v>
      </c>
      <c r="I2851">
        <f t="shared" si="174"/>
        <v>20</v>
      </c>
      <c r="J2851">
        <f t="shared" si="173"/>
        <v>9.0718474000000011</v>
      </c>
      <c r="K2851">
        <v>1.23</v>
      </c>
      <c r="L2851">
        <f t="shared" si="176"/>
        <v>11.158372302000002</v>
      </c>
    </row>
    <row r="2852" spans="1:12" x14ac:dyDescent="0.2">
      <c r="A2852" s="4">
        <v>43497</v>
      </c>
      <c r="B2852" t="s">
        <v>538</v>
      </c>
      <c r="C2852">
        <v>1</v>
      </c>
      <c r="D2852">
        <v>4</v>
      </c>
      <c r="E2852">
        <v>11.89</v>
      </c>
      <c r="F2852" t="s">
        <v>547</v>
      </c>
      <c r="G2852" t="s">
        <v>1048</v>
      </c>
      <c r="H2852" s="9" t="s">
        <v>1071</v>
      </c>
      <c r="I2852">
        <f t="shared" si="174"/>
        <v>47.56</v>
      </c>
      <c r="J2852">
        <f t="shared" si="173"/>
        <v>21.572853117200001</v>
      </c>
      <c r="K2852">
        <v>0.48799999999999999</v>
      </c>
      <c r="L2852">
        <f t="shared" si="176"/>
        <v>10.5275523211936</v>
      </c>
    </row>
    <row r="2853" spans="1:12" x14ac:dyDescent="0.2">
      <c r="A2853" s="4">
        <v>43500</v>
      </c>
      <c r="B2853" t="s">
        <v>538</v>
      </c>
      <c r="C2853">
        <v>1</v>
      </c>
      <c r="D2853">
        <v>4</v>
      </c>
      <c r="E2853">
        <v>11.89</v>
      </c>
      <c r="F2853" t="s">
        <v>547</v>
      </c>
      <c r="G2853" t="s">
        <v>1048</v>
      </c>
      <c r="H2853" s="9" t="s">
        <v>1071</v>
      </c>
      <c r="I2853">
        <f t="shared" si="174"/>
        <v>47.56</v>
      </c>
      <c r="J2853">
        <f t="shared" si="173"/>
        <v>21.572853117200001</v>
      </c>
      <c r="K2853">
        <v>0.48799999999999999</v>
      </c>
      <c r="L2853">
        <f t="shared" si="176"/>
        <v>10.5275523211936</v>
      </c>
    </row>
    <row r="2854" spans="1:12" x14ac:dyDescent="0.2">
      <c r="A2854" s="4">
        <v>43503</v>
      </c>
      <c r="B2854" t="s">
        <v>48</v>
      </c>
      <c r="C2854" s="28">
        <v>5</v>
      </c>
      <c r="D2854" s="35">
        <v>1</v>
      </c>
      <c r="E2854">
        <v>5</v>
      </c>
      <c r="F2854" t="s">
        <v>313</v>
      </c>
      <c r="G2854" t="s">
        <v>313</v>
      </c>
      <c r="H2854" s="9" t="s">
        <v>1071</v>
      </c>
      <c r="I2854">
        <f t="shared" si="174"/>
        <v>25</v>
      </c>
      <c r="J2854">
        <f t="shared" si="173"/>
        <v>11.33980925</v>
      </c>
      <c r="K2854">
        <v>3.093</v>
      </c>
      <c r="L2854">
        <f t="shared" si="176"/>
        <v>35.074030010249999</v>
      </c>
    </row>
    <row r="2855" spans="1:12" x14ac:dyDescent="0.2">
      <c r="A2855" s="4">
        <v>43502</v>
      </c>
      <c r="B2855" t="s">
        <v>48</v>
      </c>
      <c r="C2855" s="28">
        <v>4</v>
      </c>
      <c r="D2855" s="35">
        <v>1</v>
      </c>
      <c r="E2855">
        <v>5</v>
      </c>
      <c r="F2855" t="s">
        <v>313</v>
      </c>
      <c r="G2855" t="s">
        <v>313</v>
      </c>
      <c r="H2855" s="9" t="s">
        <v>1071</v>
      </c>
      <c r="I2855">
        <f t="shared" ref="I2855:I2886" si="177">C2855*D2855*E2855</f>
        <v>20</v>
      </c>
      <c r="J2855">
        <f t="shared" si="173"/>
        <v>9.0718474000000011</v>
      </c>
      <c r="K2855">
        <v>3.093</v>
      </c>
      <c r="L2855">
        <f t="shared" si="176"/>
        <v>28.059224008200005</v>
      </c>
    </row>
    <row r="2856" spans="1:12" x14ac:dyDescent="0.2">
      <c r="A2856" s="4">
        <v>43502</v>
      </c>
      <c r="B2856" t="s">
        <v>48</v>
      </c>
      <c r="C2856" s="28">
        <v>8</v>
      </c>
      <c r="D2856" s="35">
        <v>1</v>
      </c>
      <c r="E2856">
        <v>5</v>
      </c>
      <c r="F2856" t="s">
        <v>313</v>
      </c>
      <c r="G2856" t="s">
        <v>313</v>
      </c>
      <c r="H2856" s="9" t="s">
        <v>1071</v>
      </c>
      <c r="I2856">
        <f t="shared" si="177"/>
        <v>40</v>
      </c>
      <c r="J2856">
        <f t="shared" si="173"/>
        <v>18.143694800000002</v>
      </c>
      <c r="K2856">
        <v>3.093</v>
      </c>
      <c r="L2856">
        <f t="shared" si="176"/>
        <v>56.118448016400009</v>
      </c>
    </row>
    <row r="2857" spans="1:12" x14ac:dyDescent="0.2">
      <c r="A2857" s="4">
        <v>43501</v>
      </c>
      <c r="B2857" t="s">
        <v>48</v>
      </c>
      <c r="C2857" s="28">
        <v>2</v>
      </c>
      <c r="D2857" s="35">
        <v>1</v>
      </c>
      <c r="E2857">
        <v>5</v>
      </c>
      <c r="F2857" t="s">
        <v>313</v>
      </c>
      <c r="G2857" t="s">
        <v>313</v>
      </c>
      <c r="H2857" s="9" t="s">
        <v>1071</v>
      </c>
      <c r="I2857">
        <f t="shared" si="177"/>
        <v>10</v>
      </c>
      <c r="J2857">
        <f t="shared" si="173"/>
        <v>4.5359237000000006</v>
      </c>
      <c r="K2857">
        <v>3.093</v>
      </c>
      <c r="L2857">
        <f t="shared" si="176"/>
        <v>14.029612004100002</v>
      </c>
    </row>
    <row r="2858" spans="1:12" x14ac:dyDescent="0.2">
      <c r="A2858" s="4">
        <v>43501</v>
      </c>
      <c r="B2858" t="s">
        <v>48</v>
      </c>
      <c r="C2858" s="28">
        <v>4</v>
      </c>
      <c r="D2858" s="35">
        <v>1</v>
      </c>
      <c r="E2858">
        <v>5</v>
      </c>
      <c r="F2858" t="s">
        <v>313</v>
      </c>
      <c r="G2858" t="s">
        <v>313</v>
      </c>
      <c r="H2858" s="9" t="s">
        <v>1071</v>
      </c>
      <c r="I2858">
        <f t="shared" si="177"/>
        <v>20</v>
      </c>
      <c r="J2858">
        <f t="shared" si="173"/>
        <v>9.0718474000000011</v>
      </c>
      <c r="K2858">
        <v>3.093</v>
      </c>
      <c r="L2858">
        <f t="shared" si="176"/>
        <v>28.059224008200005</v>
      </c>
    </row>
    <row r="2859" spans="1:12" x14ac:dyDescent="0.2">
      <c r="A2859" s="4">
        <v>43500</v>
      </c>
      <c r="B2859" t="s">
        <v>48</v>
      </c>
      <c r="C2859" s="28">
        <v>4</v>
      </c>
      <c r="D2859" s="35">
        <v>1</v>
      </c>
      <c r="E2859">
        <v>3</v>
      </c>
      <c r="F2859" t="s">
        <v>313</v>
      </c>
      <c r="G2859" t="s">
        <v>313</v>
      </c>
      <c r="H2859" s="9" t="s">
        <v>1071</v>
      </c>
      <c r="I2859">
        <f t="shared" si="177"/>
        <v>12</v>
      </c>
      <c r="J2859">
        <f t="shared" si="173"/>
        <v>5.4431084400000005</v>
      </c>
      <c r="K2859">
        <v>3.093</v>
      </c>
      <c r="L2859">
        <f t="shared" si="176"/>
        <v>16.835534404920001</v>
      </c>
    </row>
    <row r="2860" spans="1:12" x14ac:dyDescent="0.2">
      <c r="A2860" s="4">
        <v>43500</v>
      </c>
      <c r="B2860" t="s">
        <v>48</v>
      </c>
      <c r="C2860" s="28">
        <v>6</v>
      </c>
      <c r="D2860" s="35">
        <v>1</v>
      </c>
      <c r="E2860">
        <v>5</v>
      </c>
      <c r="F2860" t="s">
        <v>313</v>
      </c>
      <c r="G2860" t="s">
        <v>313</v>
      </c>
      <c r="H2860" s="9" t="s">
        <v>1071</v>
      </c>
      <c r="I2860">
        <f t="shared" si="177"/>
        <v>30</v>
      </c>
      <c r="J2860">
        <f t="shared" si="173"/>
        <v>13.607771100000001</v>
      </c>
      <c r="K2860">
        <v>3.093</v>
      </c>
      <c r="L2860">
        <f t="shared" si="176"/>
        <v>42.0888360123</v>
      </c>
    </row>
    <row r="2861" spans="1:12" x14ac:dyDescent="0.2">
      <c r="A2861" s="4">
        <v>43497</v>
      </c>
      <c r="B2861" t="s">
        <v>538</v>
      </c>
      <c r="C2861">
        <v>3</v>
      </c>
      <c r="D2861">
        <v>4</v>
      </c>
      <c r="E2861">
        <v>5</v>
      </c>
      <c r="F2861" t="s">
        <v>586</v>
      </c>
      <c r="G2861" s="6" t="s">
        <v>876</v>
      </c>
      <c r="H2861" s="9" t="s">
        <v>1071</v>
      </c>
      <c r="I2861">
        <f t="shared" si="177"/>
        <v>60</v>
      </c>
      <c r="J2861">
        <f t="shared" si="173"/>
        <v>27.215542200000002</v>
      </c>
      <c r="K2861">
        <v>5.99</v>
      </c>
      <c r="L2861">
        <f t="shared" si="176"/>
        <v>163.02109777800001</v>
      </c>
    </row>
    <row r="2862" spans="1:12" x14ac:dyDescent="0.2">
      <c r="A2862" s="4">
        <v>43497</v>
      </c>
      <c r="B2862" t="s">
        <v>531</v>
      </c>
      <c r="C2862">
        <v>4</v>
      </c>
      <c r="D2862">
        <v>4</v>
      </c>
      <c r="E2862">
        <v>5</v>
      </c>
      <c r="F2862" t="s">
        <v>418</v>
      </c>
      <c r="G2862" s="6" t="s">
        <v>876</v>
      </c>
      <c r="H2862" s="9" t="s">
        <v>1071</v>
      </c>
      <c r="I2862">
        <f t="shared" si="177"/>
        <v>80</v>
      </c>
      <c r="J2862">
        <f t="shared" si="173"/>
        <v>36.287389600000004</v>
      </c>
      <c r="K2862">
        <v>5.99</v>
      </c>
      <c r="L2862">
        <f t="shared" si="176"/>
        <v>217.36146370400004</v>
      </c>
    </row>
    <row r="2863" spans="1:12" x14ac:dyDescent="0.2">
      <c r="A2863" s="4">
        <v>43500</v>
      </c>
      <c r="B2863" t="s">
        <v>48</v>
      </c>
      <c r="C2863" s="28">
        <v>3</v>
      </c>
      <c r="D2863" s="35">
        <v>1</v>
      </c>
      <c r="E2863">
        <v>11</v>
      </c>
      <c r="F2863" t="s">
        <v>722</v>
      </c>
      <c r="G2863" t="s">
        <v>722</v>
      </c>
      <c r="H2863" s="9" t="s">
        <v>1071</v>
      </c>
      <c r="I2863">
        <f t="shared" si="177"/>
        <v>33</v>
      </c>
      <c r="J2863">
        <f t="shared" si="173"/>
        <v>14.968548210000002</v>
      </c>
      <c r="K2863">
        <v>0.496</v>
      </c>
      <c r="L2863">
        <f t="shared" si="176"/>
        <v>7.4243999121600011</v>
      </c>
    </row>
    <row r="2864" spans="1:12" x14ac:dyDescent="0.2">
      <c r="A2864" s="4">
        <v>43497</v>
      </c>
      <c r="B2864" t="s">
        <v>48</v>
      </c>
      <c r="C2864" s="28">
        <v>2</v>
      </c>
      <c r="D2864" s="35">
        <v>1</v>
      </c>
      <c r="E2864">
        <v>11</v>
      </c>
      <c r="F2864" t="s">
        <v>722</v>
      </c>
      <c r="G2864" t="s">
        <v>722</v>
      </c>
      <c r="H2864" s="9" t="s">
        <v>1071</v>
      </c>
      <c r="I2864">
        <f t="shared" si="177"/>
        <v>22</v>
      </c>
      <c r="J2864">
        <f t="shared" si="173"/>
        <v>9.979032140000001</v>
      </c>
      <c r="K2864">
        <v>0.496</v>
      </c>
      <c r="L2864">
        <f t="shared" si="176"/>
        <v>4.9495999414400007</v>
      </c>
    </row>
    <row r="2865" spans="1:12" x14ac:dyDescent="0.2">
      <c r="A2865" s="4">
        <v>43497</v>
      </c>
      <c r="B2865" t="s">
        <v>538</v>
      </c>
      <c r="C2865">
        <v>1</v>
      </c>
      <c r="D2865">
        <v>6</v>
      </c>
      <c r="E2865">
        <v>10</v>
      </c>
      <c r="F2865" t="s">
        <v>445</v>
      </c>
      <c r="G2865" t="s">
        <v>883</v>
      </c>
      <c r="H2865" s="9" t="s">
        <v>1071</v>
      </c>
      <c r="I2865">
        <f t="shared" si="177"/>
        <v>60</v>
      </c>
      <c r="J2865">
        <f t="shared" si="173"/>
        <v>27.215542200000002</v>
      </c>
      <c r="K2865">
        <v>0.48199999999999998</v>
      </c>
      <c r="L2865">
        <f t="shared" si="176"/>
        <v>13.1178913404</v>
      </c>
    </row>
    <row r="2866" spans="1:12" x14ac:dyDescent="0.2">
      <c r="A2866" s="4">
        <v>43503</v>
      </c>
      <c r="B2866" t="s">
        <v>538</v>
      </c>
      <c r="C2866">
        <v>1</v>
      </c>
      <c r="D2866">
        <v>6</v>
      </c>
      <c r="E2866">
        <v>10</v>
      </c>
      <c r="F2866" t="s">
        <v>445</v>
      </c>
      <c r="G2866" t="s">
        <v>1060</v>
      </c>
      <c r="H2866" s="9" t="s">
        <v>1071</v>
      </c>
      <c r="I2866">
        <f t="shared" si="177"/>
        <v>60</v>
      </c>
      <c r="J2866">
        <f t="shared" si="173"/>
        <v>27.215542200000002</v>
      </c>
      <c r="K2866">
        <v>0.48199999999999998</v>
      </c>
      <c r="L2866">
        <f t="shared" si="176"/>
        <v>13.1178913404</v>
      </c>
    </row>
    <row r="2867" spans="1:12" x14ac:dyDescent="0.2">
      <c r="A2867" s="4">
        <v>43497</v>
      </c>
      <c r="B2867" t="s">
        <v>538</v>
      </c>
      <c r="C2867">
        <v>1</v>
      </c>
      <c r="D2867">
        <v>6</v>
      </c>
      <c r="E2867">
        <v>7.9</v>
      </c>
      <c r="F2867" t="s">
        <v>736</v>
      </c>
      <c r="G2867" t="s">
        <v>1046</v>
      </c>
      <c r="H2867" s="9" t="s">
        <v>1071</v>
      </c>
      <c r="I2867">
        <f t="shared" si="177"/>
        <v>47.400000000000006</v>
      </c>
      <c r="J2867">
        <f t="shared" si="173"/>
        <v>21.500278338000005</v>
      </c>
      <c r="K2867">
        <v>3.206</v>
      </c>
      <c r="L2867">
        <f t="shared" si="176"/>
        <v>68.929892351628013</v>
      </c>
    </row>
    <row r="2868" spans="1:12" x14ac:dyDescent="0.2">
      <c r="A2868" s="4">
        <v>43503</v>
      </c>
      <c r="B2868" t="s">
        <v>48</v>
      </c>
      <c r="C2868" s="28">
        <v>1</v>
      </c>
      <c r="D2868" s="35">
        <v>1</v>
      </c>
      <c r="E2868">
        <v>20</v>
      </c>
      <c r="F2868" t="s">
        <v>326</v>
      </c>
      <c r="G2868" t="s">
        <v>790</v>
      </c>
      <c r="H2868" s="9" t="s">
        <v>1071</v>
      </c>
      <c r="I2868">
        <f t="shared" si="177"/>
        <v>20</v>
      </c>
      <c r="J2868">
        <f t="shared" si="173"/>
        <v>9.0718474000000011</v>
      </c>
      <c r="K2868">
        <v>0.26900000000000002</v>
      </c>
      <c r="L2868">
        <f t="shared" si="176"/>
        <v>2.4403269506000003</v>
      </c>
    </row>
    <row r="2869" spans="1:12" x14ac:dyDescent="0.2">
      <c r="A2869" s="4">
        <v>43502</v>
      </c>
      <c r="B2869" t="s">
        <v>48</v>
      </c>
      <c r="C2869" s="28">
        <v>1</v>
      </c>
      <c r="D2869" s="35">
        <v>1</v>
      </c>
      <c r="E2869">
        <v>50</v>
      </c>
      <c r="F2869" t="s">
        <v>315</v>
      </c>
      <c r="G2869" t="s">
        <v>790</v>
      </c>
      <c r="H2869" s="9" t="s">
        <v>1071</v>
      </c>
      <c r="I2869">
        <f t="shared" si="177"/>
        <v>50</v>
      </c>
      <c r="J2869">
        <f t="shared" si="173"/>
        <v>22.6796185</v>
      </c>
      <c r="K2869">
        <v>0.26900000000000002</v>
      </c>
      <c r="L2869">
        <f t="shared" si="176"/>
        <v>6.1008173765000002</v>
      </c>
    </row>
    <row r="2870" spans="1:12" x14ac:dyDescent="0.2">
      <c r="A2870" s="4">
        <v>43498</v>
      </c>
      <c r="B2870" t="s">
        <v>48</v>
      </c>
      <c r="C2870" s="28">
        <v>2</v>
      </c>
      <c r="D2870" s="35">
        <v>1</v>
      </c>
      <c r="E2870">
        <v>20</v>
      </c>
      <c r="F2870" t="s">
        <v>222</v>
      </c>
      <c r="G2870" t="s">
        <v>762</v>
      </c>
      <c r="H2870" s="9" t="s">
        <v>1071</v>
      </c>
      <c r="I2870">
        <f t="shared" si="177"/>
        <v>40</v>
      </c>
      <c r="J2870">
        <f t="shared" si="173"/>
        <v>18.143694800000002</v>
      </c>
      <c r="K2870">
        <v>0.26900000000000002</v>
      </c>
      <c r="L2870">
        <f t="shared" si="176"/>
        <v>4.8806539012000005</v>
      </c>
    </row>
    <row r="2871" spans="1:12" x14ac:dyDescent="0.2">
      <c r="A2871" s="4">
        <v>43503</v>
      </c>
      <c r="B2871" t="s">
        <v>48</v>
      </c>
      <c r="C2871" s="28">
        <v>2</v>
      </c>
      <c r="D2871" s="35">
        <v>1</v>
      </c>
      <c r="E2871">
        <v>50</v>
      </c>
      <c r="F2871" t="s">
        <v>315</v>
      </c>
      <c r="G2871" t="s">
        <v>762</v>
      </c>
      <c r="H2871" s="9" t="s">
        <v>1071</v>
      </c>
      <c r="I2871">
        <f t="shared" si="177"/>
        <v>100</v>
      </c>
      <c r="J2871">
        <f t="shared" si="173"/>
        <v>45.359237</v>
      </c>
      <c r="K2871">
        <v>0.26900000000000002</v>
      </c>
      <c r="L2871">
        <f t="shared" si="176"/>
        <v>12.201634753</v>
      </c>
    </row>
    <row r="2872" spans="1:12" x14ac:dyDescent="0.2">
      <c r="A2872" s="4">
        <v>43500</v>
      </c>
      <c r="B2872" t="s">
        <v>48</v>
      </c>
      <c r="C2872" s="28">
        <v>1</v>
      </c>
      <c r="D2872" s="35">
        <v>1</v>
      </c>
      <c r="E2872">
        <f>24/16</f>
        <v>1.5</v>
      </c>
      <c r="F2872" t="s">
        <v>314</v>
      </c>
      <c r="G2872" t="s">
        <v>824</v>
      </c>
      <c r="H2872" s="9" t="s">
        <v>1071</v>
      </c>
      <c r="I2872">
        <f t="shared" si="177"/>
        <v>1.5</v>
      </c>
      <c r="J2872">
        <f t="shared" si="173"/>
        <v>0.68038855500000006</v>
      </c>
      <c r="K2872">
        <v>8.5000000000000006E-2</v>
      </c>
      <c r="L2872">
        <f t="shared" si="176"/>
        <v>5.783302717500001E-2</v>
      </c>
    </row>
    <row r="2873" spans="1:12" x14ac:dyDescent="0.2">
      <c r="A2873" s="4">
        <v>43497</v>
      </c>
      <c r="B2873" t="s">
        <v>22</v>
      </c>
      <c r="C2873" s="35">
        <v>1</v>
      </c>
      <c r="D2873" s="35">
        <v>1</v>
      </c>
      <c r="E2873">
        <v>79.2</v>
      </c>
      <c r="F2873" t="s">
        <v>606</v>
      </c>
      <c r="G2873" t="s">
        <v>923</v>
      </c>
      <c r="H2873" s="9" t="s">
        <v>1071</v>
      </c>
      <c r="I2873">
        <f t="shared" si="177"/>
        <v>79.2</v>
      </c>
      <c r="J2873">
        <f t="shared" si="173"/>
        <v>35.924515704000008</v>
      </c>
      <c r="K2873">
        <v>0.29399999999999998</v>
      </c>
      <c r="L2873">
        <f t="shared" si="176"/>
        <v>10.561807616976001</v>
      </c>
    </row>
    <row r="2874" spans="1:12" x14ac:dyDescent="0.2">
      <c r="A2874" s="4">
        <v>43501</v>
      </c>
      <c r="B2874" t="s">
        <v>22</v>
      </c>
      <c r="C2874" s="35">
        <v>1</v>
      </c>
      <c r="D2874" s="35">
        <v>1</v>
      </c>
      <c r="E2874">
        <v>79.2</v>
      </c>
      <c r="F2874" t="s">
        <v>606</v>
      </c>
      <c r="G2874" t="s">
        <v>923</v>
      </c>
      <c r="H2874" s="9" t="s">
        <v>1071</v>
      </c>
      <c r="I2874">
        <f t="shared" si="177"/>
        <v>79.2</v>
      </c>
      <c r="J2874">
        <f t="shared" si="173"/>
        <v>35.924515704000008</v>
      </c>
      <c r="K2874">
        <v>0.29399999999999998</v>
      </c>
      <c r="L2874">
        <f t="shared" si="176"/>
        <v>10.561807616976001</v>
      </c>
    </row>
    <row r="2875" spans="1:12" x14ac:dyDescent="0.2">
      <c r="A2875" s="4">
        <v>43503</v>
      </c>
      <c r="B2875" t="s">
        <v>48</v>
      </c>
      <c r="C2875">
        <v>2</v>
      </c>
      <c r="D2875" s="35">
        <v>1</v>
      </c>
      <c r="E2875">
        <f>88*0.288806</f>
        <v>25.414928</v>
      </c>
      <c r="F2875" s="9" t="s">
        <v>55</v>
      </c>
      <c r="G2875" s="9" t="s">
        <v>55</v>
      </c>
      <c r="H2875" s="9" t="s">
        <v>1071</v>
      </c>
      <c r="I2875">
        <f t="shared" si="177"/>
        <v>50.829855999999999</v>
      </c>
      <c r="J2875">
        <f t="shared" si="173"/>
        <v>23.056034849798721</v>
      </c>
      <c r="K2875">
        <v>0.29399999999999998</v>
      </c>
      <c r="L2875">
        <f t="shared" si="176"/>
        <v>6.7784742458408234</v>
      </c>
    </row>
    <row r="2876" spans="1:12" x14ac:dyDescent="0.2">
      <c r="A2876" s="4">
        <v>43503</v>
      </c>
      <c r="B2876" t="s">
        <v>48</v>
      </c>
      <c r="C2876">
        <v>10</v>
      </c>
      <c r="D2876" s="35">
        <v>1</v>
      </c>
      <c r="E2876">
        <f>113*0.288806</f>
        <v>32.635078</v>
      </c>
      <c r="F2876" s="9" t="s">
        <v>55</v>
      </c>
      <c r="G2876" s="9" t="s">
        <v>55</v>
      </c>
      <c r="H2876" s="9" t="s">
        <v>1071</v>
      </c>
      <c r="I2876">
        <f t="shared" si="177"/>
        <v>326.35077999999999</v>
      </c>
      <c r="J2876">
        <f t="shared" si="173"/>
        <v>148.03022375154859</v>
      </c>
      <c r="K2876">
        <v>0.29399999999999998</v>
      </c>
      <c r="L2876">
        <f t="shared" si="176"/>
        <v>43.520885782955283</v>
      </c>
    </row>
    <row r="2877" spans="1:12" x14ac:dyDescent="0.2">
      <c r="A2877" s="4">
        <v>43502</v>
      </c>
      <c r="B2877" t="s">
        <v>48</v>
      </c>
      <c r="C2877" s="28">
        <v>20</v>
      </c>
      <c r="D2877" s="35">
        <v>1</v>
      </c>
      <c r="E2877">
        <f>113*0.288806</f>
        <v>32.635078</v>
      </c>
      <c r="F2877" t="s">
        <v>55</v>
      </c>
      <c r="G2877" t="s">
        <v>55</v>
      </c>
      <c r="H2877" s="9" t="s">
        <v>1071</v>
      </c>
      <c r="I2877">
        <f t="shared" si="177"/>
        <v>652.70155999999997</v>
      </c>
      <c r="J2877">
        <f t="shared" si="173"/>
        <v>296.06044750309718</v>
      </c>
      <c r="K2877">
        <v>0.29399999999999998</v>
      </c>
      <c r="L2877">
        <f t="shared" si="176"/>
        <v>87.041771565910565</v>
      </c>
    </row>
    <row r="2878" spans="1:12" x14ac:dyDescent="0.2">
      <c r="A2878" s="4">
        <v>43501</v>
      </c>
      <c r="B2878" t="s">
        <v>48</v>
      </c>
      <c r="C2878" s="28">
        <v>10</v>
      </c>
      <c r="D2878" s="35">
        <v>1</v>
      </c>
      <c r="E2878">
        <f>113*0.288806</f>
        <v>32.635078</v>
      </c>
      <c r="F2878" t="s">
        <v>55</v>
      </c>
      <c r="G2878" t="s">
        <v>55</v>
      </c>
      <c r="H2878" s="9" t="s">
        <v>1071</v>
      </c>
      <c r="I2878">
        <f t="shared" si="177"/>
        <v>326.35077999999999</v>
      </c>
      <c r="J2878">
        <f t="shared" si="173"/>
        <v>148.03022375154859</v>
      </c>
      <c r="K2878">
        <v>0.29399999999999998</v>
      </c>
      <c r="L2878">
        <f t="shared" si="176"/>
        <v>43.520885782955283</v>
      </c>
    </row>
    <row r="2879" spans="1:12" x14ac:dyDescent="0.2">
      <c r="A2879" s="4">
        <v>43500</v>
      </c>
      <c r="B2879" t="s">
        <v>48</v>
      </c>
      <c r="C2879" s="28">
        <v>13</v>
      </c>
      <c r="D2879" s="35">
        <v>1</v>
      </c>
      <c r="E2879">
        <f>113*0.288806</f>
        <v>32.635078</v>
      </c>
      <c r="F2879" t="s">
        <v>55</v>
      </c>
      <c r="G2879" t="s">
        <v>55</v>
      </c>
      <c r="H2879" s="9" t="s">
        <v>1071</v>
      </c>
      <c r="I2879">
        <f t="shared" si="177"/>
        <v>424.25601399999999</v>
      </c>
      <c r="J2879">
        <f t="shared" si="173"/>
        <v>192.43929087701318</v>
      </c>
      <c r="K2879">
        <v>0.29399999999999998</v>
      </c>
      <c r="L2879">
        <f t="shared" si="176"/>
        <v>56.57715151784187</v>
      </c>
    </row>
    <row r="2880" spans="1:12" x14ac:dyDescent="0.2">
      <c r="A2880" s="4">
        <v>43498</v>
      </c>
      <c r="B2880" t="s">
        <v>48</v>
      </c>
      <c r="C2880" s="28">
        <v>30</v>
      </c>
      <c r="D2880" s="35">
        <v>1</v>
      </c>
      <c r="E2880">
        <f>113*0.288806</f>
        <v>32.635078</v>
      </c>
      <c r="F2880" t="s">
        <v>55</v>
      </c>
      <c r="G2880" t="s">
        <v>55</v>
      </c>
      <c r="H2880" s="9" t="s">
        <v>1071</v>
      </c>
      <c r="I2880">
        <f t="shared" si="177"/>
        <v>979.05233999999996</v>
      </c>
      <c r="J2880">
        <f t="shared" si="173"/>
        <v>444.09067125464583</v>
      </c>
      <c r="K2880">
        <v>0.29399999999999998</v>
      </c>
      <c r="L2880">
        <f t="shared" si="176"/>
        <v>130.56265734886586</v>
      </c>
    </row>
    <row r="2881" spans="1:12" x14ac:dyDescent="0.2">
      <c r="A2881" s="4">
        <v>43500</v>
      </c>
      <c r="B2881" t="s">
        <v>538</v>
      </c>
      <c r="C2881">
        <v>4</v>
      </c>
      <c r="D2881">
        <v>6</v>
      </c>
      <c r="E2881">
        <v>5</v>
      </c>
      <c r="F2881" t="s">
        <v>439</v>
      </c>
      <c r="G2881" s="14" t="s">
        <v>976</v>
      </c>
      <c r="H2881" s="9" t="s">
        <v>1071</v>
      </c>
      <c r="I2881">
        <f t="shared" si="177"/>
        <v>120</v>
      </c>
      <c r="J2881">
        <f t="shared" si="173"/>
        <v>54.431084400000003</v>
      </c>
      <c r="L2881">
        <f t="shared" si="176"/>
        <v>0</v>
      </c>
    </row>
    <row r="2882" spans="1:12" x14ac:dyDescent="0.2">
      <c r="A2882" s="4">
        <v>43501</v>
      </c>
      <c r="B2882" t="s">
        <v>48</v>
      </c>
      <c r="C2882" s="28">
        <v>1</v>
      </c>
      <c r="D2882" s="35">
        <v>1</v>
      </c>
      <c r="E2882">
        <f>10*3*(1/8)</f>
        <v>3.75</v>
      </c>
      <c r="F2882" t="s">
        <v>483</v>
      </c>
      <c r="G2882" t="s">
        <v>814</v>
      </c>
      <c r="H2882" s="9" t="s">
        <v>1071</v>
      </c>
      <c r="I2882">
        <f t="shared" si="177"/>
        <v>3.75</v>
      </c>
      <c r="J2882">
        <f t="shared" si="173"/>
        <v>1.7009713875000001</v>
      </c>
      <c r="K2882">
        <v>0.23200000000000001</v>
      </c>
      <c r="L2882">
        <f t="shared" si="176"/>
        <v>0.39462536190000003</v>
      </c>
    </row>
    <row r="2883" spans="1:12" x14ac:dyDescent="0.2">
      <c r="A2883" s="4">
        <v>43497</v>
      </c>
      <c r="B2883" t="s">
        <v>538</v>
      </c>
      <c r="C2883">
        <v>1</v>
      </c>
      <c r="D2883">
        <v>2</v>
      </c>
      <c r="E2883">
        <v>5</v>
      </c>
      <c r="F2883" t="s">
        <v>739</v>
      </c>
      <c r="G2883" s="6" t="s">
        <v>875</v>
      </c>
      <c r="H2883" s="9" t="s">
        <v>1071</v>
      </c>
      <c r="I2883">
        <f t="shared" si="177"/>
        <v>10</v>
      </c>
      <c r="J2883">
        <f t="shared" ref="J2883:J2946" si="178">CONVERT(I2883,"lbm","kg")</f>
        <v>4.5359237000000006</v>
      </c>
      <c r="K2883">
        <v>5.99</v>
      </c>
      <c r="L2883">
        <f t="shared" si="176"/>
        <v>27.170182963000006</v>
      </c>
    </row>
    <row r="2884" spans="1:12" x14ac:dyDescent="0.2">
      <c r="A2884" s="4">
        <v>43497</v>
      </c>
      <c r="B2884" t="s">
        <v>538</v>
      </c>
      <c r="C2884">
        <v>4</v>
      </c>
      <c r="D2884">
        <v>2</v>
      </c>
      <c r="E2884">
        <v>10</v>
      </c>
      <c r="F2884" t="s">
        <v>458</v>
      </c>
      <c r="G2884" t="s">
        <v>875</v>
      </c>
      <c r="H2884" s="9" t="s">
        <v>1071</v>
      </c>
      <c r="I2884">
        <f t="shared" si="177"/>
        <v>80</v>
      </c>
      <c r="J2884">
        <f t="shared" si="178"/>
        <v>36.287389600000004</v>
      </c>
      <c r="K2884">
        <v>5.99</v>
      </c>
      <c r="L2884">
        <f t="shared" si="176"/>
        <v>217.36146370400004</v>
      </c>
    </row>
    <row r="2885" spans="1:12" x14ac:dyDescent="0.2">
      <c r="A2885" s="4">
        <v>43497</v>
      </c>
      <c r="B2885" t="s">
        <v>538</v>
      </c>
      <c r="C2885">
        <v>4</v>
      </c>
      <c r="D2885">
        <v>2</v>
      </c>
      <c r="E2885">
        <v>10</v>
      </c>
      <c r="F2885" t="s">
        <v>461</v>
      </c>
      <c r="G2885" t="s">
        <v>875</v>
      </c>
      <c r="H2885" s="9" t="s">
        <v>1071</v>
      </c>
      <c r="I2885">
        <f t="shared" si="177"/>
        <v>80</v>
      </c>
      <c r="J2885">
        <f t="shared" si="178"/>
        <v>36.287389600000004</v>
      </c>
      <c r="K2885">
        <v>5.99</v>
      </c>
      <c r="L2885">
        <f t="shared" si="176"/>
        <v>217.36146370400004</v>
      </c>
    </row>
    <row r="2886" spans="1:12" x14ac:dyDescent="0.2">
      <c r="A2886" s="4">
        <v>43497</v>
      </c>
      <c r="B2886" t="s">
        <v>538</v>
      </c>
      <c r="C2886">
        <v>4</v>
      </c>
      <c r="D2886">
        <v>2</v>
      </c>
      <c r="E2886">
        <v>10</v>
      </c>
      <c r="F2886" t="s">
        <v>462</v>
      </c>
      <c r="G2886" t="s">
        <v>875</v>
      </c>
      <c r="H2886" s="9" t="s">
        <v>1071</v>
      </c>
      <c r="I2886">
        <f t="shared" si="177"/>
        <v>80</v>
      </c>
      <c r="J2886">
        <f t="shared" si="178"/>
        <v>36.287389600000004</v>
      </c>
      <c r="K2886">
        <v>5.99</v>
      </c>
      <c r="L2886">
        <f t="shared" si="176"/>
        <v>217.36146370400004</v>
      </c>
    </row>
    <row r="2887" spans="1:12" x14ac:dyDescent="0.2">
      <c r="A2887" s="4">
        <v>43497</v>
      </c>
      <c r="B2887" t="s">
        <v>538</v>
      </c>
      <c r="C2887">
        <v>2</v>
      </c>
      <c r="D2887">
        <v>2</v>
      </c>
      <c r="E2887">
        <v>10</v>
      </c>
      <c r="F2887" t="s">
        <v>566</v>
      </c>
      <c r="G2887" t="s">
        <v>875</v>
      </c>
      <c r="H2887" s="9" t="s">
        <v>1071</v>
      </c>
      <c r="I2887">
        <f t="shared" ref="I2887:I2918" si="179">C2887*D2887*E2887</f>
        <v>40</v>
      </c>
      <c r="J2887">
        <f t="shared" si="178"/>
        <v>18.143694800000002</v>
      </c>
      <c r="K2887">
        <v>5.99</v>
      </c>
      <c r="L2887">
        <f t="shared" si="176"/>
        <v>108.68073185200002</v>
      </c>
    </row>
    <row r="2888" spans="1:12" x14ac:dyDescent="0.2">
      <c r="A2888" s="4">
        <v>43500</v>
      </c>
      <c r="B2888" t="s">
        <v>538</v>
      </c>
      <c r="C2888">
        <v>4</v>
      </c>
      <c r="D2888">
        <v>8</v>
      </c>
      <c r="E2888">
        <v>10.125</v>
      </c>
      <c r="F2888" t="s">
        <v>670</v>
      </c>
      <c r="G2888" s="6" t="s">
        <v>875</v>
      </c>
      <c r="H2888" s="9" t="s">
        <v>1071</v>
      </c>
      <c r="I2888">
        <f t="shared" si="179"/>
        <v>324</v>
      </c>
      <c r="J2888">
        <f t="shared" si="178"/>
        <v>146.96392788</v>
      </c>
      <c r="K2888">
        <v>5.99</v>
      </c>
      <c r="L2888">
        <f t="shared" si="176"/>
        <v>880.3139280012</v>
      </c>
    </row>
    <row r="2889" spans="1:12" x14ac:dyDescent="0.2">
      <c r="A2889" s="4">
        <v>43500</v>
      </c>
      <c r="B2889" t="s">
        <v>538</v>
      </c>
      <c r="C2889">
        <v>4</v>
      </c>
      <c r="D2889">
        <v>2</v>
      </c>
      <c r="E2889">
        <v>10</v>
      </c>
      <c r="F2889" t="s">
        <v>462</v>
      </c>
      <c r="G2889" s="6" t="s">
        <v>875</v>
      </c>
      <c r="H2889" s="9" t="s">
        <v>1071</v>
      </c>
      <c r="I2889">
        <f t="shared" si="179"/>
        <v>80</v>
      </c>
      <c r="J2889">
        <f t="shared" si="178"/>
        <v>36.287389600000004</v>
      </c>
      <c r="K2889">
        <v>5.99</v>
      </c>
      <c r="L2889">
        <f t="shared" si="176"/>
        <v>217.36146370400004</v>
      </c>
    </row>
    <row r="2890" spans="1:12" x14ac:dyDescent="0.2">
      <c r="A2890" s="4">
        <v>43500</v>
      </c>
      <c r="B2890" t="s">
        <v>538</v>
      </c>
      <c r="C2890">
        <v>3</v>
      </c>
      <c r="D2890">
        <v>2</v>
      </c>
      <c r="E2890">
        <v>10</v>
      </c>
      <c r="F2890" t="s">
        <v>566</v>
      </c>
      <c r="G2890" s="6" t="s">
        <v>875</v>
      </c>
      <c r="H2890" s="9" t="s">
        <v>1071</v>
      </c>
      <c r="I2890">
        <f t="shared" si="179"/>
        <v>60</v>
      </c>
      <c r="J2890">
        <f t="shared" si="178"/>
        <v>27.215542200000002</v>
      </c>
      <c r="K2890">
        <v>5.99</v>
      </c>
      <c r="L2890">
        <f t="shared" si="176"/>
        <v>163.02109777800001</v>
      </c>
    </row>
    <row r="2891" spans="1:12" x14ac:dyDescent="0.2">
      <c r="A2891" s="4">
        <v>43503</v>
      </c>
      <c r="B2891" t="s">
        <v>538</v>
      </c>
      <c r="C2891">
        <v>3</v>
      </c>
      <c r="D2891">
        <v>2</v>
      </c>
      <c r="E2891">
        <v>10</v>
      </c>
      <c r="F2891" t="s">
        <v>458</v>
      </c>
      <c r="G2891" s="6" t="s">
        <v>875</v>
      </c>
      <c r="H2891" s="9" t="s">
        <v>1071</v>
      </c>
      <c r="I2891">
        <f t="shared" si="179"/>
        <v>60</v>
      </c>
      <c r="J2891">
        <f t="shared" si="178"/>
        <v>27.215542200000002</v>
      </c>
      <c r="K2891">
        <v>5.99</v>
      </c>
      <c r="L2891">
        <f t="shared" si="176"/>
        <v>163.02109777800001</v>
      </c>
    </row>
    <row r="2892" spans="1:12" x14ac:dyDescent="0.2">
      <c r="A2892" s="4">
        <v>43497</v>
      </c>
      <c r="B2892" t="s">
        <v>48</v>
      </c>
      <c r="C2892" s="28">
        <v>1</v>
      </c>
      <c r="D2892" s="35">
        <v>1</v>
      </c>
      <c r="E2892">
        <v>20</v>
      </c>
      <c r="F2892" t="s">
        <v>318</v>
      </c>
      <c r="G2892" t="s">
        <v>1043</v>
      </c>
      <c r="H2892" s="9" t="s">
        <v>1071</v>
      </c>
      <c r="I2892">
        <f t="shared" si="179"/>
        <v>20</v>
      </c>
      <c r="J2892">
        <f t="shared" si="178"/>
        <v>9.0718474000000011</v>
      </c>
      <c r="K2892">
        <v>0.61699999999999999</v>
      </c>
      <c r="L2892">
        <f t="shared" si="176"/>
        <v>5.5973298458000009</v>
      </c>
    </row>
    <row r="2893" spans="1:12" x14ac:dyDescent="0.2">
      <c r="A2893" s="4">
        <v>43497</v>
      </c>
      <c r="B2893" t="s">
        <v>531</v>
      </c>
      <c r="C2893">
        <v>2</v>
      </c>
      <c r="D2893">
        <v>12</v>
      </c>
      <c r="E2893">
        <v>2.5</v>
      </c>
      <c r="F2893" t="s">
        <v>405</v>
      </c>
      <c r="G2893" t="s">
        <v>1045</v>
      </c>
      <c r="H2893" s="9" t="s">
        <v>1071</v>
      </c>
      <c r="I2893">
        <f t="shared" si="179"/>
        <v>60</v>
      </c>
      <c r="J2893">
        <f t="shared" si="178"/>
        <v>27.215542200000002</v>
      </c>
      <c r="K2893">
        <v>0.61699999999999999</v>
      </c>
      <c r="L2893">
        <f t="shared" si="176"/>
        <v>16.791989537399999</v>
      </c>
    </row>
    <row r="2894" spans="1:12" x14ac:dyDescent="0.2">
      <c r="A2894" s="4">
        <v>43503</v>
      </c>
      <c r="B2894" t="s">
        <v>48</v>
      </c>
      <c r="C2894">
        <v>1</v>
      </c>
      <c r="D2894" s="35">
        <v>1</v>
      </c>
      <c r="E2894">
        <f>10/9*30</f>
        <v>33.333333333333336</v>
      </c>
      <c r="F2894" s="9" t="s">
        <v>704</v>
      </c>
      <c r="G2894" s="9" t="s">
        <v>218</v>
      </c>
      <c r="H2894" s="9" t="s">
        <v>1071</v>
      </c>
      <c r="I2894">
        <f t="shared" si="179"/>
        <v>33.333333333333336</v>
      </c>
      <c r="J2894">
        <f t="shared" si="178"/>
        <v>15.119745666666669</v>
      </c>
      <c r="K2894">
        <v>0.52500000000000002</v>
      </c>
      <c r="L2894">
        <f t="shared" si="176"/>
        <v>7.9378664750000016</v>
      </c>
    </row>
    <row r="2895" spans="1:12" x14ac:dyDescent="0.2">
      <c r="A2895" s="4">
        <v>43503</v>
      </c>
      <c r="B2895" t="s">
        <v>48</v>
      </c>
      <c r="C2895">
        <v>1</v>
      </c>
      <c r="D2895" s="35">
        <v>1</v>
      </c>
      <c r="E2895">
        <f>10/9*30</f>
        <v>33.333333333333336</v>
      </c>
      <c r="F2895" s="9" t="s">
        <v>59</v>
      </c>
      <c r="G2895" s="9" t="s">
        <v>218</v>
      </c>
      <c r="H2895" s="9" t="s">
        <v>1071</v>
      </c>
      <c r="I2895">
        <f t="shared" si="179"/>
        <v>33.333333333333336</v>
      </c>
      <c r="J2895">
        <f t="shared" si="178"/>
        <v>15.119745666666669</v>
      </c>
      <c r="K2895">
        <v>0.52500000000000002</v>
      </c>
      <c r="L2895">
        <f t="shared" si="176"/>
        <v>7.9378664750000016</v>
      </c>
    </row>
    <row r="2896" spans="1:12" x14ac:dyDescent="0.2">
      <c r="A2896" s="4">
        <v>43503</v>
      </c>
      <c r="B2896" t="s">
        <v>48</v>
      </c>
      <c r="C2896" s="28">
        <v>1</v>
      </c>
      <c r="D2896" s="35">
        <v>1</v>
      </c>
      <c r="E2896">
        <v>20</v>
      </c>
      <c r="F2896" t="s">
        <v>485</v>
      </c>
      <c r="G2896" t="s">
        <v>792</v>
      </c>
      <c r="H2896" s="9" t="s">
        <v>1071</v>
      </c>
      <c r="I2896">
        <f t="shared" si="179"/>
        <v>20</v>
      </c>
      <c r="J2896">
        <f t="shared" si="178"/>
        <v>9.0718474000000011</v>
      </c>
      <c r="K2896">
        <v>0.52500000000000002</v>
      </c>
      <c r="L2896">
        <f t="shared" si="176"/>
        <v>4.762719885000001</v>
      </c>
    </row>
    <row r="2897" spans="1:12" x14ac:dyDescent="0.2">
      <c r="A2897" s="4">
        <v>43502</v>
      </c>
      <c r="B2897" t="s">
        <v>48</v>
      </c>
      <c r="C2897" s="28">
        <v>1</v>
      </c>
      <c r="D2897" s="35">
        <v>1</v>
      </c>
      <c r="E2897">
        <f>10/9*30</f>
        <v>33.333333333333336</v>
      </c>
      <c r="F2897" t="s">
        <v>320</v>
      </c>
      <c r="G2897" t="s">
        <v>792</v>
      </c>
      <c r="H2897" s="9" t="s">
        <v>1071</v>
      </c>
      <c r="I2897">
        <f t="shared" si="179"/>
        <v>33.333333333333336</v>
      </c>
      <c r="J2897">
        <f t="shared" si="178"/>
        <v>15.119745666666669</v>
      </c>
      <c r="K2897">
        <v>0.52500000000000002</v>
      </c>
      <c r="L2897">
        <f t="shared" si="176"/>
        <v>7.9378664750000016</v>
      </c>
    </row>
    <row r="2898" spans="1:12" x14ac:dyDescent="0.2">
      <c r="A2898" s="4">
        <v>43502</v>
      </c>
      <c r="B2898" t="s">
        <v>48</v>
      </c>
      <c r="C2898" s="28">
        <v>1</v>
      </c>
      <c r="D2898" s="35">
        <v>1</v>
      </c>
      <c r="E2898">
        <f>10/9*30</f>
        <v>33.333333333333336</v>
      </c>
      <c r="F2898" t="s">
        <v>321</v>
      </c>
      <c r="G2898" t="s">
        <v>792</v>
      </c>
      <c r="H2898" s="9" t="s">
        <v>1071</v>
      </c>
      <c r="I2898">
        <f t="shared" si="179"/>
        <v>33.333333333333336</v>
      </c>
      <c r="J2898">
        <f t="shared" si="178"/>
        <v>15.119745666666669</v>
      </c>
      <c r="K2898">
        <v>0.52500000000000002</v>
      </c>
      <c r="L2898">
        <f t="shared" si="176"/>
        <v>7.9378664750000016</v>
      </c>
    </row>
    <row r="2899" spans="1:12" x14ac:dyDescent="0.2">
      <c r="A2899" s="4">
        <v>43501</v>
      </c>
      <c r="B2899" t="s">
        <v>48</v>
      </c>
      <c r="C2899" s="28">
        <v>1</v>
      </c>
      <c r="D2899" s="35">
        <v>1</v>
      </c>
      <c r="E2899">
        <f>10/9*30</f>
        <v>33.333333333333336</v>
      </c>
      <c r="F2899" t="s">
        <v>321</v>
      </c>
      <c r="G2899" t="s">
        <v>792</v>
      </c>
      <c r="H2899" s="9" t="s">
        <v>1071</v>
      </c>
      <c r="I2899">
        <f t="shared" si="179"/>
        <v>33.333333333333336</v>
      </c>
      <c r="J2899">
        <f t="shared" si="178"/>
        <v>15.119745666666669</v>
      </c>
      <c r="K2899">
        <v>0.52500000000000002</v>
      </c>
      <c r="L2899">
        <f t="shared" si="176"/>
        <v>7.9378664750000016</v>
      </c>
    </row>
    <row r="2900" spans="1:12" x14ac:dyDescent="0.2">
      <c r="A2900" s="4">
        <v>43500</v>
      </c>
      <c r="B2900" t="s">
        <v>48</v>
      </c>
      <c r="C2900" s="28">
        <v>2</v>
      </c>
      <c r="D2900" s="35">
        <v>1</v>
      </c>
      <c r="E2900">
        <f>10/9*30</f>
        <v>33.333333333333336</v>
      </c>
      <c r="F2900" t="s">
        <v>320</v>
      </c>
      <c r="G2900" t="s">
        <v>792</v>
      </c>
      <c r="H2900" s="9" t="s">
        <v>1071</v>
      </c>
      <c r="I2900">
        <f t="shared" si="179"/>
        <v>66.666666666666671</v>
      </c>
      <c r="J2900">
        <f t="shared" si="178"/>
        <v>30.239491333333337</v>
      </c>
      <c r="K2900">
        <v>0.52500000000000002</v>
      </c>
      <c r="L2900">
        <f t="shared" si="176"/>
        <v>15.875732950000003</v>
      </c>
    </row>
    <row r="2901" spans="1:12" x14ac:dyDescent="0.2">
      <c r="A2901" s="4">
        <v>43500</v>
      </c>
      <c r="B2901" t="s">
        <v>48</v>
      </c>
      <c r="C2901" s="28">
        <v>1</v>
      </c>
      <c r="D2901" s="35">
        <v>1</v>
      </c>
      <c r="E2901">
        <f>10/9*30</f>
        <v>33.333333333333336</v>
      </c>
      <c r="F2901" t="s">
        <v>321</v>
      </c>
      <c r="G2901" t="s">
        <v>792</v>
      </c>
      <c r="H2901" s="9" t="s">
        <v>1071</v>
      </c>
      <c r="I2901">
        <f t="shared" si="179"/>
        <v>33.333333333333336</v>
      </c>
      <c r="J2901">
        <f t="shared" si="178"/>
        <v>15.119745666666669</v>
      </c>
      <c r="K2901">
        <v>0.52500000000000002</v>
      </c>
      <c r="L2901">
        <f t="shared" si="176"/>
        <v>7.9378664750000016</v>
      </c>
    </row>
    <row r="2902" spans="1:12" x14ac:dyDescent="0.2">
      <c r="A2902" s="4">
        <v>43498</v>
      </c>
      <c r="B2902" t="s">
        <v>48</v>
      </c>
      <c r="C2902" s="28">
        <v>1</v>
      </c>
      <c r="D2902" s="35">
        <v>1</v>
      </c>
      <c r="E2902">
        <v>20</v>
      </c>
      <c r="F2902" t="s">
        <v>704</v>
      </c>
      <c r="G2902" t="s">
        <v>218</v>
      </c>
      <c r="H2902" s="9" t="s">
        <v>1071</v>
      </c>
      <c r="I2902">
        <f t="shared" si="179"/>
        <v>20</v>
      </c>
      <c r="J2902">
        <f t="shared" si="178"/>
        <v>9.0718474000000011</v>
      </c>
      <c r="K2902">
        <v>0.52500000000000002</v>
      </c>
      <c r="L2902">
        <f t="shared" ref="L2902:L2965" si="180">J2902*K2902</f>
        <v>4.762719885000001</v>
      </c>
    </row>
    <row r="2903" spans="1:12" x14ac:dyDescent="0.2">
      <c r="A2903" s="4">
        <v>43497</v>
      </c>
      <c r="B2903" t="s">
        <v>48</v>
      </c>
      <c r="C2903" s="28">
        <v>2</v>
      </c>
      <c r="D2903" s="35">
        <v>1</v>
      </c>
      <c r="E2903">
        <f>10/9*30</f>
        <v>33.333333333333336</v>
      </c>
      <c r="F2903" t="s">
        <v>320</v>
      </c>
      <c r="G2903" t="s">
        <v>792</v>
      </c>
      <c r="H2903" s="9" t="s">
        <v>1071</v>
      </c>
      <c r="I2903">
        <f t="shared" si="179"/>
        <v>66.666666666666671</v>
      </c>
      <c r="J2903">
        <f t="shared" si="178"/>
        <v>30.239491333333337</v>
      </c>
      <c r="K2903">
        <v>0.52500000000000002</v>
      </c>
      <c r="L2903">
        <f t="shared" si="180"/>
        <v>15.875732950000003</v>
      </c>
    </row>
    <row r="2904" spans="1:12" x14ac:dyDescent="0.2">
      <c r="A2904" s="4">
        <v>43497</v>
      </c>
      <c r="B2904" t="s">
        <v>48</v>
      </c>
      <c r="C2904" s="28">
        <v>2</v>
      </c>
      <c r="D2904" s="35">
        <v>1</v>
      </c>
      <c r="E2904">
        <f>10/9*30</f>
        <v>33.333333333333336</v>
      </c>
      <c r="F2904" t="s">
        <v>321</v>
      </c>
      <c r="G2904" t="s">
        <v>792</v>
      </c>
      <c r="H2904" s="9" t="s">
        <v>1071</v>
      </c>
      <c r="I2904">
        <f t="shared" si="179"/>
        <v>66.666666666666671</v>
      </c>
      <c r="J2904">
        <f t="shared" si="178"/>
        <v>30.239491333333337</v>
      </c>
      <c r="K2904">
        <v>0.52500000000000002</v>
      </c>
      <c r="L2904">
        <f t="shared" si="180"/>
        <v>15.875732950000003</v>
      </c>
    </row>
    <row r="2905" spans="1:12" x14ac:dyDescent="0.2">
      <c r="A2905" s="4">
        <v>43500</v>
      </c>
      <c r="B2905" t="s">
        <v>48</v>
      </c>
      <c r="C2905" s="28">
        <v>2</v>
      </c>
      <c r="D2905" s="35">
        <v>1</v>
      </c>
      <c r="E2905">
        <f>10/9*30</f>
        <v>33.333333333333336</v>
      </c>
      <c r="F2905" t="s">
        <v>723</v>
      </c>
      <c r="G2905" t="s">
        <v>961</v>
      </c>
      <c r="H2905" s="9" t="s">
        <v>1071</v>
      </c>
      <c r="I2905">
        <f t="shared" si="179"/>
        <v>66.666666666666671</v>
      </c>
      <c r="J2905">
        <f t="shared" si="178"/>
        <v>30.239491333333337</v>
      </c>
      <c r="K2905">
        <v>0.79900000000000004</v>
      </c>
      <c r="L2905">
        <f t="shared" si="180"/>
        <v>24.161353575333337</v>
      </c>
    </row>
    <row r="2906" spans="1:12" x14ac:dyDescent="0.2">
      <c r="A2906" s="4">
        <v>43500</v>
      </c>
      <c r="B2906" t="s">
        <v>538</v>
      </c>
      <c r="C2906">
        <v>1</v>
      </c>
      <c r="D2906">
        <v>4</v>
      </c>
      <c r="E2906">
        <v>8.4700000000000006</v>
      </c>
      <c r="F2906" t="s">
        <v>541</v>
      </c>
      <c r="G2906" t="s">
        <v>937</v>
      </c>
      <c r="H2906" s="9" t="s">
        <v>1071</v>
      </c>
      <c r="I2906">
        <f t="shared" si="179"/>
        <v>33.880000000000003</v>
      </c>
      <c r="J2906">
        <f t="shared" si="178"/>
        <v>15.367709495600002</v>
      </c>
      <c r="K2906">
        <v>0.79900000000000004</v>
      </c>
      <c r="L2906">
        <f t="shared" si="180"/>
        <v>12.278799886984402</v>
      </c>
    </row>
    <row r="2907" spans="1:12" x14ac:dyDescent="0.2">
      <c r="A2907" s="4">
        <v>43502</v>
      </c>
      <c r="B2907" t="s">
        <v>48</v>
      </c>
      <c r="C2907" s="28">
        <v>8</v>
      </c>
      <c r="D2907" s="35">
        <v>1</v>
      </c>
      <c r="E2907">
        <f>10*2</f>
        <v>20</v>
      </c>
      <c r="F2907" t="s">
        <v>341</v>
      </c>
      <c r="G2907" t="s">
        <v>793</v>
      </c>
      <c r="H2907" s="9" t="s">
        <v>1071</v>
      </c>
      <c r="I2907">
        <f t="shared" si="179"/>
        <v>160</v>
      </c>
      <c r="J2907">
        <f t="shared" si="178"/>
        <v>72.574779200000009</v>
      </c>
      <c r="K2907">
        <v>0.91400000000000003</v>
      </c>
      <c r="L2907">
        <f t="shared" si="180"/>
        <v>66.333348188800016</v>
      </c>
    </row>
    <row r="2908" spans="1:12" x14ac:dyDescent="0.2">
      <c r="A2908" s="4">
        <v>43501</v>
      </c>
      <c r="B2908" t="s">
        <v>48</v>
      </c>
      <c r="C2908" s="28">
        <v>3</v>
      </c>
      <c r="D2908" s="35">
        <v>1</v>
      </c>
      <c r="E2908">
        <f>10*2</f>
        <v>20</v>
      </c>
      <c r="F2908" t="s">
        <v>341</v>
      </c>
      <c r="G2908" t="s">
        <v>793</v>
      </c>
      <c r="H2908" s="9" t="s">
        <v>1071</v>
      </c>
      <c r="I2908">
        <f t="shared" si="179"/>
        <v>60</v>
      </c>
      <c r="J2908">
        <f t="shared" si="178"/>
        <v>27.215542200000002</v>
      </c>
      <c r="K2908">
        <v>0.91400000000000003</v>
      </c>
      <c r="L2908">
        <f t="shared" si="180"/>
        <v>24.875005570800003</v>
      </c>
    </row>
    <row r="2909" spans="1:12" x14ac:dyDescent="0.2">
      <c r="A2909" s="4">
        <v>43500</v>
      </c>
      <c r="B2909" t="s">
        <v>48</v>
      </c>
      <c r="C2909" s="28">
        <v>6</v>
      </c>
      <c r="D2909" s="35">
        <v>1</v>
      </c>
      <c r="E2909">
        <f>10*2</f>
        <v>20</v>
      </c>
      <c r="F2909" t="s">
        <v>341</v>
      </c>
      <c r="G2909" t="s">
        <v>793</v>
      </c>
      <c r="H2909" s="9" t="s">
        <v>1071</v>
      </c>
      <c r="I2909">
        <f t="shared" si="179"/>
        <v>120</v>
      </c>
      <c r="J2909">
        <f t="shared" si="178"/>
        <v>54.431084400000003</v>
      </c>
      <c r="K2909">
        <v>0.91400000000000003</v>
      </c>
      <c r="L2909">
        <f t="shared" si="180"/>
        <v>49.750011141600005</v>
      </c>
    </row>
    <row r="2910" spans="1:12" x14ac:dyDescent="0.2">
      <c r="A2910" s="4">
        <v>43497</v>
      </c>
      <c r="B2910" t="s">
        <v>699</v>
      </c>
      <c r="C2910" s="39">
        <v>1</v>
      </c>
      <c r="D2910" s="35">
        <v>1</v>
      </c>
      <c r="E2910">
        <v>57.6</v>
      </c>
      <c r="F2910" s="9" t="s">
        <v>700</v>
      </c>
      <c r="G2910" s="9" t="s">
        <v>15</v>
      </c>
      <c r="H2910" s="9" t="s">
        <v>1072</v>
      </c>
      <c r="I2910">
        <f t="shared" si="179"/>
        <v>57.6</v>
      </c>
      <c r="J2910">
        <f t="shared" si="178"/>
        <v>26.126920512000002</v>
      </c>
      <c r="K2910">
        <v>5.56</v>
      </c>
      <c r="L2910">
        <f t="shared" si="180"/>
        <v>145.26567804672001</v>
      </c>
    </row>
    <row r="2911" spans="1:12" x14ac:dyDescent="0.2">
      <c r="A2911" s="4">
        <v>43497</v>
      </c>
      <c r="B2911" t="s">
        <v>13</v>
      </c>
      <c r="C2911" s="35">
        <v>1</v>
      </c>
      <c r="D2911" s="35">
        <v>1</v>
      </c>
      <c r="E2911">
        <v>20</v>
      </c>
      <c r="F2911" t="s">
        <v>692</v>
      </c>
      <c r="G2911" t="s">
        <v>15</v>
      </c>
      <c r="H2911" s="9" t="s">
        <v>1072</v>
      </c>
      <c r="I2911">
        <f t="shared" si="179"/>
        <v>20</v>
      </c>
      <c r="J2911">
        <f t="shared" si="178"/>
        <v>9.0718474000000011</v>
      </c>
      <c r="K2911">
        <v>5.56</v>
      </c>
      <c r="L2911">
        <f t="shared" si="180"/>
        <v>50.439471544</v>
      </c>
    </row>
    <row r="2912" spans="1:12" x14ac:dyDescent="0.2">
      <c r="A2912" s="4">
        <v>43497</v>
      </c>
      <c r="B2912" t="s">
        <v>13</v>
      </c>
      <c r="C2912" s="35">
        <v>1</v>
      </c>
      <c r="D2912" s="35">
        <v>1</v>
      </c>
      <c r="E2912">
        <v>120</v>
      </c>
      <c r="F2912" t="s">
        <v>19</v>
      </c>
      <c r="G2912" t="s">
        <v>15</v>
      </c>
      <c r="H2912" s="9" t="s">
        <v>1072</v>
      </c>
      <c r="I2912">
        <f t="shared" si="179"/>
        <v>120</v>
      </c>
      <c r="J2912">
        <f t="shared" si="178"/>
        <v>54.431084400000003</v>
      </c>
      <c r="K2912">
        <v>5.56</v>
      </c>
      <c r="L2912">
        <f t="shared" si="180"/>
        <v>302.63682926399997</v>
      </c>
    </row>
    <row r="2913" spans="1:12" x14ac:dyDescent="0.2">
      <c r="A2913" s="4">
        <v>43497</v>
      </c>
      <c r="B2913" t="s">
        <v>13</v>
      </c>
      <c r="C2913" s="35">
        <v>1</v>
      </c>
      <c r="D2913" s="35">
        <v>1</v>
      </c>
      <c r="E2913">
        <v>56</v>
      </c>
      <c r="F2913" t="s">
        <v>14</v>
      </c>
      <c r="G2913" t="s">
        <v>15</v>
      </c>
      <c r="H2913" s="9" t="s">
        <v>1072</v>
      </c>
      <c r="I2913">
        <f t="shared" si="179"/>
        <v>56</v>
      </c>
      <c r="J2913">
        <f t="shared" si="178"/>
        <v>25.401172720000002</v>
      </c>
      <c r="K2913">
        <v>5.56</v>
      </c>
      <c r="L2913">
        <f t="shared" si="180"/>
        <v>141.23052032320001</v>
      </c>
    </row>
    <row r="2914" spans="1:12" x14ac:dyDescent="0.2">
      <c r="A2914" s="4">
        <v>43497</v>
      </c>
      <c r="B2914" t="s">
        <v>13</v>
      </c>
      <c r="C2914" s="35">
        <v>1</v>
      </c>
      <c r="D2914" s="35">
        <v>1</v>
      </c>
      <c r="E2914">
        <v>178.68</v>
      </c>
      <c r="F2914" t="s">
        <v>693</v>
      </c>
      <c r="G2914" t="s">
        <v>15</v>
      </c>
      <c r="H2914" s="9" t="s">
        <v>1072</v>
      </c>
      <c r="I2914">
        <f t="shared" si="179"/>
        <v>178.68</v>
      </c>
      <c r="J2914">
        <f t="shared" si="178"/>
        <v>81.047884671600016</v>
      </c>
      <c r="K2914">
        <v>5.56</v>
      </c>
      <c r="L2914">
        <f t="shared" si="180"/>
        <v>450.62623877409607</v>
      </c>
    </row>
    <row r="2915" spans="1:12" x14ac:dyDescent="0.2">
      <c r="A2915" s="4">
        <v>43497</v>
      </c>
      <c r="B2915" t="s">
        <v>13</v>
      </c>
      <c r="C2915" s="35">
        <v>1</v>
      </c>
      <c r="D2915" s="35">
        <v>1</v>
      </c>
      <c r="E2915">
        <v>43</v>
      </c>
      <c r="F2915" t="s">
        <v>694</v>
      </c>
      <c r="G2915" t="s">
        <v>15</v>
      </c>
      <c r="H2915" s="9" t="s">
        <v>1072</v>
      </c>
      <c r="I2915">
        <f t="shared" si="179"/>
        <v>43</v>
      </c>
      <c r="J2915">
        <f t="shared" si="178"/>
        <v>19.504471909999999</v>
      </c>
      <c r="K2915">
        <v>5.56</v>
      </c>
      <c r="L2915">
        <f t="shared" si="180"/>
        <v>108.44486381959999</v>
      </c>
    </row>
    <row r="2916" spans="1:12" x14ac:dyDescent="0.2">
      <c r="A2916" s="4">
        <v>43497</v>
      </c>
      <c r="B2916" t="s">
        <v>13</v>
      </c>
      <c r="C2916" s="35">
        <v>1</v>
      </c>
      <c r="D2916" s="35">
        <v>1</v>
      </c>
      <c r="E2916">
        <v>223.06</v>
      </c>
      <c r="F2916" t="s">
        <v>179</v>
      </c>
      <c r="G2916" t="s">
        <v>15</v>
      </c>
      <c r="H2916" s="9" t="s">
        <v>1072</v>
      </c>
      <c r="I2916">
        <f t="shared" si="179"/>
        <v>223.06</v>
      </c>
      <c r="J2916">
        <f t="shared" si="178"/>
        <v>101.17831405220001</v>
      </c>
      <c r="K2916">
        <v>5.56</v>
      </c>
      <c r="L2916">
        <f t="shared" si="180"/>
        <v>562.55142613023202</v>
      </c>
    </row>
    <row r="2917" spans="1:12" x14ac:dyDescent="0.2">
      <c r="A2917" s="4">
        <v>43497</v>
      </c>
      <c r="B2917" t="s">
        <v>13</v>
      </c>
      <c r="C2917" s="35">
        <v>1</v>
      </c>
      <c r="D2917" s="35">
        <v>1</v>
      </c>
      <c r="E2917">
        <v>40</v>
      </c>
      <c r="F2917" t="s">
        <v>20</v>
      </c>
      <c r="G2917" t="s">
        <v>15</v>
      </c>
      <c r="H2917" s="9" t="s">
        <v>1072</v>
      </c>
      <c r="I2917">
        <f t="shared" si="179"/>
        <v>40</v>
      </c>
      <c r="J2917">
        <f t="shared" si="178"/>
        <v>18.143694800000002</v>
      </c>
      <c r="K2917">
        <v>5.56</v>
      </c>
      <c r="L2917">
        <f t="shared" si="180"/>
        <v>100.878943088</v>
      </c>
    </row>
    <row r="2918" spans="1:12" x14ac:dyDescent="0.2">
      <c r="A2918" s="4">
        <v>43497</v>
      </c>
      <c r="B2918" t="s">
        <v>13</v>
      </c>
      <c r="C2918" s="35">
        <v>1</v>
      </c>
      <c r="D2918" s="35">
        <v>1</v>
      </c>
      <c r="E2918">
        <v>150</v>
      </c>
      <c r="F2918" t="s">
        <v>21</v>
      </c>
      <c r="G2918" t="s">
        <v>15</v>
      </c>
      <c r="H2918" s="9" t="s">
        <v>1072</v>
      </c>
      <c r="I2918">
        <f t="shared" si="179"/>
        <v>150</v>
      </c>
      <c r="J2918">
        <f t="shared" si="178"/>
        <v>68.038855500000011</v>
      </c>
      <c r="K2918">
        <v>5.56</v>
      </c>
      <c r="L2918">
        <f t="shared" si="180"/>
        <v>378.29603658000002</v>
      </c>
    </row>
    <row r="2919" spans="1:12" x14ac:dyDescent="0.2">
      <c r="A2919" s="4">
        <v>43497</v>
      </c>
      <c r="B2919" t="s">
        <v>525</v>
      </c>
      <c r="C2919">
        <v>4</v>
      </c>
      <c r="D2919">
        <v>2</v>
      </c>
      <c r="E2919">
        <v>5</v>
      </c>
      <c r="F2919" t="s">
        <v>733</v>
      </c>
      <c r="G2919" t="s">
        <v>15</v>
      </c>
      <c r="H2919" s="9" t="s">
        <v>1072</v>
      </c>
      <c r="I2919">
        <f t="shared" ref="I2919:I2942" si="181">C2919*D2919*E2919</f>
        <v>40</v>
      </c>
      <c r="J2919">
        <f t="shared" si="178"/>
        <v>18.143694800000002</v>
      </c>
      <c r="K2919">
        <v>5.56</v>
      </c>
      <c r="L2919">
        <f t="shared" si="180"/>
        <v>100.878943088</v>
      </c>
    </row>
    <row r="2920" spans="1:12" x14ac:dyDescent="0.2">
      <c r="A2920" s="4">
        <v>43497</v>
      </c>
      <c r="B2920" t="s">
        <v>525</v>
      </c>
      <c r="C2920">
        <v>1</v>
      </c>
      <c r="D2920">
        <v>1</v>
      </c>
      <c r="E2920">
        <v>5.96</v>
      </c>
      <c r="F2920" t="s">
        <v>395</v>
      </c>
      <c r="G2920" t="s">
        <v>15</v>
      </c>
      <c r="H2920" s="9" t="s">
        <v>1072</v>
      </c>
      <c r="I2920">
        <f t="shared" si="181"/>
        <v>5.96</v>
      </c>
      <c r="J2920">
        <f t="shared" si="178"/>
        <v>2.7034105251999998</v>
      </c>
      <c r="K2920">
        <v>5.56</v>
      </c>
      <c r="L2920">
        <f t="shared" si="180"/>
        <v>15.030962520111999</v>
      </c>
    </row>
    <row r="2921" spans="1:12" x14ac:dyDescent="0.2">
      <c r="A2921" s="4">
        <v>43497</v>
      </c>
      <c r="B2921" t="s">
        <v>525</v>
      </c>
      <c r="C2921">
        <v>1</v>
      </c>
      <c r="D2921">
        <v>1</v>
      </c>
      <c r="E2921">
        <v>22.52</v>
      </c>
      <c r="F2921" t="s">
        <v>677</v>
      </c>
      <c r="G2921" t="s">
        <v>15</v>
      </c>
      <c r="H2921" s="9" t="s">
        <v>1072</v>
      </c>
      <c r="I2921">
        <f t="shared" si="181"/>
        <v>22.52</v>
      </c>
      <c r="J2921">
        <f t="shared" si="178"/>
        <v>10.214900172400002</v>
      </c>
      <c r="K2921">
        <v>5.56</v>
      </c>
      <c r="L2921">
        <f t="shared" si="180"/>
        <v>56.794844958544004</v>
      </c>
    </row>
    <row r="2922" spans="1:12" x14ac:dyDescent="0.2">
      <c r="A2922" s="4">
        <v>43502</v>
      </c>
      <c r="B2922" t="s">
        <v>48</v>
      </c>
      <c r="C2922" s="28">
        <v>2</v>
      </c>
      <c r="D2922" s="35">
        <v>1</v>
      </c>
      <c r="E2922">
        <v>50</v>
      </c>
      <c r="F2922" t="s">
        <v>715</v>
      </c>
      <c r="G2922" t="s">
        <v>759</v>
      </c>
      <c r="H2922" s="9" t="s">
        <v>1071</v>
      </c>
      <c r="I2922">
        <f t="shared" si="181"/>
        <v>100</v>
      </c>
      <c r="J2922">
        <f t="shared" si="178"/>
        <v>45.359237</v>
      </c>
      <c r="K2922">
        <v>0.217</v>
      </c>
      <c r="L2922">
        <f t="shared" si="180"/>
        <v>9.8429544290000006</v>
      </c>
    </row>
    <row r="2923" spans="1:12" x14ac:dyDescent="0.2">
      <c r="A2923" s="4">
        <v>43497</v>
      </c>
      <c r="B2923" t="s">
        <v>531</v>
      </c>
      <c r="C2923">
        <v>5</v>
      </c>
      <c r="D2923">
        <v>6</v>
      </c>
      <c r="E2923">
        <v>5</v>
      </c>
      <c r="F2923" t="s">
        <v>650</v>
      </c>
      <c r="G2923" t="s">
        <v>854</v>
      </c>
      <c r="H2923" s="9" t="s">
        <v>1071</v>
      </c>
      <c r="I2923">
        <f t="shared" si="181"/>
        <v>150</v>
      </c>
      <c r="J2923">
        <f t="shared" si="178"/>
        <v>68.038855500000011</v>
      </c>
      <c r="K2923">
        <v>0.217</v>
      </c>
      <c r="L2923">
        <f t="shared" si="180"/>
        <v>14.764431643500002</v>
      </c>
    </row>
    <row r="2924" spans="1:12" x14ac:dyDescent="0.2">
      <c r="A2924" s="4">
        <v>43497</v>
      </c>
      <c r="B2924" t="s">
        <v>531</v>
      </c>
      <c r="C2924">
        <v>4</v>
      </c>
      <c r="D2924">
        <v>6</v>
      </c>
      <c r="E2924">
        <v>6</v>
      </c>
      <c r="F2924" t="s">
        <v>533</v>
      </c>
      <c r="G2924" t="s">
        <v>854</v>
      </c>
      <c r="H2924" s="9" t="s">
        <v>1071</v>
      </c>
      <c r="I2924">
        <f t="shared" si="181"/>
        <v>144</v>
      </c>
      <c r="J2924">
        <f t="shared" si="178"/>
        <v>65.317301279999995</v>
      </c>
      <c r="K2924">
        <v>0.217</v>
      </c>
      <c r="L2924">
        <f t="shared" si="180"/>
        <v>14.17385437776</v>
      </c>
    </row>
    <row r="2925" spans="1:12" x14ac:dyDescent="0.2">
      <c r="A2925" s="4">
        <v>43497</v>
      </c>
      <c r="B2925" t="s">
        <v>531</v>
      </c>
      <c r="C2925">
        <v>4</v>
      </c>
      <c r="D2925">
        <v>6</v>
      </c>
      <c r="E2925">
        <v>5</v>
      </c>
      <c r="F2925" t="s">
        <v>406</v>
      </c>
      <c r="G2925" t="s">
        <v>854</v>
      </c>
      <c r="H2925" s="9" t="s">
        <v>1071</v>
      </c>
      <c r="I2925">
        <f t="shared" si="181"/>
        <v>120</v>
      </c>
      <c r="J2925">
        <f t="shared" si="178"/>
        <v>54.431084400000003</v>
      </c>
      <c r="K2925">
        <v>0.217</v>
      </c>
      <c r="L2925">
        <f t="shared" si="180"/>
        <v>11.8115453148</v>
      </c>
    </row>
    <row r="2926" spans="1:12" x14ac:dyDescent="0.2">
      <c r="A2926" s="4">
        <v>43497</v>
      </c>
      <c r="B2926" t="s">
        <v>531</v>
      </c>
      <c r="C2926">
        <v>2</v>
      </c>
      <c r="D2926">
        <v>6</v>
      </c>
      <c r="E2926">
        <v>5</v>
      </c>
      <c r="F2926" t="s">
        <v>412</v>
      </c>
      <c r="G2926" t="s">
        <v>854</v>
      </c>
      <c r="H2926" s="9" t="s">
        <v>1071</v>
      </c>
      <c r="I2926">
        <f t="shared" si="181"/>
        <v>60</v>
      </c>
      <c r="J2926">
        <f t="shared" si="178"/>
        <v>27.215542200000002</v>
      </c>
      <c r="K2926">
        <v>0.217</v>
      </c>
      <c r="L2926">
        <f t="shared" si="180"/>
        <v>5.9057726574</v>
      </c>
    </row>
    <row r="2927" spans="1:12" x14ac:dyDescent="0.2">
      <c r="A2927" s="4">
        <v>43497</v>
      </c>
      <c r="B2927" t="s">
        <v>531</v>
      </c>
      <c r="C2927">
        <v>5</v>
      </c>
      <c r="D2927">
        <v>6</v>
      </c>
      <c r="E2927">
        <v>5</v>
      </c>
      <c r="F2927" t="s">
        <v>419</v>
      </c>
      <c r="G2927" t="s">
        <v>854</v>
      </c>
      <c r="H2927" s="9" t="s">
        <v>1071</v>
      </c>
      <c r="I2927">
        <f t="shared" si="181"/>
        <v>150</v>
      </c>
      <c r="J2927">
        <f t="shared" si="178"/>
        <v>68.038855500000011</v>
      </c>
      <c r="K2927">
        <v>0.217</v>
      </c>
      <c r="L2927">
        <f t="shared" si="180"/>
        <v>14.764431643500002</v>
      </c>
    </row>
    <row r="2928" spans="1:12" x14ac:dyDescent="0.2">
      <c r="A2928" s="4">
        <v>43500</v>
      </c>
      <c r="B2928" t="s">
        <v>531</v>
      </c>
      <c r="C2928">
        <v>6</v>
      </c>
      <c r="D2928">
        <v>6</v>
      </c>
      <c r="E2928">
        <v>5</v>
      </c>
      <c r="F2928" t="s">
        <v>419</v>
      </c>
      <c r="G2928" t="s">
        <v>854</v>
      </c>
      <c r="H2928" s="9" t="s">
        <v>1071</v>
      </c>
      <c r="I2928">
        <f t="shared" si="181"/>
        <v>180</v>
      </c>
      <c r="J2928">
        <f t="shared" si="178"/>
        <v>81.646626600000005</v>
      </c>
      <c r="K2928">
        <v>0.217</v>
      </c>
      <c r="L2928">
        <f t="shared" si="180"/>
        <v>17.7173179722</v>
      </c>
    </row>
    <row r="2929" spans="1:12" x14ac:dyDescent="0.2">
      <c r="A2929" s="4">
        <v>43503</v>
      </c>
      <c r="B2929" t="s">
        <v>531</v>
      </c>
      <c r="C2929">
        <v>3</v>
      </c>
      <c r="D2929">
        <v>6</v>
      </c>
      <c r="E2929">
        <v>6</v>
      </c>
      <c r="F2929" t="s">
        <v>533</v>
      </c>
      <c r="G2929" t="s">
        <v>854</v>
      </c>
      <c r="H2929" s="9" t="s">
        <v>1071</v>
      </c>
      <c r="I2929">
        <f t="shared" si="181"/>
        <v>108</v>
      </c>
      <c r="J2929">
        <f t="shared" si="178"/>
        <v>48.987975960000007</v>
      </c>
      <c r="K2929">
        <v>0.217</v>
      </c>
      <c r="L2929">
        <f t="shared" si="180"/>
        <v>10.630390783320001</v>
      </c>
    </row>
    <row r="2930" spans="1:12" x14ac:dyDescent="0.2">
      <c r="A2930" s="4">
        <v>43503</v>
      </c>
      <c r="B2930" t="s">
        <v>531</v>
      </c>
      <c r="C2930">
        <v>3</v>
      </c>
      <c r="D2930">
        <v>6</v>
      </c>
      <c r="E2930">
        <v>3</v>
      </c>
      <c r="F2930" t="s">
        <v>404</v>
      </c>
      <c r="G2930" t="s">
        <v>854</v>
      </c>
      <c r="H2930" s="9" t="s">
        <v>1071</v>
      </c>
      <c r="I2930">
        <f t="shared" si="181"/>
        <v>54</v>
      </c>
      <c r="J2930">
        <f t="shared" si="178"/>
        <v>24.493987980000004</v>
      </c>
      <c r="K2930">
        <v>0.217</v>
      </c>
      <c r="L2930">
        <f t="shared" si="180"/>
        <v>5.3151953916600005</v>
      </c>
    </row>
    <row r="2931" spans="1:12" x14ac:dyDescent="0.2">
      <c r="A2931" s="4">
        <v>43503</v>
      </c>
      <c r="B2931" t="s">
        <v>531</v>
      </c>
      <c r="C2931">
        <v>2</v>
      </c>
      <c r="D2931">
        <v>6</v>
      </c>
      <c r="E2931">
        <v>5</v>
      </c>
      <c r="F2931" t="s">
        <v>406</v>
      </c>
      <c r="G2931" t="s">
        <v>854</v>
      </c>
      <c r="H2931" s="9" t="s">
        <v>1071</v>
      </c>
      <c r="I2931">
        <f t="shared" si="181"/>
        <v>60</v>
      </c>
      <c r="J2931">
        <f t="shared" si="178"/>
        <v>27.215542200000002</v>
      </c>
      <c r="K2931">
        <v>0.217</v>
      </c>
      <c r="L2931">
        <f t="shared" si="180"/>
        <v>5.9057726574</v>
      </c>
    </row>
    <row r="2932" spans="1:12" x14ac:dyDescent="0.2">
      <c r="A2932" s="4">
        <v>43503</v>
      </c>
      <c r="B2932" t="s">
        <v>531</v>
      </c>
      <c r="C2932">
        <v>1</v>
      </c>
      <c r="D2932">
        <v>6</v>
      </c>
      <c r="E2932">
        <v>5</v>
      </c>
      <c r="F2932" t="s">
        <v>412</v>
      </c>
      <c r="G2932" t="s">
        <v>854</v>
      </c>
      <c r="H2932" s="9" t="s">
        <v>1071</v>
      </c>
      <c r="I2932">
        <f t="shared" si="181"/>
        <v>30</v>
      </c>
      <c r="J2932">
        <f t="shared" si="178"/>
        <v>13.607771100000001</v>
      </c>
      <c r="K2932">
        <v>0.217</v>
      </c>
      <c r="L2932">
        <f t="shared" si="180"/>
        <v>2.9528863287</v>
      </c>
    </row>
    <row r="2933" spans="1:12" x14ac:dyDescent="0.2">
      <c r="A2933" s="4">
        <v>43503</v>
      </c>
      <c r="B2933" t="s">
        <v>531</v>
      </c>
      <c r="C2933">
        <v>2</v>
      </c>
      <c r="D2933">
        <v>6</v>
      </c>
      <c r="E2933">
        <v>5</v>
      </c>
      <c r="F2933" t="s">
        <v>419</v>
      </c>
      <c r="G2933" t="s">
        <v>854</v>
      </c>
      <c r="H2933" s="9" t="s">
        <v>1071</v>
      </c>
      <c r="I2933">
        <f t="shared" si="181"/>
        <v>60</v>
      </c>
      <c r="J2933">
        <f t="shared" si="178"/>
        <v>27.215542200000002</v>
      </c>
      <c r="K2933">
        <v>0.217</v>
      </c>
      <c r="L2933">
        <f t="shared" si="180"/>
        <v>5.9057726574</v>
      </c>
    </row>
    <row r="2934" spans="1:12" x14ac:dyDescent="0.2">
      <c r="A2934" s="4">
        <v>43497</v>
      </c>
      <c r="B2934" t="s">
        <v>538</v>
      </c>
      <c r="C2934">
        <v>2</v>
      </c>
      <c r="D2934">
        <v>1</v>
      </c>
      <c r="E2934">
        <v>25</v>
      </c>
      <c r="F2934" t="s">
        <v>424</v>
      </c>
      <c r="G2934" t="s">
        <v>859</v>
      </c>
      <c r="H2934" s="9" t="s">
        <v>1071</v>
      </c>
      <c r="I2934">
        <f t="shared" si="181"/>
        <v>50</v>
      </c>
      <c r="J2934">
        <f t="shared" si="178"/>
        <v>22.6796185</v>
      </c>
      <c r="K2934">
        <v>1.5409999999999999</v>
      </c>
      <c r="L2934">
        <f t="shared" si="180"/>
        <v>34.949292108499996</v>
      </c>
    </row>
    <row r="2935" spans="1:12" x14ac:dyDescent="0.2">
      <c r="A2935" s="4">
        <v>43497</v>
      </c>
      <c r="B2935" t="s">
        <v>538</v>
      </c>
      <c r="C2935">
        <v>3</v>
      </c>
      <c r="D2935">
        <v>2</v>
      </c>
      <c r="E2935">
        <v>5</v>
      </c>
      <c r="F2935" t="s">
        <v>429</v>
      </c>
      <c r="G2935" t="s">
        <v>859</v>
      </c>
      <c r="H2935" s="9" t="s">
        <v>1071</v>
      </c>
      <c r="I2935">
        <f t="shared" si="181"/>
        <v>30</v>
      </c>
      <c r="J2935">
        <f t="shared" si="178"/>
        <v>13.607771100000001</v>
      </c>
      <c r="K2935">
        <v>1.5409999999999999</v>
      </c>
      <c r="L2935">
        <f t="shared" si="180"/>
        <v>20.969575265100001</v>
      </c>
    </row>
    <row r="2936" spans="1:12" x14ac:dyDescent="0.2">
      <c r="A2936" s="4">
        <v>43497</v>
      </c>
      <c r="B2936" t="s">
        <v>538</v>
      </c>
      <c r="C2936">
        <v>3</v>
      </c>
      <c r="D2936">
        <v>2</v>
      </c>
      <c r="E2936">
        <v>5</v>
      </c>
      <c r="F2936" t="s">
        <v>564</v>
      </c>
      <c r="G2936" t="s">
        <v>859</v>
      </c>
      <c r="H2936" s="9" t="s">
        <v>1071</v>
      </c>
      <c r="I2936">
        <f t="shared" si="181"/>
        <v>30</v>
      </c>
      <c r="J2936">
        <f t="shared" si="178"/>
        <v>13.607771100000001</v>
      </c>
      <c r="K2936">
        <v>1.5409999999999999</v>
      </c>
      <c r="L2936">
        <f t="shared" si="180"/>
        <v>20.969575265100001</v>
      </c>
    </row>
    <row r="2937" spans="1:12" x14ac:dyDescent="0.2">
      <c r="A2937" s="4">
        <v>43497</v>
      </c>
      <c r="B2937" t="s">
        <v>538</v>
      </c>
      <c r="C2937">
        <v>1</v>
      </c>
      <c r="D2937">
        <v>1</v>
      </c>
      <c r="E2937">
        <v>50</v>
      </c>
      <c r="F2937" t="s">
        <v>459</v>
      </c>
      <c r="G2937" t="s">
        <v>859</v>
      </c>
      <c r="H2937" s="9" t="s">
        <v>1071</v>
      </c>
      <c r="I2937">
        <f t="shared" si="181"/>
        <v>50</v>
      </c>
      <c r="J2937">
        <f t="shared" si="178"/>
        <v>22.6796185</v>
      </c>
      <c r="K2937">
        <v>1.5409999999999999</v>
      </c>
      <c r="L2937">
        <f t="shared" si="180"/>
        <v>34.949292108499996</v>
      </c>
    </row>
    <row r="2938" spans="1:12" x14ac:dyDescent="0.2">
      <c r="A2938" s="4">
        <v>43500</v>
      </c>
      <c r="B2938" t="s">
        <v>538</v>
      </c>
      <c r="C2938">
        <v>4</v>
      </c>
      <c r="D2938">
        <v>1</v>
      </c>
      <c r="E2938">
        <v>25</v>
      </c>
      <c r="F2938" t="s">
        <v>424</v>
      </c>
      <c r="G2938" t="s">
        <v>859</v>
      </c>
      <c r="H2938" s="9" t="s">
        <v>1071</v>
      </c>
      <c r="I2938">
        <f t="shared" si="181"/>
        <v>100</v>
      </c>
      <c r="J2938">
        <f t="shared" si="178"/>
        <v>45.359237</v>
      </c>
      <c r="K2938">
        <v>1.5409999999999999</v>
      </c>
      <c r="L2938">
        <f t="shared" si="180"/>
        <v>69.898584216999993</v>
      </c>
    </row>
    <row r="2939" spans="1:12" x14ac:dyDescent="0.2">
      <c r="A2939" s="4">
        <v>43500</v>
      </c>
      <c r="B2939" t="s">
        <v>538</v>
      </c>
      <c r="C2939">
        <v>2</v>
      </c>
      <c r="D2939">
        <v>2</v>
      </c>
      <c r="E2939">
        <v>5</v>
      </c>
      <c r="F2939" t="s">
        <v>429</v>
      </c>
      <c r="G2939" t="s">
        <v>859</v>
      </c>
      <c r="H2939" s="9" t="s">
        <v>1071</v>
      </c>
      <c r="I2939">
        <f t="shared" si="181"/>
        <v>20</v>
      </c>
      <c r="J2939">
        <f t="shared" si="178"/>
        <v>9.0718474000000011</v>
      </c>
      <c r="K2939">
        <v>1.5409999999999999</v>
      </c>
      <c r="L2939">
        <f t="shared" si="180"/>
        <v>13.9797168434</v>
      </c>
    </row>
    <row r="2940" spans="1:12" x14ac:dyDescent="0.2">
      <c r="A2940" s="4">
        <v>43500</v>
      </c>
      <c r="B2940" t="s">
        <v>538</v>
      </c>
      <c r="C2940">
        <v>2</v>
      </c>
      <c r="D2940">
        <v>2</v>
      </c>
      <c r="E2940">
        <v>5</v>
      </c>
      <c r="F2940" t="s">
        <v>564</v>
      </c>
      <c r="G2940" t="s">
        <v>859</v>
      </c>
      <c r="H2940" s="9" t="s">
        <v>1071</v>
      </c>
      <c r="I2940">
        <f t="shared" si="181"/>
        <v>20</v>
      </c>
      <c r="J2940">
        <f t="shared" si="178"/>
        <v>9.0718474000000011</v>
      </c>
      <c r="K2940">
        <v>1.5409999999999999</v>
      </c>
      <c r="L2940">
        <f t="shared" si="180"/>
        <v>13.9797168434</v>
      </c>
    </row>
    <row r="2941" spans="1:12" x14ac:dyDescent="0.2">
      <c r="A2941" s="4">
        <v>43500</v>
      </c>
      <c r="B2941" t="s">
        <v>538</v>
      </c>
      <c r="C2941">
        <v>2</v>
      </c>
      <c r="D2941">
        <v>1</v>
      </c>
      <c r="E2941">
        <v>50</v>
      </c>
      <c r="F2941" t="s">
        <v>459</v>
      </c>
      <c r="G2941" t="s">
        <v>859</v>
      </c>
      <c r="H2941" s="9" t="s">
        <v>1071</v>
      </c>
      <c r="I2941">
        <f t="shared" si="181"/>
        <v>100</v>
      </c>
      <c r="J2941">
        <f t="shared" si="178"/>
        <v>45.359237</v>
      </c>
      <c r="K2941">
        <v>1.5409999999999999</v>
      </c>
      <c r="L2941">
        <f t="shared" si="180"/>
        <v>69.898584216999993</v>
      </c>
    </row>
    <row r="2942" spans="1:12" x14ac:dyDescent="0.2">
      <c r="A2942" s="4">
        <v>43503</v>
      </c>
      <c r="B2942" t="s">
        <v>538</v>
      </c>
      <c r="C2942">
        <v>2</v>
      </c>
      <c r="D2942">
        <v>1</v>
      </c>
      <c r="E2942">
        <v>25</v>
      </c>
      <c r="F2942" t="s">
        <v>452</v>
      </c>
      <c r="G2942" t="s">
        <v>859</v>
      </c>
      <c r="H2942" s="9" t="s">
        <v>1071</v>
      </c>
      <c r="I2942">
        <f t="shared" si="181"/>
        <v>50</v>
      </c>
      <c r="J2942">
        <f t="shared" si="178"/>
        <v>22.6796185</v>
      </c>
      <c r="K2942">
        <v>1.5409999999999999</v>
      </c>
      <c r="L2942">
        <f t="shared" si="180"/>
        <v>34.949292108499996</v>
      </c>
    </row>
    <row r="2943" spans="1:12" x14ac:dyDescent="0.2">
      <c r="A2943" s="4">
        <v>43500</v>
      </c>
      <c r="B2943" t="s">
        <v>531</v>
      </c>
      <c r="C2943">
        <v>2</v>
      </c>
      <c r="D2943">
        <v>48</v>
      </c>
      <c r="E2943" s="14" t="s">
        <v>1014</v>
      </c>
      <c r="F2943" t="s">
        <v>745</v>
      </c>
      <c r="G2943" s="14" t="s">
        <v>999</v>
      </c>
      <c r="H2943" s="9" t="s">
        <v>1071</v>
      </c>
      <c r="I2943">
        <v>0</v>
      </c>
      <c r="J2943">
        <f t="shared" si="178"/>
        <v>0</v>
      </c>
      <c r="K2943">
        <v>1.28</v>
      </c>
      <c r="L2943">
        <f t="shared" si="180"/>
        <v>0</v>
      </c>
    </row>
    <row r="2944" spans="1:12" x14ac:dyDescent="0.2">
      <c r="A2944" s="10">
        <v>43497</v>
      </c>
      <c r="B2944" s="8" t="s">
        <v>946</v>
      </c>
      <c r="C2944" s="9">
        <v>1</v>
      </c>
      <c r="D2944" s="35">
        <v>1</v>
      </c>
      <c r="E2944" s="9">
        <v>50</v>
      </c>
      <c r="F2944" s="9" t="s">
        <v>954</v>
      </c>
      <c r="G2944" s="9" t="s">
        <v>951</v>
      </c>
      <c r="H2944" s="9" t="s">
        <v>1071</v>
      </c>
      <c r="I2944">
        <f t="shared" ref="I2944:I2975" si="182">C2944*D2944*E2944</f>
        <v>50</v>
      </c>
      <c r="J2944">
        <f t="shared" si="178"/>
        <v>22.6796185</v>
      </c>
      <c r="K2944">
        <v>0.63900000000000001</v>
      </c>
      <c r="L2944">
        <f t="shared" si="180"/>
        <v>14.492276221500001</v>
      </c>
    </row>
    <row r="2945" spans="1:12" x14ac:dyDescent="0.2">
      <c r="A2945" s="4">
        <v>43500</v>
      </c>
      <c r="B2945" t="s">
        <v>517</v>
      </c>
      <c r="C2945">
        <v>2</v>
      </c>
      <c r="D2945">
        <v>12</v>
      </c>
      <c r="E2945">
        <v>0.125</v>
      </c>
      <c r="F2945" t="s">
        <v>520</v>
      </c>
      <c r="G2945" t="s">
        <v>933</v>
      </c>
      <c r="H2945" s="9" t="s">
        <v>1071</v>
      </c>
      <c r="I2945">
        <f t="shared" si="182"/>
        <v>3</v>
      </c>
      <c r="J2945">
        <f t="shared" si="178"/>
        <v>1.3607771100000001</v>
      </c>
      <c r="K2945">
        <v>0.25800000000000001</v>
      </c>
      <c r="L2945">
        <f t="shared" si="180"/>
        <v>0.35108049438000005</v>
      </c>
    </row>
    <row r="2946" spans="1:12" x14ac:dyDescent="0.2">
      <c r="A2946" s="4">
        <v>43497</v>
      </c>
      <c r="B2946" t="s">
        <v>48</v>
      </c>
      <c r="C2946" s="28">
        <v>1</v>
      </c>
      <c r="D2946" s="35">
        <v>1</v>
      </c>
      <c r="E2946">
        <v>20</v>
      </c>
      <c r="F2946" t="s">
        <v>250</v>
      </c>
      <c r="G2946" t="s">
        <v>962</v>
      </c>
      <c r="H2946" s="9" t="s">
        <v>1071</v>
      </c>
      <c r="I2946">
        <f t="shared" si="182"/>
        <v>20</v>
      </c>
      <c r="J2946">
        <f t="shared" si="178"/>
        <v>9.0718474000000011</v>
      </c>
      <c r="K2946">
        <v>1.1539999999999999</v>
      </c>
      <c r="L2946">
        <f t="shared" si="180"/>
        <v>10.4689118996</v>
      </c>
    </row>
    <row r="2947" spans="1:12" x14ac:dyDescent="0.2">
      <c r="A2947" s="4">
        <v>43497</v>
      </c>
      <c r="B2947" t="s">
        <v>517</v>
      </c>
      <c r="C2947">
        <v>3</v>
      </c>
      <c r="D2947">
        <v>1</v>
      </c>
      <c r="E2947">
        <f t="shared" ref="E2947:E2952" si="183">2.5*8.6</f>
        <v>21.5</v>
      </c>
      <c r="F2947" t="s">
        <v>463</v>
      </c>
      <c r="G2947" t="s">
        <v>965</v>
      </c>
      <c r="H2947" s="9" t="s">
        <v>1071</v>
      </c>
      <c r="I2947">
        <f t="shared" si="182"/>
        <v>64.5</v>
      </c>
      <c r="J2947">
        <f t="shared" ref="J2947:J3010" si="184">CONVERT(I2947,"lbm","kg")</f>
        <v>29.256707864999999</v>
      </c>
      <c r="K2947">
        <v>0.25800000000000001</v>
      </c>
      <c r="L2947">
        <f t="shared" si="180"/>
        <v>7.5482306291699999</v>
      </c>
    </row>
    <row r="2948" spans="1:12" x14ac:dyDescent="0.2">
      <c r="A2948" s="4">
        <v>43497</v>
      </c>
      <c r="B2948" t="s">
        <v>517</v>
      </c>
      <c r="C2948">
        <v>3</v>
      </c>
      <c r="D2948">
        <v>1</v>
      </c>
      <c r="E2948">
        <f t="shared" si="183"/>
        <v>21.5</v>
      </c>
      <c r="F2948" t="s">
        <v>464</v>
      </c>
      <c r="G2948" t="s">
        <v>965</v>
      </c>
      <c r="H2948" s="9" t="s">
        <v>1071</v>
      </c>
      <c r="I2948">
        <f t="shared" si="182"/>
        <v>64.5</v>
      </c>
      <c r="J2948">
        <f t="shared" si="184"/>
        <v>29.256707864999999</v>
      </c>
      <c r="K2948">
        <v>0.25800000000000001</v>
      </c>
      <c r="L2948">
        <f t="shared" si="180"/>
        <v>7.5482306291699999</v>
      </c>
    </row>
    <row r="2949" spans="1:12" x14ac:dyDescent="0.2">
      <c r="A2949" s="4">
        <v>43500</v>
      </c>
      <c r="B2949" t="s">
        <v>517</v>
      </c>
      <c r="C2949">
        <v>3</v>
      </c>
      <c r="D2949">
        <v>1</v>
      </c>
      <c r="E2949">
        <f t="shared" si="183"/>
        <v>21.5</v>
      </c>
      <c r="F2949" t="s">
        <v>463</v>
      </c>
      <c r="G2949" t="s">
        <v>965</v>
      </c>
      <c r="H2949" s="9" t="s">
        <v>1071</v>
      </c>
      <c r="I2949">
        <f t="shared" si="182"/>
        <v>64.5</v>
      </c>
      <c r="J2949">
        <f t="shared" si="184"/>
        <v>29.256707864999999</v>
      </c>
      <c r="K2949">
        <v>0.25800000000000001</v>
      </c>
      <c r="L2949">
        <f t="shared" si="180"/>
        <v>7.5482306291699999</v>
      </c>
    </row>
    <row r="2950" spans="1:12" x14ac:dyDescent="0.2">
      <c r="A2950" s="4">
        <v>43500</v>
      </c>
      <c r="B2950" t="s">
        <v>517</v>
      </c>
      <c r="C2950">
        <v>3</v>
      </c>
      <c r="D2950">
        <v>1</v>
      </c>
      <c r="E2950">
        <f t="shared" si="183"/>
        <v>21.5</v>
      </c>
      <c r="F2950" t="s">
        <v>464</v>
      </c>
      <c r="G2950" t="s">
        <v>965</v>
      </c>
      <c r="H2950" s="9" t="s">
        <v>1071</v>
      </c>
      <c r="I2950">
        <f t="shared" si="182"/>
        <v>64.5</v>
      </c>
      <c r="J2950">
        <f t="shared" si="184"/>
        <v>29.256707864999999</v>
      </c>
      <c r="K2950">
        <v>0.25800000000000001</v>
      </c>
      <c r="L2950">
        <f t="shared" si="180"/>
        <v>7.5482306291699999</v>
      </c>
    </row>
    <row r="2951" spans="1:12" x14ac:dyDescent="0.2">
      <c r="A2951" s="4">
        <v>43503</v>
      </c>
      <c r="B2951" t="s">
        <v>517</v>
      </c>
      <c r="C2951">
        <v>3</v>
      </c>
      <c r="D2951">
        <v>1</v>
      </c>
      <c r="E2951">
        <f t="shared" si="183"/>
        <v>21.5</v>
      </c>
      <c r="F2951" t="s">
        <v>463</v>
      </c>
      <c r="G2951" t="s">
        <v>965</v>
      </c>
      <c r="H2951" s="9" t="s">
        <v>1071</v>
      </c>
      <c r="I2951">
        <f t="shared" si="182"/>
        <v>64.5</v>
      </c>
      <c r="J2951">
        <f t="shared" si="184"/>
        <v>29.256707864999999</v>
      </c>
      <c r="K2951">
        <v>0.25800000000000001</v>
      </c>
      <c r="L2951">
        <f t="shared" si="180"/>
        <v>7.5482306291699999</v>
      </c>
    </row>
    <row r="2952" spans="1:12" x14ac:dyDescent="0.2">
      <c r="A2952" s="4">
        <v>43503</v>
      </c>
      <c r="B2952" t="s">
        <v>517</v>
      </c>
      <c r="C2952">
        <v>1</v>
      </c>
      <c r="D2952">
        <v>1</v>
      </c>
      <c r="E2952">
        <f t="shared" si="183"/>
        <v>21.5</v>
      </c>
      <c r="F2952" t="s">
        <v>464</v>
      </c>
      <c r="G2952" t="s">
        <v>965</v>
      </c>
      <c r="H2952" s="9" t="s">
        <v>1071</v>
      </c>
      <c r="I2952">
        <f t="shared" si="182"/>
        <v>21.5</v>
      </c>
      <c r="J2952">
        <f t="shared" si="184"/>
        <v>9.7522359549999997</v>
      </c>
      <c r="K2952">
        <v>0.25800000000000001</v>
      </c>
      <c r="L2952">
        <f t="shared" si="180"/>
        <v>2.5160768763900001</v>
      </c>
    </row>
    <row r="2953" spans="1:12" x14ac:dyDescent="0.2">
      <c r="A2953" s="4">
        <v>43497</v>
      </c>
      <c r="B2953" t="s">
        <v>538</v>
      </c>
      <c r="C2953">
        <v>2</v>
      </c>
      <c r="D2953">
        <v>6</v>
      </c>
      <c r="E2953">
        <v>10.5</v>
      </c>
      <c r="F2953" t="s">
        <v>597</v>
      </c>
      <c r="G2953" t="s">
        <v>869</v>
      </c>
      <c r="H2953" s="9" t="s">
        <v>1071</v>
      </c>
      <c r="I2953">
        <f t="shared" si="182"/>
        <v>126</v>
      </c>
      <c r="J2953">
        <f t="shared" si="184"/>
        <v>57.152638620000005</v>
      </c>
      <c r="K2953">
        <v>0.87</v>
      </c>
      <c r="L2953">
        <f t="shared" si="180"/>
        <v>49.722795599400001</v>
      </c>
    </row>
    <row r="2954" spans="1:12" x14ac:dyDescent="0.2">
      <c r="A2954" s="4">
        <v>43497</v>
      </c>
      <c r="B2954" t="s">
        <v>538</v>
      </c>
      <c r="C2954">
        <v>1</v>
      </c>
      <c r="D2954">
        <v>3</v>
      </c>
      <c r="E2954">
        <v>4.75</v>
      </c>
      <c r="F2954" t="s">
        <v>740</v>
      </c>
      <c r="G2954" t="s">
        <v>869</v>
      </c>
      <c r="H2954" s="9" t="s">
        <v>1071</v>
      </c>
      <c r="I2954">
        <f t="shared" si="182"/>
        <v>14.25</v>
      </c>
      <c r="J2954">
        <f t="shared" si="184"/>
        <v>6.4636912725000002</v>
      </c>
      <c r="K2954">
        <v>0.87</v>
      </c>
      <c r="L2954">
        <f t="shared" si="180"/>
        <v>5.6234114070750003</v>
      </c>
    </row>
    <row r="2955" spans="1:12" x14ac:dyDescent="0.2">
      <c r="A2955" s="4">
        <v>43497</v>
      </c>
      <c r="B2955" t="s">
        <v>538</v>
      </c>
      <c r="C2955">
        <v>3</v>
      </c>
      <c r="D2955">
        <v>6</v>
      </c>
      <c r="E2955">
        <v>0.875</v>
      </c>
      <c r="F2955" t="s">
        <v>741</v>
      </c>
      <c r="G2955" t="s">
        <v>869</v>
      </c>
      <c r="H2955" s="9" t="s">
        <v>1071</v>
      </c>
      <c r="I2955">
        <f t="shared" si="182"/>
        <v>15.75</v>
      </c>
      <c r="J2955">
        <f t="shared" si="184"/>
        <v>7.1440798275000006</v>
      </c>
      <c r="K2955">
        <v>0.87</v>
      </c>
      <c r="L2955">
        <f t="shared" si="180"/>
        <v>6.2153494499250002</v>
      </c>
    </row>
    <row r="2956" spans="1:12" x14ac:dyDescent="0.2">
      <c r="A2956" s="4">
        <v>43497</v>
      </c>
      <c r="B2956" t="s">
        <v>538</v>
      </c>
      <c r="C2956">
        <v>2</v>
      </c>
      <c r="D2956">
        <v>6</v>
      </c>
      <c r="E2956">
        <v>0.875</v>
      </c>
      <c r="F2956" t="s">
        <v>581</v>
      </c>
      <c r="G2956" t="s">
        <v>869</v>
      </c>
      <c r="H2956" s="9" t="s">
        <v>1071</v>
      </c>
      <c r="I2956">
        <f t="shared" si="182"/>
        <v>10.5</v>
      </c>
      <c r="J2956">
        <f t="shared" si="184"/>
        <v>4.7627198850000001</v>
      </c>
      <c r="K2956">
        <v>0.87</v>
      </c>
      <c r="L2956">
        <f t="shared" si="180"/>
        <v>4.1435662999499998</v>
      </c>
    </row>
    <row r="2957" spans="1:12" x14ac:dyDescent="0.2">
      <c r="A2957" s="4">
        <v>43497</v>
      </c>
      <c r="B2957" t="s">
        <v>538</v>
      </c>
      <c r="C2957">
        <v>1</v>
      </c>
      <c r="D2957">
        <v>3</v>
      </c>
      <c r="E2957">
        <v>7.25</v>
      </c>
      <c r="F2957" t="s">
        <v>554</v>
      </c>
      <c r="G2957" t="s">
        <v>869</v>
      </c>
      <c r="H2957" s="9" t="s">
        <v>1071</v>
      </c>
      <c r="I2957">
        <f t="shared" si="182"/>
        <v>21.75</v>
      </c>
      <c r="J2957">
        <f t="shared" si="184"/>
        <v>9.8656340475000004</v>
      </c>
      <c r="K2957">
        <v>0.87</v>
      </c>
      <c r="L2957">
        <f t="shared" si="180"/>
        <v>8.5831016213249995</v>
      </c>
    </row>
    <row r="2958" spans="1:12" x14ac:dyDescent="0.2">
      <c r="A2958" s="4">
        <v>43497</v>
      </c>
      <c r="B2958" t="s">
        <v>538</v>
      </c>
      <c r="C2958">
        <v>2</v>
      </c>
      <c r="D2958">
        <v>6</v>
      </c>
      <c r="E2958">
        <v>1.25</v>
      </c>
      <c r="F2958" t="s">
        <v>598</v>
      </c>
      <c r="G2958" t="s">
        <v>869</v>
      </c>
      <c r="H2958" s="9" t="s">
        <v>1071</v>
      </c>
      <c r="I2958">
        <f t="shared" si="182"/>
        <v>15</v>
      </c>
      <c r="J2958">
        <f t="shared" si="184"/>
        <v>6.8038855500000004</v>
      </c>
      <c r="K2958">
        <v>0.87</v>
      </c>
      <c r="L2958">
        <f t="shared" si="180"/>
        <v>5.9193804285000002</v>
      </c>
    </row>
    <row r="2959" spans="1:12" x14ac:dyDescent="0.2">
      <c r="A2959" s="4">
        <v>43497</v>
      </c>
      <c r="B2959" t="s">
        <v>538</v>
      </c>
      <c r="C2959">
        <v>2</v>
      </c>
      <c r="D2959">
        <v>6</v>
      </c>
      <c r="E2959">
        <v>1</v>
      </c>
      <c r="F2959" t="s">
        <v>582</v>
      </c>
      <c r="G2959" t="s">
        <v>869</v>
      </c>
      <c r="H2959" s="9" t="s">
        <v>1071</v>
      </c>
      <c r="I2959">
        <f t="shared" si="182"/>
        <v>12</v>
      </c>
      <c r="J2959">
        <f t="shared" si="184"/>
        <v>5.4431084400000005</v>
      </c>
      <c r="K2959">
        <v>0.87</v>
      </c>
      <c r="L2959">
        <f t="shared" si="180"/>
        <v>4.7355043428000005</v>
      </c>
    </row>
    <row r="2960" spans="1:12" x14ac:dyDescent="0.2">
      <c r="A2960" s="4">
        <v>43497</v>
      </c>
      <c r="B2960" t="s">
        <v>538</v>
      </c>
      <c r="C2960">
        <v>1</v>
      </c>
      <c r="D2960">
        <v>6</v>
      </c>
      <c r="E2960">
        <v>1</v>
      </c>
      <c r="F2960" t="s">
        <v>742</v>
      </c>
      <c r="G2960" t="s">
        <v>869</v>
      </c>
      <c r="H2960" s="9" t="s">
        <v>1071</v>
      </c>
      <c r="I2960">
        <f t="shared" si="182"/>
        <v>6</v>
      </c>
      <c r="J2960">
        <f t="shared" si="184"/>
        <v>2.7215542200000002</v>
      </c>
      <c r="K2960">
        <v>0.87</v>
      </c>
      <c r="L2960">
        <f t="shared" si="180"/>
        <v>2.3677521714000003</v>
      </c>
    </row>
    <row r="2961" spans="1:12" x14ac:dyDescent="0.2">
      <c r="A2961" s="4">
        <v>43497</v>
      </c>
      <c r="B2961" t="s">
        <v>538</v>
      </c>
      <c r="C2961">
        <v>2</v>
      </c>
      <c r="D2961">
        <v>6</v>
      </c>
      <c r="E2961">
        <v>10.5</v>
      </c>
      <c r="F2961" t="s">
        <v>583</v>
      </c>
      <c r="G2961" t="s">
        <v>987</v>
      </c>
      <c r="H2961" s="9" t="s">
        <v>1071</v>
      </c>
      <c r="I2961">
        <f t="shared" si="182"/>
        <v>126</v>
      </c>
      <c r="J2961">
        <f t="shared" si="184"/>
        <v>57.152638620000005</v>
      </c>
      <c r="K2961">
        <v>0.87</v>
      </c>
      <c r="L2961">
        <f t="shared" si="180"/>
        <v>49.722795599400001</v>
      </c>
    </row>
    <row r="2962" spans="1:12" x14ac:dyDescent="0.2">
      <c r="A2962" s="4">
        <v>43500</v>
      </c>
      <c r="B2962" t="s">
        <v>538</v>
      </c>
      <c r="C2962">
        <v>1</v>
      </c>
      <c r="D2962">
        <v>3</v>
      </c>
      <c r="E2962">
        <v>7.25</v>
      </c>
      <c r="F2962" t="s">
        <v>554</v>
      </c>
      <c r="G2962" t="s">
        <v>869</v>
      </c>
      <c r="H2962" s="9" t="s">
        <v>1071</v>
      </c>
      <c r="I2962">
        <f t="shared" si="182"/>
        <v>21.75</v>
      </c>
      <c r="J2962">
        <f t="shared" si="184"/>
        <v>9.8656340475000004</v>
      </c>
      <c r="K2962">
        <v>0.87</v>
      </c>
      <c r="L2962">
        <f t="shared" si="180"/>
        <v>8.5831016213249995</v>
      </c>
    </row>
    <row r="2963" spans="1:12" x14ac:dyDescent="0.2">
      <c r="A2963" s="4">
        <v>43500</v>
      </c>
      <c r="B2963" t="s">
        <v>538</v>
      </c>
      <c r="C2963">
        <v>1</v>
      </c>
      <c r="D2963">
        <v>6</v>
      </c>
      <c r="E2963">
        <v>1.25</v>
      </c>
      <c r="F2963" t="s">
        <v>598</v>
      </c>
      <c r="G2963" t="s">
        <v>869</v>
      </c>
      <c r="H2963" s="9" t="s">
        <v>1071</v>
      </c>
      <c r="I2963">
        <f t="shared" si="182"/>
        <v>7.5</v>
      </c>
      <c r="J2963">
        <f t="shared" si="184"/>
        <v>3.4019427750000002</v>
      </c>
      <c r="K2963">
        <v>0.87</v>
      </c>
      <c r="L2963">
        <f t="shared" si="180"/>
        <v>2.9596902142500001</v>
      </c>
    </row>
    <row r="2964" spans="1:12" x14ac:dyDescent="0.2">
      <c r="A2964" s="4">
        <v>43500</v>
      </c>
      <c r="B2964" t="s">
        <v>538</v>
      </c>
      <c r="C2964">
        <v>1</v>
      </c>
      <c r="D2964">
        <v>6</v>
      </c>
      <c r="E2964">
        <v>1</v>
      </c>
      <c r="F2964" t="s">
        <v>582</v>
      </c>
      <c r="G2964" t="s">
        <v>869</v>
      </c>
      <c r="H2964" s="9" t="s">
        <v>1071</v>
      </c>
      <c r="I2964">
        <f t="shared" si="182"/>
        <v>6</v>
      </c>
      <c r="J2964">
        <f t="shared" si="184"/>
        <v>2.7215542200000002</v>
      </c>
      <c r="K2964">
        <v>0.87</v>
      </c>
      <c r="L2964">
        <f t="shared" si="180"/>
        <v>2.3677521714000003</v>
      </c>
    </row>
    <row r="2965" spans="1:12" x14ac:dyDescent="0.2">
      <c r="A2965" s="4">
        <v>43500</v>
      </c>
      <c r="B2965" t="s">
        <v>538</v>
      </c>
      <c r="C2965">
        <v>2</v>
      </c>
      <c r="D2965">
        <v>3</v>
      </c>
      <c r="E2965">
        <v>7.5</v>
      </c>
      <c r="F2965" t="s">
        <v>748</v>
      </c>
      <c r="G2965" t="s">
        <v>869</v>
      </c>
      <c r="H2965" s="9" t="s">
        <v>1071</v>
      </c>
      <c r="I2965">
        <f t="shared" si="182"/>
        <v>45</v>
      </c>
      <c r="J2965">
        <f t="shared" si="184"/>
        <v>20.411656650000001</v>
      </c>
      <c r="K2965">
        <v>0.87</v>
      </c>
      <c r="L2965">
        <f t="shared" si="180"/>
        <v>17.758141285500002</v>
      </c>
    </row>
    <row r="2966" spans="1:12" x14ac:dyDescent="0.2">
      <c r="A2966" s="4">
        <v>43500</v>
      </c>
      <c r="B2966" t="s">
        <v>538</v>
      </c>
      <c r="C2966">
        <v>1</v>
      </c>
      <c r="D2966">
        <v>3</v>
      </c>
      <c r="E2966">
        <v>5</v>
      </c>
      <c r="F2966" t="s">
        <v>556</v>
      </c>
      <c r="G2966" t="s">
        <v>869</v>
      </c>
      <c r="H2966" s="9" t="s">
        <v>1071</v>
      </c>
      <c r="I2966">
        <f t="shared" si="182"/>
        <v>15</v>
      </c>
      <c r="J2966">
        <f t="shared" si="184"/>
        <v>6.8038855500000004</v>
      </c>
      <c r="K2966">
        <v>0.87</v>
      </c>
      <c r="L2966">
        <f t="shared" ref="L2966:L3029" si="185">J2966*K2966</f>
        <v>5.9193804285000002</v>
      </c>
    </row>
    <row r="2967" spans="1:12" x14ac:dyDescent="0.2">
      <c r="A2967" s="4">
        <v>43500</v>
      </c>
      <c r="B2967" t="s">
        <v>538</v>
      </c>
      <c r="C2967">
        <v>2</v>
      </c>
      <c r="D2967">
        <v>6</v>
      </c>
      <c r="E2967">
        <v>20.0625</v>
      </c>
      <c r="F2967" t="s">
        <v>750</v>
      </c>
      <c r="G2967" t="s">
        <v>869</v>
      </c>
      <c r="H2967" s="9" t="s">
        <v>1071</v>
      </c>
      <c r="I2967">
        <f t="shared" si="182"/>
        <v>240.75</v>
      </c>
      <c r="J2967">
        <f t="shared" si="184"/>
        <v>109.20236307750001</v>
      </c>
      <c r="K2967">
        <v>0.87</v>
      </c>
      <c r="L2967">
        <f t="shared" si="185"/>
        <v>95.006055877425013</v>
      </c>
    </row>
    <row r="2968" spans="1:12" x14ac:dyDescent="0.2">
      <c r="A2968" s="4">
        <v>43503</v>
      </c>
      <c r="B2968" t="s">
        <v>48</v>
      </c>
      <c r="C2968" s="28">
        <v>1</v>
      </c>
      <c r="D2968" s="35">
        <v>1</v>
      </c>
      <c r="E2968">
        <v>1</v>
      </c>
      <c r="F2968" t="s">
        <v>1005</v>
      </c>
      <c r="G2968" t="s">
        <v>1039</v>
      </c>
      <c r="H2968" s="9" t="s">
        <v>1071</v>
      </c>
      <c r="I2968">
        <f t="shared" si="182"/>
        <v>1</v>
      </c>
      <c r="J2968">
        <f t="shared" si="184"/>
        <v>0.45359237000000002</v>
      </c>
      <c r="K2968">
        <v>0.87</v>
      </c>
      <c r="L2968">
        <f t="shared" si="185"/>
        <v>0.39462536190000003</v>
      </c>
    </row>
    <row r="2969" spans="1:12" x14ac:dyDescent="0.2">
      <c r="A2969" s="4">
        <v>43503</v>
      </c>
      <c r="B2969" t="s">
        <v>48</v>
      </c>
      <c r="C2969" s="28">
        <v>1</v>
      </c>
      <c r="D2969" s="35">
        <v>1</v>
      </c>
      <c r="E2969">
        <v>1</v>
      </c>
      <c r="F2969" t="s">
        <v>711</v>
      </c>
      <c r="G2969" t="s">
        <v>1039</v>
      </c>
      <c r="H2969" s="9" t="s">
        <v>1071</v>
      </c>
      <c r="I2969">
        <f t="shared" si="182"/>
        <v>1</v>
      </c>
      <c r="J2969">
        <f t="shared" si="184"/>
        <v>0.45359237000000002</v>
      </c>
      <c r="K2969">
        <v>0.87</v>
      </c>
      <c r="L2969">
        <f t="shared" si="185"/>
        <v>0.39462536190000003</v>
      </c>
    </row>
    <row r="2970" spans="1:12" x14ac:dyDescent="0.2">
      <c r="A2970" s="4">
        <v>43497</v>
      </c>
      <c r="B2970" t="s">
        <v>538</v>
      </c>
      <c r="C2970">
        <v>2</v>
      </c>
      <c r="D2970">
        <v>6</v>
      </c>
      <c r="E2970">
        <v>10.5</v>
      </c>
      <c r="F2970" t="s">
        <v>552</v>
      </c>
      <c r="G2970" t="s">
        <v>1039</v>
      </c>
      <c r="H2970" s="9" t="s">
        <v>1071</v>
      </c>
      <c r="I2970">
        <f t="shared" si="182"/>
        <v>126</v>
      </c>
      <c r="J2970">
        <f t="shared" si="184"/>
        <v>57.152638620000005</v>
      </c>
      <c r="K2970">
        <v>0.87</v>
      </c>
      <c r="L2970">
        <f t="shared" si="185"/>
        <v>49.722795599400001</v>
      </c>
    </row>
    <row r="2971" spans="1:12" x14ac:dyDescent="0.2">
      <c r="A2971" s="4">
        <v>43497</v>
      </c>
      <c r="B2971" t="s">
        <v>538</v>
      </c>
      <c r="C2971">
        <v>1</v>
      </c>
      <c r="D2971">
        <v>18</v>
      </c>
      <c r="E2971">
        <v>2.25</v>
      </c>
      <c r="F2971" t="s">
        <v>457</v>
      </c>
      <c r="G2971" t="s">
        <v>1039</v>
      </c>
      <c r="H2971" s="9" t="s">
        <v>1071</v>
      </c>
      <c r="I2971">
        <f t="shared" si="182"/>
        <v>40.5</v>
      </c>
      <c r="J2971">
        <f t="shared" si="184"/>
        <v>18.370490985</v>
      </c>
      <c r="K2971">
        <v>0.87</v>
      </c>
      <c r="L2971">
        <f t="shared" si="185"/>
        <v>15.982327156949999</v>
      </c>
    </row>
    <row r="2972" spans="1:12" x14ac:dyDescent="0.2">
      <c r="A2972" s="4">
        <v>43500</v>
      </c>
      <c r="B2972" t="s">
        <v>538</v>
      </c>
      <c r="C2972">
        <v>0</v>
      </c>
      <c r="D2972">
        <v>12</v>
      </c>
      <c r="E2972">
        <v>3</v>
      </c>
      <c r="F2972" t="s">
        <v>451</v>
      </c>
      <c r="G2972" t="s">
        <v>1039</v>
      </c>
      <c r="H2972" s="9" t="s">
        <v>1071</v>
      </c>
      <c r="I2972">
        <f t="shared" si="182"/>
        <v>0</v>
      </c>
      <c r="J2972">
        <f t="shared" si="184"/>
        <v>0</v>
      </c>
      <c r="K2972">
        <v>0.87</v>
      </c>
      <c r="L2972">
        <f t="shared" si="185"/>
        <v>0</v>
      </c>
    </row>
    <row r="2973" spans="1:12" x14ac:dyDescent="0.2">
      <c r="A2973" s="4">
        <v>43500</v>
      </c>
      <c r="B2973" t="s">
        <v>538</v>
      </c>
      <c r="C2973">
        <v>0</v>
      </c>
      <c r="D2973">
        <v>6</v>
      </c>
      <c r="E2973">
        <v>20.125</v>
      </c>
      <c r="F2973" t="s">
        <v>749</v>
      </c>
      <c r="G2973" t="s">
        <v>1039</v>
      </c>
      <c r="H2973" s="9" t="s">
        <v>1071</v>
      </c>
      <c r="I2973">
        <f t="shared" si="182"/>
        <v>0</v>
      </c>
      <c r="J2973">
        <f t="shared" si="184"/>
        <v>0</v>
      </c>
      <c r="K2973">
        <v>0.87</v>
      </c>
      <c r="L2973">
        <f t="shared" si="185"/>
        <v>0</v>
      </c>
    </row>
    <row r="2974" spans="1:12" x14ac:dyDescent="0.2">
      <c r="A2974" s="4">
        <v>43500</v>
      </c>
      <c r="B2974" t="s">
        <v>538</v>
      </c>
      <c r="C2974">
        <v>1</v>
      </c>
      <c r="D2974">
        <v>12</v>
      </c>
      <c r="E2974">
        <v>3</v>
      </c>
      <c r="F2974" t="s">
        <v>451</v>
      </c>
      <c r="G2974" t="s">
        <v>1039</v>
      </c>
      <c r="H2974" s="9" t="s">
        <v>1071</v>
      </c>
      <c r="I2974">
        <f t="shared" si="182"/>
        <v>36</v>
      </c>
      <c r="J2974">
        <f t="shared" si="184"/>
        <v>16.329325319999999</v>
      </c>
      <c r="K2974">
        <v>0.87</v>
      </c>
      <c r="L2974">
        <f t="shared" si="185"/>
        <v>14.206513028399998</v>
      </c>
    </row>
    <row r="2975" spans="1:12" x14ac:dyDescent="0.2">
      <c r="A2975" s="4">
        <v>43503</v>
      </c>
      <c r="B2975" t="s">
        <v>48</v>
      </c>
      <c r="C2975" s="28">
        <v>6</v>
      </c>
      <c r="D2975" s="35">
        <v>1</v>
      </c>
      <c r="E2975">
        <v>10</v>
      </c>
      <c r="F2975" t="s">
        <v>330</v>
      </c>
      <c r="G2975" t="s">
        <v>815</v>
      </c>
      <c r="H2975" s="9" t="s">
        <v>1071</v>
      </c>
      <c r="I2975">
        <f t="shared" si="182"/>
        <v>60</v>
      </c>
      <c r="J2975">
        <f t="shared" si="184"/>
        <v>27.215542200000002</v>
      </c>
      <c r="K2975">
        <v>0.307</v>
      </c>
      <c r="L2975">
        <f t="shared" si="185"/>
        <v>8.3551714554000007</v>
      </c>
    </row>
    <row r="2976" spans="1:12" x14ac:dyDescent="0.2">
      <c r="A2976" s="4">
        <v>43501</v>
      </c>
      <c r="B2976" t="s">
        <v>48</v>
      </c>
      <c r="C2976" s="28">
        <v>5</v>
      </c>
      <c r="D2976" s="35">
        <v>1</v>
      </c>
      <c r="E2976">
        <v>10</v>
      </c>
      <c r="F2976" t="s">
        <v>330</v>
      </c>
      <c r="G2976" t="s">
        <v>815</v>
      </c>
      <c r="H2976" s="9" t="s">
        <v>1071</v>
      </c>
      <c r="I2976">
        <f t="shared" ref="I2976:I3007" si="186">C2976*D2976*E2976</f>
        <v>50</v>
      </c>
      <c r="J2976">
        <f t="shared" si="184"/>
        <v>22.6796185</v>
      </c>
      <c r="K2976">
        <v>0.307</v>
      </c>
      <c r="L2976">
        <f t="shared" si="185"/>
        <v>6.9626428794999997</v>
      </c>
    </row>
    <row r="2977" spans="1:12" x14ac:dyDescent="0.2">
      <c r="A2977" s="4">
        <v>43500</v>
      </c>
      <c r="B2977" t="s">
        <v>48</v>
      </c>
      <c r="C2977" s="28">
        <v>6</v>
      </c>
      <c r="D2977" s="35">
        <v>1</v>
      </c>
      <c r="E2977">
        <v>10</v>
      </c>
      <c r="F2977" t="s">
        <v>330</v>
      </c>
      <c r="G2977" t="s">
        <v>815</v>
      </c>
      <c r="H2977" s="9" t="s">
        <v>1071</v>
      </c>
      <c r="I2977">
        <f t="shared" si="186"/>
        <v>60</v>
      </c>
      <c r="J2977">
        <f t="shared" si="184"/>
        <v>27.215542200000002</v>
      </c>
      <c r="K2977">
        <v>0.307</v>
      </c>
      <c r="L2977">
        <f t="shared" si="185"/>
        <v>8.3551714554000007</v>
      </c>
    </row>
    <row r="2978" spans="1:12" x14ac:dyDescent="0.2">
      <c r="A2978" s="4">
        <v>43497</v>
      </c>
      <c r="B2978" t="s">
        <v>48</v>
      </c>
      <c r="C2978" s="28">
        <v>8</v>
      </c>
      <c r="D2978" s="35">
        <v>1</v>
      </c>
      <c r="E2978">
        <v>10</v>
      </c>
      <c r="F2978" t="s">
        <v>330</v>
      </c>
      <c r="G2978" t="s">
        <v>815</v>
      </c>
      <c r="H2978" s="9" t="s">
        <v>1071</v>
      </c>
      <c r="I2978">
        <f t="shared" si="186"/>
        <v>80</v>
      </c>
      <c r="J2978">
        <f t="shared" si="184"/>
        <v>36.287389600000004</v>
      </c>
      <c r="K2978">
        <v>0.307</v>
      </c>
      <c r="L2978">
        <f t="shared" si="185"/>
        <v>11.140228607200001</v>
      </c>
    </row>
    <row r="2979" spans="1:12" x14ac:dyDescent="0.2">
      <c r="A2979" s="4">
        <v>43497</v>
      </c>
      <c r="B2979" t="s">
        <v>531</v>
      </c>
      <c r="C2979">
        <v>2</v>
      </c>
      <c r="D2979">
        <v>12</v>
      </c>
      <c r="E2979">
        <v>2</v>
      </c>
      <c r="F2979" t="s">
        <v>734</v>
      </c>
      <c r="G2979" t="s">
        <v>996</v>
      </c>
      <c r="H2979" s="9" t="s">
        <v>1071</v>
      </c>
      <c r="I2979">
        <f t="shared" si="186"/>
        <v>48</v>
      </c>
      <c r="J2979">
        <f t="shared" si="184"/>
        <v>21.772433760000002</v>
      </c>
      <c r="K2979">
        <v>0.307</v>
      </c>
      <c r="L2979">
        <f t="shared" si="185"/>
        <v>6.6841371643200009</v>
      </c>
    </row>
    <row r="2980" spans="1:12" x14ac:dyDescent="0.2">
      <c r="A2980" s="4">
        <v>43503</v>
      </c>
      <c r="B2980" t="s">
        <v>48</v>
      </c>
      <c r="C2980" s="28">
        <v>2</v>
      </c>
      <c r="D2980" s="35">
        <v>1</v>
      </c>
      <c r="E2980">
        <v>20</v>
      </c>
      <c r="F2980" t="s">
        <v>707</v>
      </c>
      <c r="G2980" t="s">
        <v>796</v>
      </c>
      <c r="H2980" s="9" t="s">
        <v>1071</v>
      </c>
      <c r="I2980">
        <f t="shared" si="186"/>
        <v>40</v>
      </c>
      <c r="J2980">
        <f t="shared" si="184"/>
        <v>18.143694800000002</v>
      </c>
      <c r="K2980">
        <v>1.2290000000000001</v>
      </c>
      <c r="L2980">
        <f t="shared" si="185"/>
        <v>22.298600909200005</v>
      </c>
    </row>
    <row r="2981" spans="1:12" x14ac:dyDescent="0.2">
      <c r="A2981" s="4">
        <v>43503</v>
      </c>
      <c r="B2981" t="s">
        <v>48</v>
      </c>
      <c r="C2981" s="28">
        <v>3</v>
      </c>
      <c r="D2981" s="35">
        <v>1</v>
      </c>
      <c r="E2981">
        <v>20</v>
      </c>
      <c r="F2981" t="s">
        <v>638</v>
      </c>
      <c r="G2981" t="s">
        <v>796</v>
      </c>
      <c r="H2981" s="9" t="s">
        <v>1071</v>
      </c>
      <c r="I2981">
        <f t="shared" si="186"/>
        <v>60</v>
      </c>
      <c r="J2981">
        <f t="shared" si="184"/>
        <v>27.215542200000002</v>
      </c>
      <c r="K2981">
        <v>1.2290000000000001</v>
      </c>
      <c r="L2981">
        <f t="shared" si="185"/>
        <v>33.447901363800007</v>
      </c>
    </row>
    <row r="2982" spans="1:12" x14ac:dyDescent="0.2">
      <c r="A2982" s="4">
        <v>43503</v>
      </c>
      <c r="B2982" t="s">
        <v>48</v>
      </c>
      <c r="C2982" s="28">
        <v>2</v>
      </c>
      <c r="D2982" s="35">
        <v>1</v>
      </c>
      <c r="E2982">
        <v>20</v>
      </c>
      <c r="F2982" t="s">
        <v>710</v>
      </c>
      <c r="G2982" t="s">
        <v>796</v>
      </c>
      <c r="H2982" s="9" t="s">
        <v>1071</v>
      </c>
      <c r="I2982">
        <f t="shared" si="186"/>
        <v>40</v>
      </c>
      <c r="J2982">
        <f t="shared" si="184"/>
        <v>18.143694800000002</v>
      </c>
      <c r="K2982">
        <v>1.2290000000000001</v>
      </c>
      <c r="L2982">
        <f t="shared" si="185"/>
        <v>22.298600909200005</v>
      </c>
    </row>
    <row r="2983" spans="1:12" x14ac:dyDescent="0.2">
      <c r="A2983" s="4">
        <v>43502</v>
      </c>
      <c r="B2983" t="s">
        <v>48</v>
      </c>
      <c r="C2983" s="28">
        <v>4</v>
      </c>
      <c r="D2983" s="35">
        <v>1</v>
      </c>
      <c r="E2983">
        <v>20</v>
      </c>
      <c r="F2983" t="s">
        <v>707</v>
      </c>
      <c r="G2983" t="s">
        <v>796</v>
      </c>
      <c r="H2983" s="9" t="s">
        <v>1071</v>
      </c>
      <c r="I2983">
        <f t="shared" si="186"/>
        <v>80</v>
      </c>
      <c r="J2983">
        <f t="shared" si="184"/>
        <v>36.287389600000004</v>
      </c>
      <c r="K2983">
        <v>1.2290000000000001</v>
      </c>
      <c r="L2983">
        <f t="shared" si="185"/>
        <v>44.597201818400009</v>
      </c>
    </row>
    <row r="2984" spans="1:12" x14ac:dyDescent="0.2">
      <c r="A2984" s="4">
        <v>43502</v>
      </c>
      <c r="B2984" t="s">
        <v>48</v>
      </c>
      <c r="C2984" s="28">
        <v>4</v>
      </c>
      <c r="D2984" s="35">
        <v>1</v>
      </c>
      <c r="E2984">
        <v>20</v>
      </c>
      <c r="F2984" t="s">
        <v>638</v>
      </c>
      <c r="G2984" t="s">
        <v>796</v>
      </c>
      <c r="H2984" s="9" t="s">
        <v>1071</v>
      </c>
      <c r="I2984">
        <f t="shared" si="186"/>
        <v>80</v>
      </c>
      <c r="J2984">
        <f t="shared" si="184"/>
        <v>36.287389600000004</v>
      </c>
      <c r="K2984">
        <v>1.2290000000000001</v>
      </c>
      <c r="L2984">
        <f t="shared" si="185"/>
        <v>44.597201818400009</v>
      </c>
    </row>
    <row r="2985" spans="1:12" x14ac:dyDescent="0.2">
      <c r="A2985" s="4">
        <v>43500</v>
      </c>
      <c r="B2985" t="s">
        <v>48</v>
      </c>
      <c r="C2985" s="28">
        <v>4</v>
      </c>
      <c r="D2985" s="35">
        <v>1</v>
      </c>
      <c r="E2985">
        <v>20</v>
      </c>
      <c r="F2985" t="s">
        <v>707</v>
      </c>
      <c r="G2985" t="s">
        <v>796</v>
      </c>
      <c r="H2985" s="9" t="s">
        <v>1071</v>
      </c>
      <c r="I2985">
        <f t="shared" si="186"/>
        <v>80</v>
      </c>
      <c r="J2985">
        <f t="shared" si="184"/>
        <v>36.287389600000004</v>
      </c>
      <c r="K2985">
        <v>1.2290000000000001</v>
      </c>
      <c r="L2985">
        <f t="shared" si="185"/>
        <v>44.597201818400009</v>
      </c>
    </row>
    <row r="2986" spans="1:12" x14ac:dyDescent="0.2">
      <c r="A2986" s="4">
        <v>43500</v>
      </c>
      <c r="B2986" t="s">
        <v>48</v>
      </c>
      <c r="C2986" s="28">
        <v>4</v>
      </c>
      <c r="D2986" s="35">
        <v>1</v>
      </c>
      <c r="E2986">
        <v>20</v>
      </c>
      <c r="F2986" t="s">
        <v>638</v>
      </c>
      <c r="G2986" t="s">
        <v>796</v>
      </c>
      <c r="H2986" s="9" t="s">
        <v>1071</v>
      </c>
      <c r="I2986">
        <f t="shared" si="186"/>
        <v>80</v>
      </c>
      <c r="J2986">
        <f t="shared" si="184"/>
        <v>36.287389600000004</v>
      </c>
      <c r="K2986">
        <v>1.2290000000000001</v>
      </c>
      <c r="L2986">
        <f t="shared" si="185"/>
        <v>44.597201818400009</v>
      </c>
    </row>
    <row r="2987" spans="1:12" x14ac:dyDescent="0.2">
      <c r="A2987" s="4">
        <v>43500</v>
      </c>
      <c r="B2987" t="s">
        <v>48</v>
      </c>
      <c r="C2987" s="28">
        <v>3</v>
      </c>
      <c r="D2987" s="35">
        <v>1</v>
      </c>
      <c r="E2987">
        <v>20</v>
      </c>
      <c r="F2987" t="s">
        <v>486</v>
      </c>
      <c r="G2987" t="s">
        <v>796</v>
      </c>
      <c r="H2987" s="9" t="s">
        <v>1071</v>
      </c>
      <c r="I2987">
        <f t="shared" si="186"/>
        <v>60</v>
      </c>
      <c r="J2987">
        <f t="shared" si="184"/>
        <v>27.215542200000002</v>
      </c>
      <c r="K2987">
        <v>1.2290000000000001</v>
      </c>
      <c r="L2987">
        <f t="shared" si="185"/>
        <v>33.447901363800007</v>
      </c>
    </row>
    <row r="2988" spans="1:12" x14ac:dyDescent="0.2">
      <c r="A2988" s="4">
        <v>43498</v>
      </c>
      <c r="B2988" t="s">
        <v>48</v>
      </c>
      <c r="C2988" s="28">
        <v>2</v>
      </c>
      <c r="D2988" s="35">
        <v>1</v>
      </c>
      <c r="E2988">
        <f>3/4*44</f>
        <v>33</v>
      </c>
      <c r="F2988" t="s">
        <v>331</v>
      </c>
      <c r="G2988" t="s">
        <v>796</v>
      </c>
      <c r="H2988" s="9" t="s">
        <v>1071</v>
      </c>
      <c r="I2988">
        <f t="shared" si="186"/>
        <v>66</v>
      </c>
      <c r="J2988">
        <f t="shared" si="184"/>
        <v>29.937096420000003</v>
      </c>
      <c r="K2988">
        <v>1.2290000000000001</v>
      </c>
      <c r="L2988">
        <f t="shared" si="185"/>
        <v>36.792691500180005</v>
      </c>
    </row>
    <row r="2989" spans="1:12" x14ac:dyDescent="0.2">
      <c r="A2989" s="4">
        <v>43498</v>
      </c>
      <c r="B2989" t="s">
        <v>48</v>
      </c>
      <c r="C2989" s="28">
        <v>2</v>
      </c>
      <c r="D2989" s="35">
        <v>1</v>
      </c>
      <c r="E2989">
        <f>0.5*44</f>
        <v>22</v>
      </c>
      <c r="F2989" t="s">
        <v>332</v>
      </c>
      <c r="G2989" t="s">
        <v>796</v>
      </c>
      <c r="H2989" s="9" t="s">
        <v>1071</v>
      </c>
      <c r="I2989">
        <f t="shared" si="186"/>
        <v>44</v>
      </c>
      <c r="J2989">
        <f t="shared" si="184"/>
        <v>19.958064280000002</v>
      </c>
      <c r="K2989">
        <v>1.2290000000000001</v>
      </c>
      <c r="L2989">
        <f t="shared" si="185"/>
        <v>24.528461000120004</v>
      </c>
    </row>
    <row r="2990" spans="1:12" x14ac:dyDescent="0.2">
      <c r="A2990" s="4">
        <v>43497</v>
      </c>
      <c r="B2990" t="s">
        <v>48</v>
      </c>
      <c r="C2990" s="28">
        <v>6</v>
      </c>
      <c r="D2990" s="35">
        <v>1</v>
      </c>
      <c r="E2990">
        <f>3/4*44</f>
        <v>33</v>
      </c>
      <c r="F2990" t="s">
        <v>725</v>
      </c>
      <c r="G2990" t="s">
        <v>796</v>
      </c>
      <c r="H2990" s="9" t="s">
        <v>1071</v>
      </c>
      <c r="I2990">
        <f t="shared" si="186"/>
        <v>198</v>
      </c>
      <c r="J2990">
        <f t="shared" si="184"/>
        <v>89.811289260000009</v>
      </c>
      <c r="K2990">
        <v>1.2290000000000001</v>
      </c>
      <c r="L2990">
        <f t="shared" si="185"/>
        <v>110.37807450054002</v>
      </c>
    </row>
    <row r="2991" spans="1:12" x14ac:dyDescent="0.2">
      <c r="A2991" s="4">
        <v>43497</v>
      </c>
      <c r="B2991" t="s">
        <v>48</v>
      </c>
      <c r="C2991" s="28">
        <v>4</v>
      </c>
      <c r="D2991" s="35">
        <v>1</v>
      </c>
      <c r="E2991">
        <f>0.5*44</f>
        <v>22</v>
      </c>
      <c r="F2991" t="s">
        <v>726</v>
      </c>
      <c r="G2991" t="s">
        <v>796</v>
      </c>
      <c r="H2991" s="9" t="s">
        <v>1071</v>
      </c>
      <c r="I2991">
        <f t="shared" si="186"/>
        <v>88</v>
      </c>
      <c r="J2991">
        <f t="shared" si="184"/>
        <v>39.916128560000004</v>
      </c>
      <c r="K2991">
        <v>1.2290000000000001</v>
      </c>
      <c r="L2991">
        <f t="shared" si="185"/>
        <v>49.056922000240007</v>
      </c>
    </row>
    <row r="2992" spans="1:12" x14ac:dyDescent="0.2">
      <c r="A2992" s="4">
        <v>43498</v>
      </c>
      <c r="B2992" t="s">
        <v>48</v>
      </c>
      <c r="C2992" s="28">
        <v>2</v>
      </c>
      <c r="D2992" s="35">
        <v>1</v>
      </c>
      <c r="E2992">
        <f>3/4*44</f>
        <v>33</v>
      </c>
      <c r="F2992" t="s">
        <v>331</v>
      </c>
      <c r="G2992" t="s">
        <v>796</v>
      </c>
      <c r="H2992" s="9" t="s">
        <v>1071</v>
      </c>
      <c r="I2992">
        <f t="shared" si="186"/>
        <v>66</v>
      </c>
      <c r="J2992">
        <f t="shared" si="184"/>
        <v>29.937096420000003</v>
      </c>
      <c r="K2992">
        <v>1.2290000000000001</v>
      </c>
      <c r="L2992">
        <f t="shared" si="185"/>
        <v>36.792691500180005</v>
      </c>
    </row>
    <row r="2993" spans="1:12" x14ac:dyDescent="0.2">
      <c r="A2993" s="4">
        <v>43498</v>
      </c>
      <c r="B2993" t="s">
        <v>48</v>
      </c>
      <c r="C2993" s="28">
        <v>2</v>
      </c>
      <c r="D2993" s="35">
        <v>1</v>
      </c>
      <c r="E2993">
        <f>0.5*44</f>
        <v>22</v>
      </c>
      <c r="F2993" t="s">
        <v>332</v>
      </c>
      <c r="G2993" t="s">
        <v>796</v>
      </c>
      <c r="H2993" s="9" t="s">
        <v>1071</v>
      </c>
      <c r="I2993">
        <f t="shared" si="186"/>
        <v>44</v>
      </c>
      <c r="J2993">
        <f t="shared" si="184"/>
        <v>19.958064280000002</v>
      </c>
      <c r="K2993">
        <v>1.2290000000000001</v>
      </c>
      <c r="L2993">
        <f t="shared" si="185"/>
        <v>24.528461000120004</v>
      </c>
    </row>
    <row r="2994" spans="1:12" x14ac:dyDescent="0.2">
      <c r="A2994" s="4">
        <v>43503</v>
      </c>
      <c r="B2994" t="s">
        <v>48</v>
      </c>
      <c r="C2994" s="28">
        <v>6</v>
      </c>
      <c r="D2994" s="35">
        <v>1</v>
      </c>
      <c r="E2994">
        <v>8</v>
      </c>
      <c r="F2994" t="s">
        <v>712</v>
      </c>
      <c r="G2994" t="s">
        <v>797</v>
      </c>
      <c r="H2994" s="9" t="s">
        <v>1071</v>
      </c>
      <c r="I2994">
        <f t="shared" si="186"/>
        <v>48</v>
      </c>
      <c r="J2994">
        <f t="shared" si="184"/>
        <v>21.772433760000002</v>
      </c>
      <c r="K2994">
        <v>0.61399999999999999</v>
      </c>
      <c r="L2994">
        <f t="shared" si="185"/>
        <v>13.368274328640002</v>
      </c>
    </row>
    <row r="2995" spans="1:12" x14ac:dyDescent="0.2">
      <c r="A2995" s="4">
        <v>43502</v>
      </c>
      <c r="B2995" t="s">
        <v>48</v>
      </c>
      <c r="C2995" s="28">
        <v>8</v>
      </c>
      <c r="D2995" s="35">
        <v>1</v>
      </c>
      <c r="E2995">
        <v>8</v>
      </c>
      <c r="F2995" t="s">
        <v>716</v>
      </c>
      <c r="G2995" t="s">
        <v>797</v>
      </c>
      <c r="H2995" s="9" t="s">
        <v>1071</v>
      </c>
      <c r="I2995">
        <f t="shared" si="186"/>
        <v>64</v>
      </c>
      <c r="J2995">
        <f t="shared" si="184"/>
        <v>29.029911680000001</v>
      </c>
      <c r="K2995">
        <v>0.61399999999999999</v>
      </c>
      <c r="L2995">
        <f t="shared" si="185"/>
        <v>17.82436577152</v>
      </c>
    </row>
    <row r="2996" spans="1:12" x14ac:dyDescent="0.2">
      <c r="A2996" s="4">
        <v>43501</v>
      </c>
      <c r="B2996" t="s">
        <v>48</v>
      </c>
      <c r="C2996" s="28">
        <v>10</v>
      </c>
      <c r="D2996" s="35">
        <v>1</v>
      </c>
      <c r="E2996">
        <v>8</v>
      </c>
      <c r="F2996" t="s">
        <v>716</v>
      </c>
      <c r="G2996" t="s">
        <v>797</v>
      </c>
      <c r="H2996" s="9" t="s">
        <v>1071</v>
      </c>
      <c r="I2996">
        <f t="shared" si="186"/>
        <v>80</v>
      </c>
      <c r="J2996">
        <f t="shared" si="184"/>
        <v>36.287389600000004</v>
      </c>
      <c r="K2996">
        <v>0.61399999999999999</v>
      </c>
      <c r="L2996">
        <f t="shared" si="185"/>
        <v>22.280457214400002</v>
      </c>
    </row>
    <row r="2997" spans="1:12" x14ac:dyDescent="0.2">
      <c r="A2997" s="4">
        <v>43497</v>
      </c>
      <c r="B2997" t="s">
        <v>48</v>
      </c>
      <c r="C2997" s="28">
        <v>5</v>
      </c>
      <c r="D2997" s="35">
        <v>1</v>
      </c>
      <c r="E2997">
        <v>8</v>
      </c>
      <c r="F2997" t="s">
        <v>333</v>
      </c>
      <c r="G2997" t="s">
        <v>797</v>
      </c>
      <c r="H2997" s="9" t="s">
        <v>1071</v>
      </c>
      <c r="I2997">
        <f t="shared" si="186"/>
        <v>40</v>
      </c>
      <c r="J2997">
        <f t="shared" si="184"/>
        <v>18.143694800000002</v>
      </c>
      <c r="K2997">
        <v>0.61399999999999999</v>
      </c>
      <c r="L2997">
        <f t="shared" si="185"/>
        <v>11.140228607200001</v>
      </c>
    </row>
    <row r="2998" spans="1:12" x14ac:dyDescent="0.2">
      <c r="A2998" s="4">
        <v>43500</v>
      </c>
      <c r="B2998" t="s">
        <v>538</v>
      </c>
      <c r="C2998">
        <v>1</v>
      </c>
      <c r="D2998">
        <v>1</v>
      </c>
      <c r="E2998">
        <v>50</v>
      </c>
      <c r="F2998" t="s">
        <v>425</v>
      </c>
      <c r="G2998" t="s">
        <v>860</v>
      </c>
      <c r="H2998" s="9" t="s">
        <v>1071</v>
      </c>
      <c r="I2998">
        <f t="shared" si="186"/>
        <v>50</v>
      </c>
      <c r="J2998">
        <f t="shared" si="184"/>
        <v>22.6796185</v>
      </c>
      <c r="K2998">
        <v>0.7</v>
      </c>
      <c r="L2998">
        <f t="shared" si="185"/>
        <v>15.87573295</v>
      </c>
    </row>
    <row r="2999" spans="1:12" x14ac:dyDescent="0.2">
      <c r="A2999" s="4">
        <v>43500</v>
      </c>
      <c r="B2999" t="s">
        <v>538</v>
      </c>
      <c r="C2999">
        <v>3</v>
      </c>
      <c r="D2999">
        <v>1</v>
      </c>
      <c r="E2999">
        <v>50</v>
      </c>
      <c r="F2999" t="s">
        <v>434</v>
      </c>
      <c r="G2999" t="s">
        <v>860</v>
      </c>
      <c r="H2999" s="9" t="s">
        <v>1071</v>
      </c>
      <c r="I2999">
        <f t="shared" si="186"/>
        <v>150</v>
      </c>
      <c r="J2999">
        <f t="shared" si="184"/>
        <v>68.038855500000011</v>
      </c>
      <c r="K2999">
        <v>0.7</v>
      </c>
      <c r="L2999">
        <f t="shared" si="185"/>
        <v>47.627198850000006</v>
      </c>
    </row>
    <row r="3000" spans="1:12" x14ac:dyDescent="0.2">
      <c r="A3000" s="4">
        <v>43503</v>
      </c>
      <c r="B3000" t="s">
        <v>538</v>
      </c>
      <c r="C3000">
        <v>1</v>
      </c>
      <c r="D3000">
        <v>1</v>
      </c>
      <c r="E3000">
        <v>50</v>
      </c>
      <c r="F3000" t="s">
        <v>425</v>
      </c>
      <c r="G3000" t="s">
        <v>1055</v>
      </c>
      <c r="H3000" s="9" t="s">
        <v>1071</v>
      </c>
      <c r="I3000">
        <f t="shared" si="186"/>
        <v>50</v>
      </c>
      <c r="J3000">
        <f t="shared" si="184"/>
        <v>22.6796185</v>
      </c>
      <c r="K3000">
        <v>0.7</v>
      </c>
      <c r="L3000">
        <f t="shared" si="185"/>
        <v>15.87573295</v>
      </c>
    </row>
    <row r="3001" spans="1:12" x14ac:dyDescent="0.2">
      <c r="A3001" s="4">
        <v>43497</v>
      </c>
      <c r="B3001" t="s">
        <v>538</v>
      </c>
      <c r="C3001">
        <v>8</v>
      </c>
      <c r="D3001">
        <v>4</v>
      </c>
      <c r="E3001">
        <v>7.9</v>
      </c>
      <c r="F3001" t="s">
        <v>737</v>
      </c>
      <c r="G3001" t="s">
        <v>989</v>
      </c>
      <c r="H3001" s="9" t="s">
        <v>1071</v>
      </c>
      <c r="I3001">
        <f t="shared" si="186"/>
        <v>252.8</v>
      </c>
      <c r="J3001">
        <f t="shared" si="184"/>
        <v>114.66815113600002</v>
      </c>
      <c r="K3001">
        <v>2.6459999999999999</v>
      </c>
      <c r="L3001">
        <f t="shared" si="185"/>
        <v>303.41192790585603</v>
      </c>
    </row>
    <row r="3002" spans="1:12" x14ac:dyDescent="0.2">
      <c r="A3002" s="4">
        <v>43497</v>
      </c>
      <c r="B3002" t="s">
        <v>538</v>
      </c>
      <c r="C3002">
        <v>3</v>
      </c>
      <c r="D3002">
        <v>1</v>
      </c>
      <c r="E3002">
        <v>35</v>
      </c>
      <c r="F3002" t="s">
        <v>441</v>
      </c>
      <c r="G3002" t="s">
        <v>989</v>
      </c>
      <c r="H3002" s="9" t="s">
        <v>1071</v>
      </c>
      <c r="I3002">
        <f t="shared" si="186"/>
        <v>105</v>
      </c>
      <c r="J3002">
        <f t="shared" si="184"/>
        <v>47.627198849999999</v>
      </c>
      <c r="K3002">
        <v>2.6459999999999999</v>
      </c>
      <c r="L3002">
        <f t="shared" si="185"/>
        <v>126.02156815709999</v>
      </c>
    </row>
    <row r="3003" spans="1:12" x14ac:dyDescent="0.2">
      <c r="A3003" s="4">
        <v>43500</v>
      </c>
      <c r="B3003" t="s">
        <v>538</v>
      </c>
      <c r="C3003">
        <v>8</v>
      </c>
      <c r="D3003">
        <v>4</v>
      </c>
      <c r="E3003">
        <v>7.9</v>
      </c>
      <c r="F3003" t="s">
        <v>737</v>
      </c>
      <c r="G3003" t="s">
        <v>989</v>
      </c>
      <c r="H3003" s="9" t="s">
        <v>1071</v>
      </c>
      <c r="I3003">
        <f t="shared" si="186"/>
        <v>252.8</v>
      </c>
      <c r="J3003">
        <f t="shared" si="184"/>
        <v>114.66815113600002</v>
      </c>
      <c r="K3003">
        <v>2.6459999999999999</v>
      </c>
      <c r="L3003">
        <f t="shared" si="185"/>
        <v>303.41192790585603</v>
      </c>
    </row>
    <row r="3004" spans="1:12" x14ac:dyDescent="0.2">
      <c r="A3004" s="4">
        <v>43500</v>
      </c>
      <c r="B3004" t="s">
        <v>538</v>
      </c>
      <c r="C3004">
        <v>3</v>
      </c>
      <c r="D3004">
        <v>1</v>
      </c>
      <c r="E3004">
        <v>35</v>
      </c>
      <c r="F3004" t="s">
        <v>441</v>
      </c>
      <c r="G3004" t="s">
        <v>989</v>
      </c>
      <c r="H3004" s="9" t="s">
        <v>1071</v>
      </c>
      <c r="I3004">
        <f t="shared" si="186"/>
        <v>105</v>
      </c>
      <c r="J3004">
        <f t="shared" si="184"/>
        <v>47.627198849999999</v>
      </c>
      <c r="K3004">
        <v>2.6459999999999999</v>
      </c>
      <c r="L3004">
        <f t="shared" si="185"/>
        <v>126.02156815709999</v>
      </c>
    </row>
    <row r="3005" spans="1:12" x14ac:dyDescent="0.2">
      <c r="A3005" s="4">
        <v>43503</v>
      </c>
      <c r="B3005" t="s">
        <v>538</v>
      </c>
      <c r="C3005">
        <v>1</v>
      </c>
      <c r="D3005">
        <v>3</v>
      </c>
      <c r="E3005">
        <v>2</v>
      </c>
      <c r="F3005" t="s">
        <v>660</v>
      </c>
      <c r="G3005" t="s">
        <v>977</v>
      </c>
      <c r="H3005" s="9" t="s">
        <v>1071</v>
      </c>
      <c r="I3005">
        <f t="shared" si="186"/>
        <v>6</v>
      </c>
      <c r="J3005">
        <f t="shared" si="184"/>
        <v>2.7215542200000002</v>
      </c>
      <c r="K3005">
        <v>2.6459999999999999</v>
      </c>
      <c r="L3005">
        <f t="shared" si="185"/>
        <v>7.2012324661200005</v>
      </c>
    </row>
    <row r="3006" spans="1:12" x14ac:dyDescent="0.2">
      <c r="A3006" s="4">
        <v>43503</v>
      </c>
      <c r="B3006" t="s">
        <v>538</v>
      </c>
      <c r="C3006">
        <v>3</v>
      </c>
      <c r="D3006">
        <v>1</v>
      </c>
      <c r="E3006">
        <v>35</v>
      </c>
      <c r="F3006" t="s">
        <v>441</v>
      </c>
      <c r="G3006" t="s">
        <v>977</v>
      </c>
      <c r="H3006" s="9" t="s">
        <v>1071</v>
      </c>
      <c r="I3006">
        <f t="shared" si="186"/>
        <v>105</v>
      </c>
      <c r="J3006">
        <f t="shared" si="184"/>
        <v>47.627198849999999</v>
      </c>
      <c r="K3006">
        <v>2.6459999999999999</v>
      </c>
      <c r="L3006">
        <f t="shared" si="185"/>
        <v>126.02156815709999</v>
      </c>
    </row>
    <row r="3007" spans="1:12" x14ac:dyDescent="0.2">
      <c r="A3007" s="4">
        <v>43503</v>
      </c>
      <c r="B3007" t="s">
        <v>538</v>
      </c>
      <c r="C3007">
        <v>3</v>
      </c>
      <c r="D3007">
        <v>4</v>
      </c>
      <c r="E3007">
        <v>7.9</v>
      </c>
      <c r="F3007" t="s">
        <v>455</v>
      </c>
      <c r="G3007" t="s">
        <v>989</v>
      </c>
      <c r="H3007" s="9" t="s">
        <v>1071</v>
      </c>
      <c r="I3007">
        <f t="shared" si="186"/>
        <v>94.800000000000011</v>
      </c>
      <c r="J3007">
        <f t="shared" si="184"/>
        <v>43.000556676000009</v>
      </c>
      <c r="K3007">
        <v>2.6459999999999999</v>
      </c>
      <c r="L3007">
        <f t="shared" si="185"/>
        <v>113.77947296469603</v>
      </c>
    </row>
    <row r="3008" spans="1:12" x14ac:dyDescent="0.2">
      <c r="A3008" s="4">
        <v>43497</v>
      </c>
      <c r="B3008" t="s">
        <v>538</v>
      </c>
      <c r="C3008">
        <v>1</v>
      </c>
      <c r="D3008">
        <v>3</v>
      </c>
      <c r="E3008">
        <v>2</v>
      </c>
      <c r="F3008" t="s">
        <v>660</v>
      </c>
      <c r="G3008" t="s">
        <v>1050</v>
      </c>
      <c r="H3008" s="9" t="s">
        <v>1071</v>
      </c>
      <c r="I3008">
        <f t="shared" ref="I3008:I3039" si="187">C3008*D3008*E3008</f>
        <v>6</v>
      </c>
      <c r="J3008">
        <f t="shared" si="184"/>
        <v>2.7215542200000002</v>
      </c>
      <c r="K3008">
        <v>0.84799999999999998</v>
      </c>
      <c r="L3008">
        <f t="shared" si="185"/>
        <v>2.3078779785600001</v>
      </c>
    </row>
    <row r="3009" spans="1:12" x14ac:dyDescent="0.2">
      <c r="A3009" s="4">
        <v>43497</v>
      </c>
      <c r="B3009" t="s">
        <v>22</v>
      </c>
      <c r="C3009" s="35">
        <v>1</v>
      </c>
      <c r="D3009" s="35">
        <v>1</v>
      </c>
      <c r="E3009">
        <v>120</v>
      </c>
      <c r="F3009" t="s">
        <v>24</v>
      </c>
      <c r="G3009" t="s">
        <v>512</v>
      </c>
      <c r="H3009" s="9" t="s">
        <v>1071</v>
      </c>
      <c r="I3009">
        <f t="shared" si="187"/>
        <v>120</v>
      </c>
      <c r="J3009">
        <f t="shared" si="184"/>
        <v>54.431084400000003</v>
      </c>
      <c r="K3009">
        <v>0.30199999999999999</v>
      </c>
      <c r="L3009">
        <f t="shared" si="185"/>
        <v>16.438187488800001</v>
      </c>
    </row>
    <row r="3010" spans="1:12" x14ac:dyDescent="0.2">
      <c r="A3010" s="4">
        <v>43501</v>
      </c>
      <c r="B3010" t="s">
        <v>22</v>
      </c>
      <c r="C3010" s="35">
        <v>1</v>
      </c>
      <c r="D3010" s="35">
        <v>1</v>
      </c>
      <c r="E3010">
        <v>120</v>
      </c>
      <c r="F3010" t="s">
        <v>24</v>
      </c>
      <c r="G3010" t="s">
        <v>512</v>
      </c>
      <c r="H3010" s="9" t="s">
        <v>1071</v>
      </c>
      <c r="I3010">
        <f t="shared" si="187"/>
        <v>120</v>
      </c>
      <c r="J3010">
        <f t="shared" si="184"/>
        <v>54.431084400000003</v>
      </c>
      <c r="K3010">
        <v>0.30199999999999999</v>
      </c>
      <c r="L3010">
        <f t="shared" si="185"/>
        <v>16.438187488800001</v>
      </c>
    </row>
    <row r="3011" spans="1:12" x14ac:dyDescent="0.2">
      <c r="A3011" s="4">
        <v>43502</v>
      </c>
      <c r="B3011" t="s">
        <v>48</v>
      </c>
      <c r="C3011" s="28">
        <v>2</v>
      </c>
      <c r="D3011" s="35">
        <v>1</v>
      </c>
      <c r="E3011">
        <v>40</v>
      </c>
      <c r="F3011" t="s">
        <v>640</v>
      </c>
      <c r="G3011" t="s">
        <v>1041</v>
      </c>
      <c r="H3011" s="9" t="s">
        <v>1071</v>
      </c>
      <c r="I3011">
        <f t="shared" si="187"/>
        <v>80</v>
      </c>
      <c r="J3011">
        <f t="shared" ref="J3011:J3061" si="188">CONVERT(I3011,"lbm","kg")</f>
        <v>36.287389600000004</v>
      </c>
      <c r="K3011">
        <v>0.30199999999999999</v>
      </c>
      <c r="L3011">
        <f t="shared" si="185"/>
        <v>10.958791659200001</v>
      </c>
    </row>
    <row r="3012" spans="1:12" x14ac:dyDescent="0.2">
      <c r="A3012" s="4">
        <v>43498</v>
      </c>
      <c r="B3012" t="s">
        <v>48</v>
      </c>
      <c r="C3012" s="28">
        <v>4</v>
      </c>
      <c r="D3012" s="35">
        <v>1</v>
      </c>
      <c r="E3012">
        <v>40</v>
      </c>
      <c r="F3012" t="s">
        <v>640</v>
      </c>
      <c r="G3012" t="s">
        <v>1041</v>
      </c>
      <c r="H3012" s="9" t="s">
        <v>1071</v>
      </c>
      <c r="I3012">
        <f t="shared" si="187"/>
        <v>160</v>
      </c>
      <c r="J3012">
        <f t="shared" si="188"/>
        <v>72.574779200000009</v>
      </c>
      <c r="K3012">
        <v>0.30199999999999999</v>
      </c>
      <c r="L3012">
        <f t="shared" si="185"/>
        <v>21.917583318400002</v>
      </c>
    </row>
    <row r="3013" spans="1:12" x14ac:dyDescent="0.2">
      <c r="A3013" s="4">
        <v>43497</v>
      </c>
      <c r="B3013" t="s">
        <v>48</v>
      </c>
      <c r="C3013" s="28">
        <v>1</v>
      </c>
      <c r="D3013" s="35">
        <v>1</v>
      </c>
      <c r="E3013">
        <v>40</v>
      </c>
      <c r="F3013" t="s">
        <v>350</v>
      </c>
      <c r="G3013" t="s">
        <v>512</v>
      </c>
      <c r="H3013" s="9" t="s">
        <v>1071</v>
      </c>
      <c r="I3013">
        <f t="shared" si="187"/>
        <v>40</v>
      </c>
      <c r="J3013">
        <f t="shared" si="188"/>
        <v>18.143694800000002</v>
      </c>
      <c r="K3013">
        <v>0.30199999999999999</v>
      </c>
      <c r="L3013">
        <f t="shared" si="185"/>
        <v>5.4793958296000005</v>
      </c>
    </row>
    <row r="3014" spans="1:12" x14ac:dyDescent="0.2">
      <c r="A3014" s="4">
        <v>43497</v>
      </c>
      <c r="B3014" t="s">
        <v>538</v>
      </c>
      <c r="C3014">
        <v>2</v>
      </c>
      <c r="D3014">
        <v>4</v>
      </c>
      <c r="E3014">
        <v>11.01</v>
      </c>
      <c r="F3014" t="s">
        <v>435</v>
      </c>
      <c r="G3014" t="s">
        <v>991</v>
      </c>
      <c r="H3014" s="9" t="s">
        <v>1071</v>
      </c>
      <c r="I3014">
        <f t="shared" si="187"/>
        <v>88.08</v>
      </c>
      <c r="J3014">
        <f t="shared" si="188"/>
        <v>39.952415949600002</v>
      </c>
      <c r="K3014">
        <v>6.7539999999999996</v>
      </c>
      <c r="L3014">
        <f t="shared" si="185"/>
        <v>269.83861732359838</v>
      </c>
    </row>
    <row r="3015" spans="1:12" x14ac:dyDescent="0.2">
      <c r="A3015" s="4">
        <v>43503</v>
      </c>
      <c r="B3015" t="s">
        <v>48</v>
      </c>
      <c r="C3015" s="28">
        <v>3</v>
      </c>
      <c r="D3015" s="35">
        <v>1</v>
      </c>
      <c r="E3015">
        <v>4.1719999999999997</v>
      </c>
      <c r="F3015" t="s">
        <v>278</v>
      </c>
      <c r="G3015" t="s">
        <v>798</v>
      </c>
      <c r="H3015" s="9" t="s">
        <v>1071</v>
      </c>
      <c r="I3015">
        <f t="shared" si="187"/>
        <v>12.515999999999998</v>
      </c>
      <c r="J3015">
        <f t="shared" si="188"/>
        <v>5.6771621029199997</v>
      </c>
      <c r="K3015">
        <v>1.6639999999999999</v>
      </c>
      <c r="L3015">
        <f t="shared" si="185"/>
        <v>9.4467977392588782</v>
      </c>
    </row>
    <row r="3016" spans="1:12" x14ac:dyDescent="0.2">
      <c r="A3016" s="4">
        <v>43502</v>
      </c>
      <c r="B3016" t="s">
        <v>48</v>
      </c>
      <c r="C3016" s="28">
        <v>6</v>
      </c>
      <c r="D3016" s="35">
        <v>1</v>
      </c>
      <c r="E3016">
        <v>4.1719999999999997</v>
      </c>
      <c r="F3016" t="s">
        <v>278</v>
      </c>
      <c r="G3016" t="s">
        <v>798</v>
      </c>
      <c r="H3016" s="9" t="s">
        <v>1071</v>
      </c>
      <c r="I3016">
        <f t="shared" si="187"/>
        <v>25.031999999999996</v>
      </c>
      <c r="J3016">
        <f t="shared" si="188"/>
        <v>11.354324205839999</v>
      </c>
      <c r="K3016">
        <v>1.6639999999999999</v>
      </c>
      <c r="L3016">
        <f t="shared" si="185"/>
        <v>18.893595478517756</v>
      </c>
    </row>
    <row r="3017" spans="1:12" x14ac:dyDescent="0.2">
      <c r="A3017" s="4">
        <v>43501</v>
      </c>
      <c r="B3017" t="s">
        <v>48</v>
      </c>
      <c r="C3017" s="28">
        <v>1</v>
      </c>
      <c r="D3017" s="35">
        <v>1</v>
      </c>
      <c r="E3017">
        <v>4.1719999999999997</v>
      </c>
      <c r="F3017" t="s">
        <v>278</v>
      </c>
      <c r="G3017" t="s">
        <v>798</v>
      </c>
      <c r="H3017" s="9" t="s">
        <v>1071</v>
      </c>
      <c r="I3017">
        <f t="shared" si="187"/>
        <v>4.1719999999999997</v>
      </c>
      <c r="J3017">
        <f t="shared" si="188"/>
        <v>1.8923873676399998</v>
      </c>
      <c r="K3017">
        <v>1.6639999999999999</v>
      </c>
      <c r="L3017">
        <f t="shared" si="185"/>
        <v>3.1489325797529597</v>
      </c>
    </row>
    <row r="3018" spans="1:12" x14ac:dyDescent="0.2">
      <c r="A3018" s="4">
        <v>43500</v>
      </c>
      <c r="B3018" t="s">
        <v>48</v>
      </c>
      <c r="C3018" s="28">
        <v>5</v>
      </c>
      <c r="D3018" s="35">
        <v>1</v>
      </c>
      <c r="E3018">
        <v>4.1719999999999997</v>
      </c>
      <c r="F3018" t="s">
        <v>278</v>
      </c>
      <c r="G3018" t="s">
        <v>798</v>
      </c>
      <c r="H3018" s="9" t="s">
        <v>1071</v>
      </c>
      <c r="I3018">
        <f t="shared" si="187"/>
        <v>20.86</v>
      </c>
      <c r="J3018">
        <f t="shared" si="188"/>
        <v>9.4619368381999998</v>
      </c>
      <c r="K3018">
        <v>1.6639999999999999</v>
      </c>
      <c r="L3018">
        <f t="shared" si="185"/>
        <v>15.744662898764799</v>
      </c>
    </row>
    <row r="3019" spans="1:12" x14ac:dyDescent="0.2">
      <c r="A3019" s="4">
        <v>43497</v>
      </c>
      <c r="B3019" t="s">
        <v>48</v>
      </c>
      <c r="C3019" s="28">
        <v>8</v>
      </c>
      <c r="D3019" s="35">
        <v>1</v>
      </c>
      <c r="E3019">
        <v>4.1719999999999997</v>
      </c>
      <c r="F3019" t="s">
        <v>278</v>
      </c>
      <c r="G3019" t="s">
        <v>798</v>
      </c>
      <c r="H3019" s="9" t="s">
        <v>1071</v>
      </c>
      <c r="I3019">
        <f t="shared" si="187"/>
        <v>33.375999999999998</v>
      </c>
      <c r="J3019">
        <f t="shared" si="188"/>
        <v>15.139098941119999</v>
      </c>
      <c r="K3019">
        <v>1.6639999999999999</v>
      </c>
      <c r="L3019">
        <f t="shared" si="185"/>
        <v>25.191460638023678</v>
      </c>
    </row>
    <row r="3020" spans="1:12" x14ac:dyDescent="0.2">
      <c r="A3020" s="4">
        <v>43503</v>
      </c>
      <c r="B3020" t="s">
        <v>48</v>
      </c>
      <c r="C3020" s="28">
        <v>5</v>
      </c>
      <c r="D3020" s="35">
        <v>1</v>
      </c>
      <c r="E3020">
        <v>10</v>
      </c>
      <c r="F3020" t="s">
        <v>628</v>
      </c>
      <c r="G3020" t="s">
        <v>334</v>
      </c>
      <c r="H3020" s="9" t="s">
        <v>1071</v>
      </c>
      <c r="I3020">
        <f t="shared" si="187"/>
        <v>50</v>
      </c>
      <c r="J3020">
        <f t="shared" si="188"/>
        <v>22.6796185</v>
      </c>
      <c r="K3020">
        <v>0.47</v>
      </c>
      <c r="L3020">
        <f t="shared" si="185"/>
        <v>10.659420695</v>
      </c>
    </row>
    <row r="3021" spans="1:12" x14ac:dyDescent="0.2">
      <c r="A3021" s="4">
        <v>43502</v>
      </c>
      <c r="B3021" t="s">
        <v>48</v>
      </c>
      <c r="C3021" s="28">
        <v>2</v>
      </c>
      <c r="D3021" s="35">
        <v>1</v>
      </c>
      <c r="E3021">
        <v>10</v>
      </c>
      <c r="F3021" t="s">
        <v>328</v>
      </c>
      <c r="G3021" t="s">
        <v>334</v>
      </c>
      <c r="H3021" s="9" t="s">
        <v>1071</v>
      </c>
      <c r="I3021">
        <f t="shared" si="187"/>
        <v>20</v>
      </c>
      <c r="J3021">
        <f t="shared" si="188"/>
        <v>9.0718474000000011</v>
      </c>
      <c r="K3021">
        <v>0.47</v>
      </c>
      <c r="L3021">
        <f t="shared" si="185"/>
        <v>4.2637682780000006</v>
      </c>
    </row>
    <row r="3022" spans="1:12" x14ac:dyDescent="0.2">
      <c r="A3022" s="4">
        <v>43502</v>
      </c>
      <c r="B3022" t="s">
        <v>48</v>
      </c>
      <c r="C3022" s="28">
        <v>8</v>
      </c>
      <c r="D3022" s="35">
        <v>1</v>
      </c>
      <c r="E3022">
        <v>10</v>
      </c>
      <c r="F3022" t="s">
        <v>628</v>
      </c>
      <c r="G3022" t="s">
        <v>334</v>
      </c>
      <c r="H3022" s="9" t="s">
        <v>1071</v>
      </c>
      <c r="I3022">
        <f t="shared" si="187"/>
        <v>80</v>
      </c>
      <c r="J3022">
        <f t="shared" si="188"/>
        <v>36.287389600000004</v>
      </c>
      <c r="K3022">
        <v>0.47</v>
      </c>
      <c r="L3022">
        <f t="shared" si="185"/>
        <v>17.055073112000002</v>
      </c>
    </row>
    <row r="3023" spans="1:12" x14ac:dyDescent="0.2">
      <c r="A3023" s="4">
        <v>43502</v>
      </c>
      <c r="B3023" t="s">
        <v>48</v>
      </c>
      <c r="C3023" s="28">
        <v>1</v>
      </c>
      <c r="D3023" s="35">
        <v>1</v>
      </c>
      <c r="E3023">
        <f>10/9*(53)</f>
        <v>58.888888888888893</v>
      </c>
      <c r="F3023" t="s">
        <v>718</v>
      </c>
      <c r="G3023" t="s">
        <v>334</v>
      </c>
      <c r="H3023" s="9" t="s">
        <v>1071</v>
      </c>
      <c r="I3023">
        <f t="shared" si="187"/>
        <v>58.888888888888893</v>
      </c>
      <c r="J3023">
        <f t="shared" si="188"/>
        <v>26.711550677777783</v>
      </c>
      <c r="K3023">
        <v>0.47</v>
      </c>
      <c r="L3023">
        <f t="shared" si="185"/>
        <v>12.554428818555557</v>
      </c>
    </row>
    <row r="3024" spans="1:12" x14ac:dyDescent="0.2">
      <c r="A3024" s="4">
        <v>43501</v>
      </c>
      <c r="B3024" t="s">
        <v>48</v>
      </c>
      <c r="C3024" s="28">
        <v>1</v>
      </c>
      <c r="D3024" s="35">
        <v>1</v>
      </c>
      <c r="E3024">
        <v>10</v>
      </c>
      <c r="F3024" t="s">
        <v>328</v>
      </c>
      <c r="G3024" t="s">
        <v>334</v>
      </c>
      <c r="H3024" s="9" t="s">
        <v>1071</v>
      </c>
      <c r="I3024">
        <f t="shared" si="187"/>
        <v>10</v>
      </c>
      <c r="J3024">
        <f t="shared" si="188"/>
        <v>4.5359237000000006</v>
      </c>
      <c r="K3024">
        <v>0.47</v>
      </c>
      <c r="L3024">
        <f t="shared" si="185"/>
        <v>2.1318841390000003</v>
      </c>
    </row>
    <row r="3025" spans="1:12" x14ac:dyDescent="0.2">
      <c r="A3025" s="4">
        <v>43501</v>
      </c>
      <c r="B3025" t="s">
        <v>48</v>
      </c>
      <c r="C3025" s="28">
        <v>4</v>
      </c>
      <c r="D3025" s="35">
        <v>1</v>
      </c>
      <c r="E3025">
        <v>10</v>
      </c>
      <c r="F3025" t="s">
        <v>628</v>
      </c>
      <c r="G3025" t="s">
        <v>334</v>
      </c>
      <c r="H3025" s="9" t="s">
        <v>1071</v>
      </c>
      <c r="I3025">
        <f t="shared" si="187"/>
        <v>40</v>
      </c>
      <c r="J3025">
        <f t="shared" si="188"/>
        <v>18.143694800000002</v>
      </c>
      <c r="K3025">
        <v>0.47</v>
      </c>
      <c r="L3025">
        <f t="shared" si="185"/>
        <v>8.5275365560000012</v>
      </c>
    </row>
    <row r="3026" spans="1:12" x14ac:dyDescent="0.2">
      <c r="A3026" s="4">
        <v>43501</v>
      </c>
      <c r="B3026" t="s">
        <v>48</v>
      </c>
      <c r="C3026" s="28">
        <v>2</v>
      </c>
      <c r="D3026" s="35">
        <v>1</v>
      </c>
      <c r="E3026">
        <v>25</v>
      </c>
      <c r="F3026" t="s">
        <v>719</v>
      </c>
      <c r="G3026" t="s">
        <v>334</v>
      </c>
      <c r="H3026" s="9" t="s">
        <v>1071</v>
      </c>
      <c r="I3026">
        <f t="shared" si="187"/>
        <v>50</v>
      </c>
      <c r="J3026">
        <f t="shared" si="188"/>
        <v>22.6796185</v>
      </c>
      <c r="K3026">
        <v>0.47</v>
      </c>
      <c r="L3026">
        <f t="shared" si="185"/>
        <v>10.659420695</v>
      </c>
    </row>
    <row r="3027" spans="1:12" x14ac:dyDescent="0.2">
      <c r="A3027" s="4">
        <v>43500</v>
      </c>
      <c r="B3027" t="s">
        <v>48</v>
      </c>
      <c r="C3027" s="28">
        <v>1</v>
      </c>
      <c r="D3027" s="35">
        <v>1</v>
      </c>
      <c r="E3027">
        <v>10</v>
      </c>
      <c r="F3027" t="s">
        <v>328</v>
      </c>
      <c r="G3027" t="s">
        <v>334</v>
      </c>
      <c r="H3027" s="9" t="s">
        <v>1071</v>
      </c>
      <c r="I3027">
        <f t="shared" si="187"/>
        <v>10</v>
      </c>
      <c r="J3027">
        <f t="shared" si="188"/>
        <v>4.5359237000000006</v>
      </c>
      <c r="K3027">
        <v>0.47</v>
      </c>
      <c r="L3027">
        <f t="shared" si="185"/>
        <v>2.1318841390000003</v>
      </c>
    </row>
    <row r="3028" spans="1:12" x14ac:dyDescent="0.2">
      <c r="A3028" s="4">
        <v>43500</v>
      </c>
      <c r="B3028" t="s">
        <v>48</v>
      </c>
      <c r="C3028" s="28">
        <v>2</v>
      </c>
      <c r="D3028" s="35">
        <v>1</v>
      </c>
      <c r="E3028">
        <v>20</v>
      </c>
      <c r="F3028" t="s">
        <v>334</v>
      </c>
      <c r="G3028" t="s">
        <v>334</v>
      </c>
      <c r="H3028" s="9" t="s">
        <v>1071</v>
      </c>
      <c r="I3028">
        <f t="shared" si="187"/>
        <v>40</v>
      </c>
      <c r="J3028">
        <f t="shared" si="188"/>
        <v>18.143694800000002</v>
      </c>
      <c r="K3028">
        <v>0.47</v>
      </c>
      <c r="L3028">
        <f t="shared" si="185"/>
        <v>8.5275365560000012</v>
      </c>
    </row>
    <row r="3029" spans="1:12" x14ac:dyDescent="0.2">
      <c r="A3029" s="4">
        <v>43500</v>
      </c>
      <c r="B3029" t="s">
        <v>48</v>
      </c>
      <c r="C3029" s="28">
        <v>8</v>
      </c>
      <c r="D3029" s="35">
        <v>1</v>
      </c>
      <c r="E3029">
        <v>10</v>
      </c>
      <c r="F3029" t="s">
        <v>628</v>
      </c>
      <c r="G3029" t="s">
        <v>334</v>
      </c>
      <c r="H3029" s="9" t="s">
        <v>1071</v>
      </c>
      <c r="I3029">
        <f t="shared" si="187"/>
        <v>80</v>
      </c>
      <c r="J3029">
        <f t="shared" si="188"/>
        <v>36.287389600000004</v>
      </c>
      <c r="K3029">
        <v>0.47</v>
      </c>
      <c r="L3029">
        <f t="shared" si="185"/>
        <v>17.055073112000002</v>
      </c>
    </row>
    <row r="3030" spans="1:12" x14ac:dyDescent="0.2">
      <c r="A3030" s="4">
        <v>43500</v>
      </c>
      <c r="B3030" t="s">
        <v>48</v>
      </c>
      <c r="C3030" s="28">
        <v>2</v>
      </c>
      <c r="D3030" s="35">
        <v>1</v>
      </c>
      <c r="E3030">
        <f>10/9*(53)</f>
        <v>58.888888888888893</v>
      </c>
      <c r="F3030" t="s">
        <v>718</v>
      </c>
      <c r="G3030" t="s">
        <v>194</v>
      </c>
      <c r="H3030" s="9" t="s">
        <v>1071</v>
      </c>
      <c r="I3030">
        <f t="shared" si="187"/>
        <v>117.77777777777779</v>
      </c>
      <c r="J3030">
        <f t="shared" si="188"/>
        <v>53.423101355555566</v>
      </c>
      <c r="K3030">
        <v>0.47</v>
      </c>
      <c r="L3030">
        <f t="shared" ref="L3030:L3061" si="189">J3030*K3030</f>
        <v>25.108857637111115</v>
      </c>
    </row>
    <row r="3031" spans="1:12" x14ac:dyDescent="0.2">
      <c r="A3031" s="4">
        <v>43498</v>
      </c>
      <c r="B3031" t="s">
        <v>48</v>
      </c>
      <c r="C3031" s="28">
        <v>3</v>
      </c>
      <c r="D3031" s="35">
        <v>1</v>
      </c>
      <c r="E3031">
        <v>10</v>
      </c>
      <c r="F3031" t="s">
        <v>70</v>
      </c>
      <c r="G3031" t="s">
        <v>194</v>
      </c>
      <c r="H3031" s="9" t="s">
        <v>1071</v>
      </c>
      <c r="I3031">
        <f t="shared" si="187"/>
        <v>30</v>
      </c>
      <c r="J3031">
        <f t="shared" si="188"/>
        <v>13.607771100000001</v>
      </c>
      <c r="K3031">
        <v>0.47</v>
      </c>
      <c r="L3031">
        <f t="shared" si="189"/>
        <v>6.395652417</v>
      </c>
    </row>
    <row r="3032" spans="1:12" x14ac:dyDescent="0.2">
      <c r="A3032" s="4">
        <v>43498</v>
      </c>
      <c r="B3032" t="s">
        <v>48</v>
      </c>
      <c r="C3032" s="28">
        <v>4</v>
      </c>
      <c r="D3032" s="35">
        <v>1</v>
      </c>
      <c r="E3032">
        <v>12</v>
      </c>
      <c r="F3032" t="s">
        <v>724</v>
      </c>
      <c r="G3032" t="s">
        <v>334</v>
      </c>
      <c r="H3032" s="9" t="s">
        <v>1071</v>
      </c>
      <c r="I3032">
        <f t="shared" si="187"/>
        <v>48</v>
      </c>
      <c r="J3032">
        <f t="shared" si="188"/>
        <v>21.772433760000002</v>
      </c>
      <c r="K3032">
        <v>0.47</v>
      </c>
      <c r="L3032">
        <f t="shared" si="189"/>
        <v>10.233043867200001</v>
      </c>
    </row>
    <row r="3033" spans="1:12" x14ac:dyDescent="0.2">
      <c r="A3033" s="4">
        <v>43498</v>
      </c>
      <c r="B3033" t="s">
        <v>48</v>
      </c>
      <c r="C3033" s="35">
        <v>4</v>
      </c>
      <c r="D3033" s="35">
        <v>1</v>
      </c>
      <c r="E3033" s="8">
        <v>12</v>
      </c>
      <c r="F3033" s="8" t="s">
        <v>730</v>
      </c>
      <c r="G3033" s="8" t="s">
        <v>194</v>
      </c>
      <c r="H3033" s="9" t="s">
        <v>1071</v>
      </c>
      <c r="I3033">
        <f t="shared" si="187"/>
        <v>48</v>
      </c>
      <c r="J3033">
        <f t="shared" si="188"/>
        <v>21.772433760000002</v>
      </c>
      <c r="K3033">
        <v>0.47</v>
      </c>
      <c r="L3033">
        <f t="shared" si="189"/>
        <v>10.233043867200001</v>
      </c>
    </row>
    <row r="3034" spans="1:12" x14ac:dyDescent="0.2">
      <c r="A3034" s="4">
        <v>43497</v>
      </c>
      <c r="B3034" t="s">
        <v>538</v>
      </c>
      <c r="C3034">
        <v>4</v>
      </c>
      <c r="D3034">
        <v>6</v>
      </c>
      <c r="E3034">
        <v>10</v>
      </c>
      <c r="F3034" t="s">
        <v>432</v>
      </c>
      <c r="G3034" t="s">
        <v>857</v>
      </c>
      <c r="H3034" s="9" t="s">
        <v>1071</v>
      </c>
      <c r="I3034">
        <f t="shared" si="187"/>
        <v>240</v>
      </c>
      <c r="J3034">
        <f t="shared" si="188"/>
        <v>108.86216880000001</v>
      </c>
      <c r="K3034">
        <v>0.47</v>
      </c>
      <c r="L3034">
        <f t="shared" si="189"/>
        <v>51.165219336</v>
      </c>
    </row>
    <row r="3035" spans="1:12" x14ac:dyDescent="0.2">
      <c r="A3035" s="4">
        <v>43497</v>
      </c>
      <c r="B3035" t="s">
        <v>538</v>
      </c>
      <c r="C3035">
        <v>2</v>
      </c>
      <c r="D3035">
        <v>6</v>
      </c>
      <c r="E3035">
        <v>10</v>
      </c>
      <c r="F3035" t="s">
        <v>546</v>
      </c>
      <c r="G3035" t="s">
        <v>857</v>
      </c>
      <c r="H3035" s="9" t="s">
        <v>1071</v>
      </c>
      <c r="I3035">
        <f t="shared" si="187"/>
        <v>120</v>
      </c>
      <c r="J3035">
        <f t="shared" si="188"/>
        <v>54.431084400000003</v>
      </c>
      <c r="K3035">
        <v>0.47</v>
      </c>
      <c r="L3035">
        <f t="shared" si="189"/>
        <v>25.582609668</v>
      </c>
    </row>
    <row r="3036" spans="1:12" x14ac:dyDescent="0.2">
      <c r="A3036" s="4">
        <v>43500</v>
      </c>
      <c r="B3036" t="s">
        <v>538</v>
      </c>
      <c r="C3036">
        <v>6</v>
      </c>
      <c r="D3036">
        <v>6</v>
      </c>
      <c r="E3036">
        <v>10</v>
      </c>
      <c r="F3036" t="s">
        <v>544</v>
      </c>
      <c r="G3036" t="s">
        <v>857</v>
      </c>
      <c r="H3036" s="9" t="s">
        <v>1071</v>
      </c>
      <c r="I3036">
        <f t="shared" si="187"/>
        <v>360</v>
      </c>
      <c r="J3036">
        <f t="shared" si="188"/>
        <v>163.29325320000001</v>
      </c>
      <c r="K3036">
        <v>0.47</v>
      </c>
      <c r="L3036">
        <f t="shared" si="189"/>
        <v>76.747829003999996</v>
      </c>
    </row>
    <row r="3037" spans="1:12" x14ac:dyDescent="0.2">
      <c r="A3037" s="4">
        <v>43500</v>
      </c>
      <c r="B3037" t="s">
        <v>538</v>
      </c>
      <c r="C3037">
        <v>4</v>
      </c>
      <c r="D3037">
        <v>6</v>
      </c>
      <c r="E3037">
        <v>10</v>
      </c>
      <c r="F3037" t="s">
        <v>432</v>
      </c>
      <c r="G3037" t="s">
        <v>857</v>
      </c>
      <c r="H3037" s="9" t="s">
        <v>1071</v>
      </c>
      <c r="I3037">
        <f t="shared" si="187"/>
        <v>240</v>
      </c>
      <c r="J3037">
        <f t="shared" si="188"/>
        <v>108.86216880000001</v>
      </c>
      <c r="K3037">
        <v>0.47</v>
      </c>
      <c r="L3037">
        <f t="shared" si="189"/>
        <v>51.165219336</v>
      </c>
    </row>
    <row r="3038" spans="1:12" x14ac:dyDescent="0.2">
      <c r="A3038" s="4">
        <v>43500</v>
      </c>
      <c r="B3038" t="s">
        <v>538</v>
      </c>
      <c r="C3038">
        <v>6</v>
      </c>
      <c r="D3038">
        <v>6</v>
      </c>
      <c r="E3038">
        <v>10</v>
      </c>
      <c r="F3038" t="s">
        <v>546</v>
      </c>
      <c r="G3038" t="s">
        <v>857</v>
      </c>
      <c r="H3038" s="9" t="s">
        <v>1071</v>
      </c>
      <c r="I3038">
        <f t="shared" si="187"/>
        <v>360</v>
      </c>
      <c r="J3038">
        <f t="shared" si="188"/>
        <v>163.29325320000001</v>
      </c>
      <c r="K3038">
        <v>0.47</v>
      </c>
      <c r="L3038">
        <f t="shared" si="189"/>
        <v>76.747829003999996</v>
      </c>
    </row>
    <row r="3039" spans="1:12" x14ac:dyDescent="0.2">
      <c r="A3039" s="4">
        <v>43503</v>
      </c>
      <c r="B3039" t="s">
        <v>531</v>
      </c>
      <c r="C3039">
        <v>1</v>
      </c>
      <c r="D3039">
        <v>24</v>
      </c>
      <c r="E3039">
        <f>12*0.0661387</f>
        <v>0.79366439999999994</v>
      </c>
      <c r="F3039" t="s">
        <v>408</v>
      </c>
      <c r="G3039" t="s">
        <v>913</v>
      </c>
      <c r="H3039" s="9" t="s">
        <v>1071</v>
      </c>
      <c r="I3039">
        <f t="shared" si="187"/>
        <v>19.047945599999998</v>
      </c>
      <c r="J3039">
        <f t="shared" si="188"/>
        <v>8.6400027883350727</v>
      </c>
      <c r="K3039">
        <v>1.28</v>
      </c>
      <c r="L3039">
        <f t="shared" si="189"/>
        <v>11.059203569068893</v>
      </c>
    </row>
    <row r="3040" spans="1:12" x14ac:dyDescent="0.2">
      <c r="A3040" s="4">
        <v>43497</v>
      </c>
      <c r="B3040" t="s">
        <v>538</v>
      </c>
      <c r="C3040">
        <v>2</v>
      </c>
      <c r="D3040">
        <v>6</v>
      </c>
      <c r="E3040">
        <v>4.15625</v>
      </c>
      <c r="F3040" t="s">
        <v>427</v>
      </c>
      <c r="G3040" t="s">
        <v>862</v>
      </c>
      <c r="H3040" s="9" t="s">
        <v>1072</v>
      </c>
      <c r="I3040">
        <f t="shared" ref="I3040:I3061" si="190">C3040*D3040*E3040</f>
        <v>49.875</v>
      </c>
      <c r="J3040">
        <f t="shared" si="188"/>
        <v>22.622919453750001</v>
      </c>
      <c r="K3040">
        <v>2.1480000000000001</v>
      </c>
      <c r="L3040">
        <f t="shared" si="189"/>
        <v>48.594030986655007</v>
      </c>
    </row>
    <row r="3041" spans="1:12" x14ac:dyDescent="0.2">
      <c r="A3041" s="4">
        <v>43503</v>
      </c>
      <c r="B3041" t="s">
        <v>538</v>
      </c>
      <c r="C3041">
        <v>1</v>
      </c>
      <c r="D3041">
        <v>6</v>
      </c>
      <c r="E3041">
        <v>4.15625</v>
      </c>
      <c r="F3041" t="s">
        <v>427</v>
      </c>
      <c r="G3041" t="s">
        <v>862</v>
      </c>
      <c r="H3041" s="9" t="s">
        <v>1072</v>
      </c>
      <c r="I3041">
        <f t="shared" si="190"/>
        <v>24.9375</v>
      </c>
      <c r="J3041">
        <f t="shared" si="188"/>
        <v>11.311459726875</v>
      </c>
      <c r="K3041">
        <v>2.1480000000000001</v>
      </c>
      <c r="L3041">
        <f t="shared" si="189"/>
        <v>24.297015493327503</v>
      </c>
    </row>
    <row r="3042" spans="1:12" x14ac:dyDescent="0.2">
      <c r="A3042" s="4">
        <v>43497</v>
      </c>
      <c r="B3042" t="s">
        <v>699</v>
      </c>
      <c r="C3042" s="39">
        <v>1</v>
      </c>
      <c r="D3042" s="35">
        <v>1</v>
      </c>
      <c r="E3042">
        <v>78.7</v>
      </c>
      <c r="F3042" s="9" t="s">
        <v>702</v>
      </c>
      <c r="G3042" s="9" t="s">
        <v>966</v>
      </c>
      <c r="H3042" s="9" t="s">
        <v>1072</v>
      </c>
      <c r="I3042">
        <f t="shared" si="190"/>
        <v>78.7</v>
      </c>
      <c r="J3042">
        <f t="shared" si="188"/>
        <v>35.697719519000003</v>
      </c>
      <c r="K3042">
        <v>2.5710000000000002</v>
      </c>
      <c r="L3042">
        <f t="shared" si="189"/>
        <v>91.778836883349015</v>
      </c>
    </row>
    <row r="3043" spans="1:12" x14ac:dyDescent="0.2">
      <c r="A3043" s="4">
        <v>43497</v>
      </c>
      <c r="B3043" t="s">
        <v>530</v>
      </c>
      <c r="C3043">
        <v>2</v>
      </c>
      <c r="D3043">
        <v>2</v>
      </c>
      <c r="E3043">
        <v>6</v>
      </c>
      <c r="F3043" t="s">
        <v>402</v>
      </c>
      <c r="G3043" t="s">
        <v>966</v>
      </c>
      <c r="H3043" s="9" t="s">
        <v>1072</v>
      </c>
      <c r="I3043">
        <f t="shared" si="190"/>
        <v>24</v>
      </c>
      <c r="J3043">
        <f t="shared" si="188"/>
        <v>10.886216880000001</v>
      </c>
      <c r="K3043">
        <v>2.5710000000000002</v>
      </c>
      <c r="L3043">
        <f t="shared" si="189"/>
        <v>27.988463598480003</v>
      </c>
    </row>
    <row r="3044" spans="1:12" x14ac:dyDescent="0.2">
      <c r="A3044" s="4">
        <v>43500</v>
      </c>
      <c r="B3044" t="s">
        <v>530</v>
      </c>
      <c r="C3044">
        <v>6</v>
      </c>
      <c r="D3044">
        <v>2</v>
      </c>
      <c r="E3044">
        <v>6</v>
      </c>
      <c r="F3044" t="s">
        <v>402</v>
      </c>
      <c r="G3044" t="s">
        <v>1038</v>
      </c>
      <c r="H3044" s="9" t="s">
        <v>1072</v>
      </c>
      <c r="I3044">
        <f t="shared" si="190"/>
        <v>72</v>
      </c>
      <c r="J3044">
        <f t="shared" si="188"/>
        <v>32.658650639999998</v>
      </c>
      <c r="K3044">
        <v>2.5710000000000002</v>
      </c>
      <c r="L3044">
        <f t="shared" si="189"/>
        <v>83.965390795440001</v>
      </c>
    </row>
    <row r="3045" spans="1:12" x14ac:dyDescent="0.2">
      <c r="A3045" s="4">
        <v>43503</v>
      </c>
      <c r="B3045" t="s">
        <v>530</v>
      </c>
      <c r="C3045">
        <v>4</v>
      </c>
      <c r="D3045">
        <v>160</v>
      </c>
      <c r="E3045">
        <v>6.25E-2</v>
      </c>
      <c r="F3045" t="s">
        <v>569</v>
      </c>
      <c r="G3045" t="s">
        <v>852</v>
      </c>
      <c r="H3045" s="9" t="s">
        <v>1072</v>
      </c>
      <c r="I3045">
        <f t="shared" si="190"/>
        <v>40</v>
      </c>
      <c r="J3045">
        <f t="shared" si="188"/>
        <v>18.143694800000002</v>
      </c>
      <c r="K3045">
        <v>2.5710000000000002</v>
      </c>
      <c r="L3045">
        <f t="shared" si="189"/>
        <v>46.647439330800012</v>
      </c>
    </row>
    <row r="3046" spans="1:12" x14ac:dyDescent="0.2">
      <c r="A3046" s="4">
        <v>43497</v>
      </c>
      <c r="B3046" t="s">
        <v>538</v>
      </c>
      <c r="C3046">
        <v>1</v>
      </c>
      <c r="D3046">
        <v>4</v>
      </c>
      <c r="E3046">
        <v>8.41</v>
      </c>
      <c r="F3046" t="s">
        <v>558</v>
      </c>
      <c r="G3046" t="s">
        <v>872</v>
      </c>
      <c r="H3046" s="9" t="s">
        <v>1071</v>
      </c>
      <c r="I3046">
        <f t="shared" si="190"/>
        <v>33.64</v>
      </c>
      <c r="J3046">
        <f t="shared" si="188"/>
        <v>15.258847326800002</v>
      </c>
      <c r="K3046">
        <v>0.34</v>
      </c>
      <c r="L3046">
        <f t="shared" si="189"/>
        <v>5.1880080911120006</v>
      </c>
    </row>
    <row r="3047" spans="1:12" x14ac:dyDescent="0.2">
      <c r="A3047" s="4">
        <v>43497</v>
      </c>
      <c r="B3047" t="s">
        <v>538</v>
      </c>
      <c r="C3047">
        <v>1</v>
      </c>
      <c r="D3047">
        <v>2</v>
      </c>
      <c r="E3047">
        <f>5*2.39</f>
        <v>11.950000000000001</v>
      </c>
      <c r="F3047" t="s">
        <v>667</v>
      </c>
      <c r="G3047" t="s">
        <v>872</v>
      </c>
      <c r="H3047" s="9" t="s">
        <v>1071</v>
      </c>
      <c r="I3047">
        <f t="shared" si="190"/>
        <v>23.900000000000002</v>
      </c>
      <c r="J3047">
        <f t="shared" si="188"/>
        <v>10.840857643000001</v>
      </c>
      <c r="K3047">
        <v>0.34</v>
      </c>
      <c r="L3047">
        <f t="shared" si="189"/>
        <v>3.6858915986200009</v>
      </c>
    </row>
    <row r="3048" spans="1:12" x14ac:dyDescent="0.2">
      <c r="A3048" s="4">
        <v>43500</v>
      </c>
      <c r="B3048" t="s">
        <v>538</v>
      </c>
      <c r="C3048">
        <v>1</v>
      </c>
      <c r="D3048">
        <v>2</v>
      </c>
      <c r="E3048">
        <f>5*2.39</f>
        <v>11.950000000000001</v>
      </c>
      <c r="F3048" t="s">
        <v>667</v>
      </c>
      <c r="G3048" t="s">
        <v>872</v>
      </c>
      <c r="H3048" s="9" t="s">
        <v>1071</v>
      </c>
      <c r="I3048">
        <f t="shared" si="190"/>
        <v>23.900000000000002</v>
      </c>
      <c r="J3048">
        <f t="shared" si="188"/>
        <v>10.840857643000001</v>
      </c>
      <c r="K3048">
        <v>0.34</v>
      </c>
      <c r="L3048">
        <f t="shared" si="189"/>
        <v>3.6858915986200009</v>
      </c>
    </row>
    <row r="3049" spans="1:12" x14ac:dyDescent="0.2">
      <c r="A3049" s="4">
        <v>43497</v>
      </c>
      <c r="B3049" t="s">
        <v>538</v>
      </c>
      <c r="C3049">
        <v>2</v>
      </c>
      <c r="D3049">
        <v>6</v>
      </c>
      <c r="E3049">
        <v>2</v>
      </c>
      <c r="F3049" t="s">
        <v>421</v>
      </c>
      <c r="G3049" t="s">
        <v>985</v>
      </c>
      <c r="H3049" s="9" t="s">
        <v>1071</v>
      </c>
      <c r="I3049">
        <f t="shared" si="190"/>
        <v>24</v>
      </c>
      <c r="J3049">
        <f t="shared" si="188"/>
        <v>10.886216880000001</v>
      </c>
      <c r="K3049">
        <v>0.34699999999999998</v>
      </c>
      <c r="L3049">
        <f t="shared" si="189"/>
        <v>3.77751725736</v>
      </c>
    </row>
    <row r="3050" spans="1:12" x14ac:dyDescent="0.2">
      <c r="A3050" s="4">
        <v>43497</v>
      </c>
      <c r="B3050" t="s">
        <v>538</v>
      </c>
      <c r="C3050">
        <v>2</v>
      </c>
      <c r="D3050">
        <v>6</v>
      </c>
      <c r="E3050">
        <v>2</v>
      </c>
      <c r="F3050" t="s">
        <v>570</v>
      </c>
      <c r="G3050" t="s">
        <v>985</v>
      </c>
      <c r="H3050" s="9" t="s">
        <v>1071</v>
      </c>
      <c r="I3050">
        <f t="shared" si="190"/>
        <v>24</v>
      </c>
      <c r="J3050">
        <f t="shared" si="188"/>
        <v>10.886216880000001</v>
      </c>
      <c r="K3050">
        <v>0.34699999999999998</v>
      </c>
      <c r="L3050">
        <f t="shared" si="189"/>
        <v>3.77751725736</v>
      </c>
    </row>
    <row r="3051" spans="1:12" x14ac:dyDescent="0.2">
      <c r="A3051" s="4">
        <v>43497</v>
      </c>
      <c r="B3051" t="s">
        <v>538</v>
      </c>
      <c r="C3051">
        <v>2</v>
      </c>
      <c r="D3051">
        <v>1</v>
      </c>
      <c r="E3051">
        <v>10</v>
      </c>
      <c r="F3051" t="s">
        <v>428</v>
      </c>
      <c r="G3051" t="s">
        <v>985</v>
      </c>
      <c r="H3051" s="9" t="s">
        <v>1071</v>
      </c>
      <c r="I3051">
        <f t="shared" si="190"/>
        <v>20</v>
      </c>
      <c r="J3051">
        <f t="shared" si="188"/>
        <v>9.0718474000000011</v>
      </c>
      <c r="K3051">
        <v>0.34699999999999998</v>
      </c>
      <c r="L3051">
        <f t="shared" si="189"/>
        <v>3.1479310478000002</v>
      </c>
    </row>
    <row r="3052" spans="1:12" x14ac:dyDescent="0.2">
      <c r="A3052" s="4">
        <v>43500</v>
      </c>
      <c r="B3052" t="s">
        <v>538</v>
      </c>
      <c r="C3052">
        <v>2</v>
      </c>
      <c r="D3052">
        <v>6</v>
      </c>
      <c r="E3052">
        <v>2</v>
      </c>
      <c r="F3052" t="s">
        <v>421</v>
      </c>
      <c r="G3052" t="s">
        <v>985</v>
      </c>
      <c r="H3052" s="9" t="s">
        <v>1071</v>
      </c>
      <c r="I3052">
        <f t="shared" si="190"/>
        <v>24</v>
      </c>
      <c r="J3052">
        <f t="shared" si="188"/>
        <v>10.886216880000001</v>
      </c>
      <c r="K3052">
        <v>0.34699999999999998</v>
      </c>
      <c r="L3052">
        <f t="shared" si="189"/>
        <v>3.77751725736</v>
      </c>
    </row>
    <row r="3053" spans="1:12" x14ac:dyDescent="0.2">
      <c r="A3053" s="4">
        <v>43500</v>
      </c>
      <c r="B3053" t="s">
        <v>538</v>
      </c>
      <c r="C3053">
        <v>2</v>
      </c>
      <c r="D3053">
        <v>6</v>
      </c>
      <c r="E3053">
        <v>2</v>
      </c>
      <c r="F3053" t="s">
        <v>570</v>
      </c>
      <c r="G3053" t="s">
        <v>985</v>
      </c>
      <c r="H3053" s="9" t="s">
        <v>1071</v>
      </c>
      <c r="I3053">
        <f t="shared" si="190"/>
        <v>24</v>
      </c>
      <c r="J3053">
        <f t="shared" si="188"/>
        <v>10.886216880000001</v>
      </c>
      <c r="K3053">
        <v>0.34699999999999998</v>
      </c>
      <c r="L3053">
        <f t="shared" si="189"/>
        <v>3.77751725736</v>
      </c>
    </row>
    <row r="3054" spans="1:12" x14ac:dyDescent="0.2">
      <c r="A3054" s="4">
        <v>43503</v>
      </c>
      <c r="B3054" t="s">
        <v>538</v>
      </c>
      <c r="C3054">
        <v>1</v>
      </c>
      <c r="D3054">
        <v>12</v>
      </c>
      <c r="E3054">
        <v>2</v>
      </c>
      <c r="F3054" t="s">
        <v>557</v>
      </c>
      <c r="G3054" s="14" t="s">
        <v>871</v>
      </c>
      <c r="H3054" s="9" t="s">
        <v>1071</v>
      </c>
      <c r="I3054">
        <f t="shared" si="190"/>
        <v>24</v>
      </c>
      <c r="J3054">
        <f t="shared" si="188"/>
        <v>10.886216880000001</v>
      </c>
      <c r="L3054">
        <f t="shared" si="189"/>
        <v>0</v>
      </c>
    </row>
    <row r="3055" spans="1:12" x14ac:dyDescent="0.2">
      <c r="A3055" s="4">
        <v>43497</v>
      </c>
      <c r="B3055" t="s">
        <v>517</v>
      </c>
      <c r="C3055">
        <v>5</v>
      </c>
      <c r="D3055">
        <v>2</v>
      </c>
      <c r="E3055">
        <v>6</v>
      </c>
      <c r="F3055" t="s">
        <v>383</v>
      </c>
      <c r="G3055" t="s">
        <v>846</v>
      </c>
      <c r="H3055" s="9" t="s">
        <v>1073</v>
      </c>
      <c r="I3055">
        <f t="shared" si="190"/>
        <v>60</v>
      </c>
      <c r="J3055">
        <f t="shared" si="188"/>
        <v>27.215542200000002</v>
      </c>
      <c r="K3055">
        <v>1.33</v>
      </c>
      <c r="L3055">
        <f t="shared" si="189"/>
        <v>36.196671126000005</v>
      </c>
    </row>
    <row r="3056" spans="1:12" x14ac:dyDescent="0.2">
      <c r="A3056" s="4">
        <v>43497</v>
      </c>
      <c r="B3056" t="s">
        <v>517</v>
      </c>
      <c r="C3056">
        <v>5</v>
      </c>
      <c r="D3056">
        <v>2</v>
      </c>
      <c r="E3056">
        <v>6</v>
      </c>
      <c r="F3056" t="s">
        <v>384</v>
      </c>
      <c r="G3056" t="s">
        <v>846</v>
      </c>
      <c r="H3056" s="9" t="s">
        <v>1073</v>
      </c>
      <c r="I3056">
        <f t="shared" si="190"/>
        <v>60</v>
      </c>
      <c r="J3056">
        <f t="shared" si="188"/>
        <v>27.215542200000002</v>
      </c>
      <c r="K3056">
        <v>1.33</v>
      </c>
      <c r="L3056">
        <f t="shared" si="189"/>
        <v>36.196671126000005</v>
      </c>
    </row>
    <row r="3057" spans="1:13" x14ac:dyDescent="0.2">
      <c r="A3057" s="4">
        <v>43500</v>
      </c>
      <c r="B3057" t="s">
        <v>517</v>
      </c>
      <c r="C3057">
        <v>5</v>
      </c>
      <c r="D3057">
        <v>2</v>
      </c>
      <c r="E3057">
        <v>6</v>
      </c>
      <c r="F3057" t="s">
        <v>383</v>
      </c>
      <c r="G3057" t="s">
        <v>846</v>
      </c>
      <c r="H3057" s="9" t="s">
        <v>1073</v>
      </c>
      <c r="I3057">
        <f t="shared" si="190"/>
        <v>60</v>
      </c>
      <c r="J3057">
        <f t="shared" si="188"/>
        <v>27.215542200000002</v>
      </c>
      <c r="K3057">
        <v>1.33</v>
      </c>
      <c r="L3057">
        <f t="shared" si="189"/>
        <v>36.196671126000005</v>
      </c>
    </row>
    <row r="3058" spans="1:13" x14ac:dyDescent="0.2">
      <c r="A3058" s="4">
        <v>43500</v>
      </c>
      <c r="B3058" t="s">
        <v>517</v>
      </c>
      <c r="C3058">
        <v>5</v>
      </c>
      <c r="D3058">
        <v>2</v>
      </c>
      <c r="E3058">
        <v>6</v>
      </c>
      <c r="F3058" t="s">
        <v>384</v>
      </c>
      <c r="G3058" t="s">
        <v>846</v>
      </c>
      <c r="H3058" s="9" t="s">
        <v>1073</v>
      </c>
      <c r="I3058">
        <f t="shared" si="190"/>
        <v>60</v>
      </c>
      <c r="J3058">
        <f t="shared" si="188"/>
        <v>27.215542200000002</v>
      </c>
      <c r="K3058">
        <v>1.33</v>
      </c>
      <c r="L3058">
        <f t="shared" si="189"/>
        <v>36.196671126000005</v>
      </c>
    </row>
    <row r="3059" spans="1:13" x14ac:dyDescent="0.2">
      <c r="A3059" s="4">
        <v>43503</v>
      </c>
      <c r="B3059" t="s">
        <v>517</v>
      </c>
      <c r="C3059">
        <v>2</v>
      </c>
      <c r="D3059">
        <v>2</v>
      </c>
      <c r="E3059">
        <v>6</v>
      </c>
      <c r="F3059" t="s">
        <v>383</v>
      </c>
      <c r="G3059" t="s">
        <v>846</v>
      </c>
      <c r="H3059" s="9" t="s">
        <v>1073</v>
      </c>
      <c r="I3059">
        <f t="shared" si="190"/>
        <v>24</v>
      </c>
      <c r="J3059">
        <f t="shared" si="188"/>
        <v>10.886216880000001</v>
      </c>
      <c r="K3059">
        <v>1.33</v>
      </c>
      <c r="L3059">
        <f t="shared" si="189"/>
        <v>14.478668450400002</v>
      </c>
    </row>
    <row r="3060" spans="1:13" x14ac:dyDescent="0.2">
      <c r="A3060" s="4">
        <v>43503</v>
      </c>
      <c r="B3060" t="s">
        <v>517</v>
      </c>
      <c r="C3060">
        <v>1</v>
      </c>
      <c r="D3060">
        <v>2</v>
      </c>
      <c r="E3060">
        <v>6</v>
      </c>
      <c r="F3060" t="s">
        <v>384</v>
      </c>
      <c r="G3060" t="s">
        <v>846</v>
      </c>
      <c r="H3060" s="9" t="s">
        <v>1073</v>
      </c>
      <c r="I3060">
        <f t="shared" si="190"/>
        <v>12</v>
      </c>
      <c r="J3060">
        <f t="shared" si="188"/>
        <v>5.4431084400000005</v>
      </c>
      <c r="K3060">
        <v>1.33</v>
      </c>
      <c r="L3060">
        <f t="shared" si="189"/>
        <v>7.2393342252000012</v>
      </c>
    </row>
    <row r="3061" spans="1:13" ht="17" thickBot="1" x14ac:dyDescent="0.25">
      <c r="A3061" s="26">
        <v>43498</v>
      </c>
      <c r="B3061" s="12" t="s">
        <v>48</v>
      </c>
      <c r="C3061" s="29">
        <v>2</v>
      </c>
      <c r="D3061" s="29">
        <v>1</v>
      </c>
      <c r="E3061" s="12">
        <f>0.5*44</f>
        <v>22</v>
      </c>
      <c r="F3061" s="12" t="s">
        <v>100</v>
      </c>
      <c r="G3061" s="12" t="s">
        <v>766</v>
      </c>
      <c r="H3061" s="63" t="s">
        <v>1071</v>
      </c>
      <c r="I3061" s="12">
        <f t="shared" si="190"/>
        <v>44</v>
      </c>
      <c r="J3061" s="12">
        <f t="shared" si="188"/>
        <v>19.958064280000002</v>
      </c>
      <c r="K3061" s="12">
        <v>1.2290000000000001</v>
      </c>
      <c r="L3061" s="12">
        <f t="shared" si="189"/>
        <v>24.528461000120004</v>
      </c>
    </row>
    <row r="3062" spans="1:13" x14ac:dyDescent="0.2">
      <c r="L3062" s="62">
        <f>SUM(L3:L3061)</f>
        <v>306500.1311711563</v>
      </c>
      <c r="M3062" s="60" t="s">
        <v>1094</v>
      </c>
    </row>
  </sheetData>
  <mergeCells count="1">
    <mergeCell ref="A1:L1"/>
  </mergeCells>
  <phoneticPr fontId="12" type="noConversion"/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499984740745262"/>
  </sheetPr>
  <dimension ref="A3:E250"/>
  <sheetViews>
    <sheetView workbookViewId="0">
      <selection activeCell="B126" sqref="B126"/>
    </sheetView>
  </sheetViews>
  <sheetFormatPr baseColWidth="10" defaultRowHeight="16" x14ac:dyDescent="0.2"/>
  <cols>
    <col min="1" max="1" width="30.5" bestFit="1" customWidth="1"/>
    <col min="2" max="2" width="16.6640625" bestFit="1" customWidth="1"/>
    <col min="3" max="3" width="27" bestFit="1" customWidth="1"/>
    <col min="4" max="4" width="22" customWidth="1"/>
    <col min="5" max="5" width="16.6640625" bestFit="1" customWidth="1"/>
  </cols>
  <sheetData>
    <row r="3" spans="1:5" x14ac:dyDescent="0.2">
      <c r="A3" t="s">
        <v>1069</v>
      </c>
      <c r="B3" t="s">
        <v>1076</v>
      </c>
      <c r="C3" t="s">
        <v>1077</v>
      </c>
      <c r="D3" t="s">
        <v>1068</v>
      </c>
      <c r="E3" s="46" t="s">
        <v>1076</v>
      </c>
    </row>
    <row r="4" spans="1:5" x14ac:dyDescent="0.2">
      <c r="A4" s="44" t="s">
        <v>1073</v>
      </c>
      <c r="B4" s="50">
        <v>0.14621231083787448</v>
      </c>
      <c r="C4" s="43">
        <v>5.617842821782161</v>
      </c>
      <c r="D4" s="50">
        <v>0.21636643061315156</v>
      </c>
      <c r="E4" s="48">
        <v>17236.997671797748</v>
      </c>
    </row>
    <row r="5" spans="1:5" x14ac:dyDescent="0.2">
      <c r="A5" s="47" t="s">
        <v>845</v>
      </c>
      <c r="B5" s="50">
        <v>1.5236430835653585E-3</v>
      </c>
      <c r="C5" s="43">
        <v>11.519999999999998</v>
      </c>
      <c r="D5" s="50">
        <v>6.7512274681372697E-3</v>
      </c>
      <c r="E5" s="45">
        <v>179.62257852000002</v>
      </c>
    </row>
    <row r="6" spans="1:5" x14ac:dyDescent="0.2">
      <c r="A6" s="47" t="s">
        <v>773</v>
      </c>
      <c r="B6" s="50">
        <v>2.5359326951268132E-2</v>
      </c>
      <c r="C6" s="43">
        <v>9.9739999999999931</v>
      </c>
      <c r="D6" s="50">
        <v>9.7286841540415822E-2</v>
      </c>
      <c r="E6" s="45">
        <v>2989.6159708607479</v>
      </c>
    </row>
    <row r="7" spans="1:5" x14ac:dyDescent="0.2">
      <c r="A7" s="47" t="s">
        <v>799</v>
      </c>
      <c r="B7" s="50">
        <v>4.6171002532283589E-4</v>
      </c>
      <c r="C7" s="43">
        <v>9.9740000000000002</v>
      </c>
      <c r="D7" s="50">
        <v>1.7712737470328584E-3</v>
      </c>
      <c r="E7" s="45">
        <v>54.431084400000003</v>
      </c>
    </row>
    <row r="8" spans="1:5" x14ac:dyDescent="0.2">
      <c r="A8" s="47" t="s">
        <v>980</v>
      </c>
      <c r="B8" s="50">
        <v>3.321234115488933E-4</v>
      </c>
      <c r="C8" s="43">
        <v>3.33</v>
      </c>
      <c r="D8" s="50">
        <v>4.2539339364022137E-4</v>
      </c>
      <c r="E8" s="45">
        <v>39.154093378400006</v>
      </c>
    </row>
    <row r="9" spans="1:5" x14ac:dyDescent="0.2">
      <c r="A9" s="47" t="s">
        <v>1089</v>
      </c>
      <c r="B9" s="50">
        <v>4.1961746134757064E-3</v>
      </c>
      <c r="C9" s="43">
        <v>3.3181818181818175</v>
      </c>
      <c r="D9" s="50">
        <v>5.3625937213110557E-3</v>
      </c>
      <c r="E9" s="45">
        <v>494.68783872199998</v>
      </c>
    </row>
    <row r="10" spans="1:5" x14ac:dyDescent="0.2">
      <c r="A10" s="47" t="s">
        <v>841</v>
      </c>
      <c r="B10" s="50">
        <v>9.6189588608924158E-5</v>
      </c>
      <c r="C10" s="43">
        <v>5.3090909090909095</v>
      </c>
      <c r="D10" s="50">
        <v>1.9611756981217365E-4</v>
      </c>
      <c r="E10" s="45">
        <v>11.339809250000002</v>
      </c>
    </row>
    <row r="11" spans="1:5" x14ac:dyDescent="0.2">
      <c r="A11" s="47" t="s">
        <v>843</v>
      </c>
      <c r="B11" s="50">
        <v>3.5878716551128703E-2</v>
      </c>
      <c r="C11" s="43">
        <v>3.7539999999999991</v>
      </c>
      <c r="D11" s="50">
        <v>5.180577614490977E-2</v>
      </c>
      <c r="E11" s="45">
        <v>4229.74885025</v>
      </c>
    </row>
    <row r="12" spans="1:5" x14ac:dyDescent="0.2">
      <c r="A12" s="47" t="s">
        <v>610</v>
      </c>
      <c r="B12" s="50">
        <v>2.8395166557354409E-4</v>
      </c>
      <c r="C12" s="43">
        <v>3.2614999999999998</v>
      </c>
      <c r="D12" s="50">
        <v>3.5621222533164382E-4</v>
      </c>
      <c r="E12" s="45">
        <v>33.475116906000004</v>
      </c>
    </row>
    <row r="13" spans="1:5" x14ac:dyDescent="0.2">
      <c r="A13" s="47" t="s">
        <v>957</v>
      </c>
      <c r="B13" s="50">
        <v>1.435533420399584E-3</v>
      </c>
      <c r="C13" s="43">
        <v>3.261499999999999</v>
      </c>
      <c r="D13" s="50">
        <v>1.8008506947321994E-3</v>
      </c>
      <c r="E13" s="45">
        <v>169.23531324700002</v>
      </c>
    </row>
    <row r="14" spans="1:5" x14ac:dyDescent="0.2">
      <c r="A14" s="47" t="s">
        <v>698</v>
      </c>
      <c r="B14" s="50">
        <v>2.015364260534179E-4</v>
      </c>
      <c r="C14" s="43">
        <v>4.8053749999999997</v>
      </c>
      <c r="D14" s="50">
        <v>3.3489362985082515E-4</v>
      </c>
      <c r="E14" s="45">
        <v>23.759168340600006</v>
      </c>
    </row>
    <row r="15" spans="1:5" x14ac:dyDescent="0.2">
      <c r="A15" s="47" t="s">
        <v>950</v>
      </c>
      <c r="B15" s="50">
        <v>1.3727331617885903E-2</v>
      </c>
      <c r="C15" s="43">
        <v>3.8378571428571453</v>
      </c>
      <c r="D15" s="50">
        <v>2.0266284127400527E-2</v>
      </c>
      <c r="E15" s="45">
        <v>1618.3177858386009</v>
      </c>
    </row>
    <row r="16" spans="1:5" x14ac:dyDescent="0.2">
      <c r="A16" s="47" t="s">
        <v>774</v>
      </c>
      <c r="B16" s="50">
        <v>5.5879994848113942E-2</v>
      </c>
      <c r="C16" s="43">
        <v>1.2300000000000002</v>
      </c>
      <c r="D16" s="50">
        <v>2.643677568287392E-2</v>
      </c>
      <c r="E16" s="45">
        <v>6587.7034264579988</v>
      </c>
    </row>
    <row r="17" spans="1:5" x14ac:dyDescent="0.2">
      <c r="A17" s="47" t="s">
        <v>958</v>
      </c>
      <c r="B17" s="50">
        <v>4.8941262684220612E-5</v>
      </c>
      <c r="C17" s="43">
        <v>5.32</v>
      </c>
      <c r="D17" s="50">
        <v>1.0014604886973829E-4</v>
      </c>
      <c r="E17" s="45">
        <v>5.7696949464000014</v>
      </c>
    </row>
    <row r="18" spans="1:5" x14ac:dyDescent="0.2">
      <c r="A18" s="47" t="s">
        <v>846</v>
      </c>
      <c r="B18" s="50">
        <v>6.4639403545196997E-3</v>
      </c>
      <c r="C18" s="43">
        <v>1.3299999999999992</v>
      </c>
      <c r="D18" s="50">
        <v>3.3067091607932443E-3</v>
      </c>
      <c r="E18" s="45">
        <v>762.03518159999976</v>
      </c>
    </row>
    <row r="19" spans="1:5" x14ac:dyDescent="0.2">
      <c r="A19" s="47" t="s">
        <v>807</v>
      </c>
      <c r="B19" s="50">
        <v>3.2319701772598512E-4</v>
      </c>
      <c r="C19" s="43">
        <v>1.33</v>
      </c>
      <c r="D19" s="50">
        <v>1.6533545803966226E-4</v>
      </c>
      <c r="E19" s="45">
        <v>38.101759080000001</v>
      </c>
    </row>
    <row r="20" spans="1:5" x14ac:dyDescent="0.2">
      <c r="A20" s="44" t="s">
        <v>1072</v>
      </c>
      <c r="B20" s="50">
        <v>0.1348362086670688</v>
      </c>
      <c r="C20" s="43">
        <v>10.934651877133144</v>
      </c>
      <c r="D20" s="50">
        <v>0.53164230320562589</v>
      </c>
      <c r="E20" s="48">
        <v>15895.866781323375</v>
      </c>
    </row>
    <row r="21" spans="1:5" x14ac:dyDescent="0.2">
      <c r="A21" s="47" t="s">
        <v>890</v>
      </c>
      <c r="B21" s="50">
        <v>5.7713753165354489E-4</v>
      </c>
      <c r="C21" s="43">
        <v>19.202999999999999</v>
      </c>
      <c r="D21" s="50">
        <v>4.2628045122658888E-3</v>
      </c>
      <c r="E21" s="45">
        <v>68.038855500000011</v>
      </c>
    </row>
    <row r="22" spans="1:5" x14ac:dyDescent="0.2">
      <c r="A22" s="47" t="s">
        <v>10</v>
      </c>
      <c r="B22" s="50">
        <v>2.2523754068665684E-2</v>
      </c>
      <c r="C22" s="43">
        <v>32.845999999999997</v>
      </c>
      <c r="D22" s="50">
        <v>0.28455766106541308</v>
      </c>
      <c r="E22" s="45">
        <v>2655.329733980001</v>
      </c>
    </row>
    <row r="23" spans="1:5" x14ac:dyDescent="0.2">
      <c r="A23" s="47" t="s">
        <v>960</v>
      </c>
      <c r="B23" s="50">
        <v>2.3085501266141795E-4</v>
      </c>
      <c r="C23" s="43">
        <v>5.7169999999999996</v>
      </c>
      <c r="D23" s="50">
        <v>5.0763846058686848E-4</v>
      </c>
      <c r="E23" s="45">
        <v>27.215542200000002</v>
      </c>
    </row>
    <row r="24" spans="1:5" x14ac:dyDescent="0.2">
      <c r="A24" s="47" t="s">
        <v>755</v>
      </c>
      <c r="B24" s="50">
        <v>6.2523232595800671E-2</v>
      </c>
      <c r="C24" s="43">
        <v>4.1879999999999926</v>
      </c>
      <c r="D24" s="50">
        <v>0.10071522195568575</v>
      </c>
      <c r="E24" s="45">
        <v>7370.8760124999981</v>
      </c>
    </row>
    <row r="25" spans="1:5" x14ac:dyDescent="0.2">
      <c r="A25" s="47" t="s">
        <v>889</v>
      </c>
      <c r="B25" s="50">
        <v>1.8468401012913436E-3</v>
      </c>
      <c r="C25" s="43">
        <v>32.845999999999997</v>
      </c>
      <c r="D25" s="50">
        <v>2.3332367152613297E-2</v>
      </c>
      <c r="E25" s="45">
        <v>217.72433760000001</v>
      </c>
    </row>
    <row r="26" spans="1:5" x14ac:dyDescent="0.2">
      <c r="A26" s="47" t="s">
        <v>1057</v>
      </c>
      <c r="B26" s="50">
        <v>2.7067750234551261E-4</v>
      </c>
      <c r="C26" s="43">
        <v>2.5710000000000002</v>
      </c>
      <c r="D26" s="50">
        <v>2.6767095860468144E-4</v>
      </c>
      <c r="E26" s="45">
        <v>31.910223229500009</v>
      </c>
    </row>
    <row r="27" spans="1:5" x14ac:dyDescent="0.2">
      <c r="A27" s="47" t="s">
        <v>884</v>
      </c>
      <c r="B27" s="50">
        <v>7.3873604051653725E-3</v>
      </c>
      <c r="C27" s="43">
        <v>3.0210000000000004</v>
      </c>
      <c r="D27" s="50">
        <v>8.5839470459775687E-3</v>
      </c>
      <c r="E27" s="45">
        <v>870.89735039999982</v>
      </c>
    </row>
    <row r="28" spans="1:5" x14ac:dyDescent="0.2">
      <c r="A28" s="47" t="s">
        <v>1044</v>
      </c>
      <c r="B28" s="50">
        <v>1.7314125949606345E-3</v>
      </c>
      <c r="C28" s="43">
        <v>3.0210000000000004</v>
      </c>
      <c r="D28" s="50">
        <v>2.0118625889009919E-3</v>
      </c>
      <c r="E28" s="45">
        <v>204.1165665</v>
      </c>
    </row>
    <row r="29" spans="1:5" x14ac:dyDescent="0.2">
      <c r="A29" s="47" t="s">
        <v>756</v>
      </c>
      <c r="B29" s="50">
        <v>3.6321573417084194E-3</v>
      </c>
      <c r="C29" s="43">
        <v>34.744999999999997</v>
      </c>
      <c r="D29" s="50">
        <v>4.8540471070318905E-2</v>
      </c>
      <c r="E29" s="45">
        <v>428.19573320370006</v>
      </c>
    </row>
    <row r="30" spans="1:5" x14ac:dyDescent="0.2">
      <c r="A30" s="47" t="s">
        <v>851</v>
      </c>
      <c r="B30" s="50">
        <v>7.6951670887139315E-5</v>
      </c>
      <c r="C30" s="43">
        <v>19.202999999999999</v>
      </c>
      <c r="D30" s="50">
        <v>5.6837393496878517E-4</v>
      </c>
      <c r="E30" s="45">
        <v>9.0718474000000011</v>
      </c>
    </row>
    <row r="31" spans="1:5" x14ac:dyDescent="0.2">
      <c r="A31" s="47" t="s">
        <v>15</v>
      </c>
      <c r="B31" s="50">
        <v>2.111946302664628E-2</v>
      </c>
      <c r="C31" s="43">
        <v>5.5600000000000014</v>
      </c>
      <c r="D31" s="50">
        <v>4.5165277260491403E-2</v>
      </c>
      <c r="E31" s="45">
        <v>2489.7775907774012</v>
      </c>
    </row>
    <row r="32" spans="1:5" x14ac:dyDescent="0.2">
      <c r="A32" s="47" t="s">
        <v>928</v>
      </c>
      <c r="B32" s="50">
        <v>8.8494421520210226E-4</v>
      </c>
      <c r="C32" s="43">
        <v>3.0209999999999999</v>
      </c>
      <c r="D32" s="50">
        <v>1.0282853232160627E-3</v>
      </c>
      <c r="E32" s="45">
        <v>104.32624510000002</v>
      </c>
    </row>
    <row r="33" spans="1:5" x14ac:dyDescent="0.2">
      <c r="A33" s="47" t="s">
        <v>927</v>
      </c>
      <c r="B33" s="50">
        <v>7.3104087342782341E-4</v>
      </c>
      <c r="C33" s="43">
        <v>3.0209999999999995</v>
      </c>
      <c r="D33" s="50">
        <v>8.4945309309152983E-4</v>
      </c>
      <c r="E33" s="45">
        <v>86.182550300000003</v>
      </c>
    </row>
    <row r="34" spans="1:5" x14ac:dyDescent="0.2">
      <c r="A34" s="47" t="s">
        <v>959</v>
      </c>
      <c r="B34" s="50">
        <v>2.3085501266141795E-4</v>
      </c>
      <c r="C34" s="43">
        <v>5.7169999999999996</v>
      </c>
      <c r="D34" s="50">
        <v>5.0763846058686848E-4</v>
      </c>
      <c r="E34" s="45">
        <v>27.215542200000002</v>
      </c>
    </row>
    <row r="35" spans="1:5" x14ac:dyDescent="0.2">
      <c r="A35" s="47" t="s">
        <v>862</v>
      </c>
      <c r="B35" s="50">
        <v>1.2473384902862237E-3</v>
      </c>
      <c r="C35" s="43">
        <v>2.1480000000000001</v>
      </c>
      <c r="D35" s="50">
        <v>1.0305418147990018E-3</v>
      </c>
      <c r="E35" s="45">
        <v>147.048976449375</v>
      </c>
    </row>
    <row r="36" spans="1:5" x14ac:dyDescent="0.2">
      <c r="A36" s="47" t="s">
        <v>852</v>
      </c>
      <c r="B36" s="50">
        <v>9.8221882237053484E-3</v>
      </c>
      <c r="C36" s="43">
        <v>2.5709999999999993</v>
      </c>
      <c r="D36" s="50">
        <v>9.7130885081052245E-3</v>
      </c>
      <c r="E36" s="45">
        <v>1157.9396739833999</v>
      </c>
    </row>
    <row r="37" spans="1:5" x14ac:dyDescent="0.2">
      <c r="A37" s="44" t="s">
        <v>1071</v>
      </c>
      <c r="B37" s="50">
        <v>0.71895148049505564</v>
      </c>
      <c r="C37" s="43">
        <v>1.1463972538461538</v>
      </c>
      <c r="D37" s="50">
        <v>0.25199126618121659</v>
      </c>
      <c r="E37" s="48">
        <v>84757.329423308242</v>
      </c>
    </row>
    <row r="38" spans="1:5" x14ac:dyDescent="0.2">
      <c r="A38" s="47" t="s">
        <v>767</v>
      </c>
      <c r="B38" s="50">
        <v>1.3715609313354088E-2</v>
      </c>
      <c r="C38" s="43">
        <v>0.22799999999999995</v>
      </c>
      <c r="D38" s="50">
        <v>1.2028098335835076E-3</v>
      </c>
      <c r="E38" s="45">
        <v>1616.9358410846667</v>
      </c>
    </row>
    <row r="39" spans="1:5" x14ac:dyDescent="0.2">
      <c r="A39" s="47" t="s">
        <v>754</v>
      </c>
      <c r="B39" s="50">
        <v>1.2266096339410006E-3</v>
      </c>
      <c r="C39" s="43">
        <v>0.22800000000000001</v>
      </c>
      <c r="D39" s="50">
        <v>1.0756927351641701E-4</v>
      </c>
      <c r="E39" s="45">
        <v>144.60524755599999</v>
      </c>
    </row>
    <row r="40" spans="1:5" x14ac:dyDescent="0.2">
      <c r="A40" s="47" t="s">
        <v>918</v>
      </c>
      <c r="B40" s="50">
        <v>9.2342005064567178E-4</v>
      </c>
      <c r="C40" s="43">
        <v>3.25</v>
      </c>
      <c r="D40" s="50">
        <v>1.1543291914691779E-3</v>
      </c>
      <c r="E40" s="45">
        <v>108.86216880000001</v>
      </c>
    </row>
    <row r="41" spans="1:5" x14ac:dyDescent="0.2">
      <c r="A41" s="47" t="s">
        <v>870</v>
      </c>
      <c r="B41" s="50">
        <v>1.221476034072778E-3</v>
      </c>
      <c r="C41" s="43">
        <v>0.84599999999999997</v>
      </c>
      <c r="D41" s="50">
        <v>3.9746814740348216E-4</v>
      </c>
      <c r="E41" s="45">
        <v>144.00004647225123</v>
      </c>
    </row>
    <row r="42" spans="1:5" x14ac:dyDescent="0.2">
      <c r="A42" s="47" t="s">
        <v>1052</v>
      </c>
      <c r="B42" s="50">
        <v>1.5268450425909725E-4</v>
      </c>
      <c r="C42" s="43">
        <v>0.84599999999999997</v>
      </c>
      <c r="D42" s="50">
        <v>4.968351842543527E-5</v>
      </c>
      <c r="E42" s="45">
        <v>18.000005809031403</v>
      </c>
    </row>
    <row r="43" spans="1:5" x14ac:dyDescent="0.2">
      <c r="A43" s="47" t="s">
        <v>769</v>
      </c>
      <c r="B43" s="50">
        <v>2.3085501266141795E-5</v>
      </c>
      <c r="C43" s="43">
        <v>0.3</v>
      </c>
      <c r="D43" s="50">
        <v>2.6638365956981026E-6</v>
      </c>
      <c r="E43" s="45">
        <v>2.7215542200000002</v>
      </c>
    </row>
    <row r="44" spans="1:5" x14ac:dyDescent="0.2">
      <c r="A44" s="47" t="s">
        <v>80</v>
      </c>
      <c r="B44" s="50">
        <v>2.7086988152273039E-3</v>
      </c>
      <c r="C44" s="43">
        <v>2.1709999999999998</v>
      </c>
      <c r="D44" s="50">
        <v>2.2618695730441387E-3</v>
      </c>
      <c r="E44" s="45">
        <v>319.32902848000003</v>
      </c>
    </row>
    <row r="45" spans="1:5" x14ac:dyDescent="0.2">
      <c r="A45" s="47" t="s">
        <v>202</v>
      </c>
      <c r="B45" s="50">
        <v>7.3873604051653743E-4</v>
      </c>
      <c r="C45" s="43">
        <v>0.54700000000000004</v>
      </c>
      <c r="D45" s="50">
        <v>1.5542598590366532E-4</v>
      </c>
      <c r="E45" s="45">
        <v>87.089735040000008</v>
      </c>
    </row>
    <row r="46" spans="1:5" x14ac:dyDescent="0.2">
      <c r="A46" s="47" t="s">
        <v>858</v>
      </c>
      <c r="B46" s="50">
        <v>3.7860222076472544E-3</v>
      </c>
      <c r="C46" s="43">
        <v>0.37400000000000005</v>
      </c>
      <c r="D46" s="50">
        <v>5.4463027144579612E-4</v>
      </c>
      <c r="E46" s="45">
        <v>446.33489208000003</v>
      </c>
    </row>
    <row r="47" spans="1:5" x14ac:dyDescent="0.2">
      <c r="A47" s="47" t="s">
        <v>81</v>
      </c>
      <c r="B47" s="50">
        <v>3.7706318734698263E-2</v>
      </c>
      <c r="C47" s="43">
        <v>0.37400000000000017</v>
      </c>
      <c r="D47" s="50">
        <v>5.4241632725292675E-3</v>
      </c>
      <c r="E47" s="45">
        <v>4445.205226</v>
      </c>
    </row>
    <row r="48" spans="1:5" x14ac:dyDescent="0.2">
      <c r="A48" s="47" t="s">
        <v>929</v>
      </c>
      <c r="B48" s="50">
        <v>9.2342005064567178E-5</v>
      </c>
      <c r="C48" s="43">
        <v>0.39300000000000002</v>
      </c>
      <c r="D48" s="50">
        <v>1.3958503761458059E-5</v>
      </c>
      <c r="E48" s="45">
        <v>10.886216880000001</v>
      </c>
    </row>
    <row r="49" spans="1:5" x14ac:dyDescent="0.2">
      <c r="A49" s="47" t="s">
        <v>184</v>
      </c>
      <c r="B49" s="50">
        <v>1.8083642658477743E-4</v>
      </c>
      <c r="C49" s="43">
        <v>0.22100000000000003</v>
      </c>
      <c r="D49" s="50">
        <v>1.5371817066397883E-5</v>
      </c>
      <c r="E49" s="45">
        <v>21.318841390000006</v>
      </c>
    </row>
    <row r="50" spans="1:5" x14ac:dyDescent="0.2">
      <c r="A50" s="47" t="s">
        <v>844</v>
      </c>
      <c r="B50" s="50">
        <v>2.3085501266141795E-4</v>
      </c>
      <c r="C50" s="43">
        <v>0.308</v>
      </c>
      <c r="D50" s="50">
        <v>2.7348722382500524E-5</v>
      </c>
      <c r="E50" s="45">
        <v>27.215542200000002</v>
      </c>
    </row>
    <row r="51" spans="1:5" x14ac:dyDescent="0.2">
      <c r="A51" s="47" t="s">
        <v>898</v>
      </c>
      <c r="B51" s="50">
        <v>5.3866169620997526E-3</v>
      </c>
      <c r="C51" s="43">
        <v>0.30799999999999994</v>
      </c>
      <c r="D51" s="50">
        <v>6.3813685559167897E-4</v>
      </c>
      <c r="E51" s="45">
        <v>635.0293180000001</v>
      </c>
    </row>
    <row r="52" spans="1:5" x14ac:dyDescent="0.2">
      <c r="A52" s="47" t="s">
        <v>1083</v>
      </c>
      <c r="B52" s="50">
        <v>1.5390334177427863E-4</v>
      </c>
      <c r="C52" s="43">
        <v>0.66200000000000003</v>
      </c>
      <c r="D52" s="50">
        <v>3.918799614115876E-5</v>
      </c>
      <c r="E52" s="45">
        <v>18.143694800000002</v>
      </c>
    </row>
    <row r="53" spans="1:5" x14ac:dyDescent="0.2">
      <c r="A53" s="47" t="s">
        <v>1081</v>
      </c>
      <c r="B53" s="50">
        <v>4.2323418987926626E-4</v>
      </c>
      <c r="C53" s="43">
        <v>0.66200000000000003</v>
      </c>
      <c r="D53" s="50">
        <v>1.0776698938818658E-4</v>
      </c>
      <c r="E53" s="45">
        <v>49.895160700000005</v>
      </c>
    </row>
    <row r="54" spans="1:5" x14ac:dyDescent="0.2">
      <c r="A54" s="47" t="s">
        <v>935</v>
      </c>
      <c r="B54" s="50">
        <v>2.0007434430656221E-3</v>
      </c>
      <c r="C54" s="43">
        <v>0.308</v>
      </c>
      <c r="D54" s="50">
        <v>2.3702226064833786E-4</v>
      </c>
      <c r="E54" s="45">
        <v>235.8680324</v>
      </c>
    </row>
    <row r="55" spans="1:5" x14ac:dyDescent="0.2">
      <c r="A55" s="47" t="s">
        <v>974</v>
      </c>
      <c r="B55" s="50">
        <v>1.5390334177427863E-4</v>
      </c>
      <c r="C55" s="43">
        <v>0.308</v>
      </c>
      <c r="D55" s="50">
        <v>1.8232481588333683E-5</v>
      </c>
      <c r="E55" s="45">
        <v>18.143694800000002</v>
      </c>
    </row>
    <row r="56" spans="1:5" x14ac:dyDescent="0.2">
      <c r="A56" s="47" t="s">
        <v>897</v>
      </c>
      <c r="B56" s="50">
        <v>4.6171002532283591E-3</v>
      </c>
      <c r="C56" s="43">
        <v>0.30799999999999994</v>
      </c>
      <c r="D56" s="50">
        <v>5.4697444765001058E-4</v>
      </c>
      <c r="E56" s="45">
        <v>544.31084400000009</v>
      </c>
    </row>
    <row r="57" spans="1:5" x14ac:dyDescent="0.2">
      <c r="A57" s="47" t="s">
        <v>920</v>
      </c>
      <c r="B57" s="50">
        <v>3.8475835443569663E-4</v>
      </c>
      <c r="C57" s="43">
        <v>0.308</v>
      </c>
      <c r="D57" s="50">
        <v>4.5581203970834203E-5</v>
      </c>
      <c r="E57" s="45">
        <v>45.359237000000007</v>
      </c>
    </row>
    <row r="58" spans="1:5" x14ac:dyDescent="0.2">
      <c r="A58" s="47" t="s">
        <v>833</v>
      </c>
      <c r="B58" s="50">
        <v>1.0773233924199505E-3</v>
      </c>
      <c r="C58" s="43">
        <v>0.72640000000000005</v>
      </c>
      <c r="D58" s="50">
        <v>2.988232696685338E-4</v>
      </c>
      <c r="E58" s="45">
        <v>127.00586360000001</v>
      </c>
    </row>
    <row r="59" spans="1:5" x14ac:dyDescent="0.2">
      <c r="A59" s="47" t="s">
        <v>984</v>
      </c>
      <c r="B59" s="50">
        <v>3.0780668354855726E-4</v>
      </c>
      <c r="C59" s="43">
        <v>0.308</v>
      </c>
      <c r="D59" s="50">
        <v>3.6464963176667366E-5</v>
      </c>
      <c r="E59" s="45">
        <v>36.287389600000004</v>
      </c>
    </row>
    <row r="60" spans="1:5" x14ac:dyDescent="0.2">
      <c r="A60" s="47" t="s">
        <v>936</v>
      </c>
      <c r="B60" s="50">
        <v>5.2711894557690431E-3</v>
      </c>
      <c r="C60" s="43">
        <v>0.66200000000000025</v>
      </c>
      <c r="D60" s="50">
        <v>1.3421888678346874E-3</v>
      </c>
      <c r="E60" s="45">
        <v>621.42154690000007</v>
      </c>
    </row>
    <row r="61" spans="1:5" x14ac:dyDescent="0.2">
      <c r="A61" s="47" t="s">
        <v>830</v>
      </c>
      <c r="B61" s="50">
        <v>3.0780668354855726E-4</v>
      </c>
      <c r="C61" s="43">
        <v>1.1539999999999999</v>
      </c>
      <c r="D61" s="50">
        <v>1.3662521917491601E-4</v>
      </c>
      <c r="E61" s="45">
        <v>36.287389600000004</v>
      </c>
    </row>
    <row r="62" spans="1:5" x14ac:dyDescent="0.2">
      <c r="A62" s="47" t="s">
        <v>820</v>
      </c>
      <c r="B62" s="50">
        <v>5.7713753165354478E-4</v>
      </c>
      <c r="C62" s="43">
        <v>0.19399999999999998</v>
      </c>
      <c r="D62" s="50">
        <v>4.3065358297119325E-5</v>
      </c>
      <c r="E62" s="45">
        <v>68.038855499999997</v>
      </c>
    </row>
    <row r="63" spans="1:5" x14ac:dyDescent="0.2">
      <c r="A63" s="47" t="s">
        <v>803</v>
      </c>
      <c r="B63" s="50">
        <v>9.6189588608924144E-5</v>
      </c>
      <c r="C63" s="43">
        <v>0.19400000000000001</v>
      </c>
      <c r="D63" s="50">
        <v>7.1775597161865544E-6</v>
      </c>
      <c r="E63" s="45">
        <v>11.33980925</v>
      </c>
    </row>
    <row r="64" spans="1:5" x14ac:dyDescent="0.2">
      <c r="A64" s="47" t="s">
        <v>893</v>
      </c>
      <c r="B64" s="50">
        <v>9.2342005064567189E-4</v>
      </c>
      <c r="C64" s="43">
        <v>3.5270000000000006</v>
      </c>
      <c r="D64" s="50">
        <v>1.2527135564036279E-3</v>
      </c>
      <c r="E64" s="45">
        <v>108.86216880000002</v>
      </c>
    </row>
    <row r="65" spans="1:5" x14ac:dyDescent="0.2">
      <c r="A65" s="47" t="s">
        <v>1087</v>
      </c>
      <c r="B65" s="50">
        <v>3.0780668354855726E-4</v>
      </c>
      <c r="C65" s="43">
        <v>0</v>
      </c>
      <c r="D65" s="50">
        <v>0</v>
      </c>
      <c r="E65" s="45">
        <v>36.287389600000004</v>
      </c>
    </row>
    <row r="66" spans="1:5" x14ac:dyDescent="0.2">
      <c r="A66" s="47" t="s">
        <v>982</v>
      </c>
      <c r="B66" s="50">
        <v>1.1542750633070897E-4</v>
      </c>
      <c r="C66" s="43"/>
      <c r="D66" s="50">
        <v>0</v>
      </c>
      <c r="E66" s="45">
        <v>13.607771100000001</v>
      </c>
    </row>
    <row r="67" spans="1:5" x14ac:dyDescent="0.2">
      <c r="A67" s="47" t="s">
        <v>1086</v>
      </c>
      <c r="B67" s="50">
        <v>0</v>
      </c>
      <c r="C67" s="43">
        <v>2.2999999999999998</v>
      </c>
      <c r="D67" s="50">
        <v>0</v>
      </c>
      <c r="E67" s="45">
        <v>0</v>
      </c>
    </row>
    <row r="68" spans="1:5" x14ac:dyDescent="0.2">
      <c r="A68" s="47" t="s">
        <v>895</v>
      </c>
      <c r="B68" s="50">
        <v>8.7032339773354553E-4</v>
      </c>
      <c r="C68" s="43">
        <v>6.8699999999999992</v>
      </c>
      <c r="D68" s="50">
        <v>2.2997700481640431E-3</v>
      </c>
      <c r="E68" s="45">
        <v>102.602594094</v>
      </c>
    </row>
    <row r="69" spans="1:5" x14ac:dyDescent="0.2">
      <c r="A69" s="47" t="s">
        <v>84</v>
      </c>
      <c r="B69" s="50">
        <v>1.5928995873637844E-3</v>
      </c>
      <c r="C69" s="43">
        <v>0.59900000000000009</v>
      </c>
      <c r="D69" s="50">
        <v>3.6699676778932763E-4</v>
      </c>
      <c r="E69" s="45">
        <v>187.78724118000008</v>
      </c>
    </row>
    <row r="70" spans="1:5" x14ac:dyDescent="0.2">
      <c r="A70" s="47" t="s">
        <v>85</v>
      </c>
      <c r="B70" s="50">
        <v>4.6171002532283589E-4</v>
      </c>
      <c r="C70" s="43">
        <v>0.59899999999999998</v>
      </c>
      <c r="D70" s="50">
        <v>1.0637587472154422E-4</v>
      </c>
      <c r="E70" s="45">
        <v>54.431084400000003</v>
      </c>
    </row>
    <row r="71" spans="1:5" x14ac:dyDescent="0.2">
      <c r="A71" s="47" t="s">
        <v>237</v>
      </c>
      <c r="B71" s="50">
        <v>9.2342005064567178E-4</v>
      </c>
      <c r="C71" s="43">
        <v>0.13400000000000001</v>
      </c>
      <c r="D71" s="50">
        <v>4.7593880509806109E-5</v>
      </c>
      <c r="E71" s="45">
        <v>108.86216880000001</v>
      </c>
    </row>
    <row r="72" spans="1:5" x14ac:dyDescent="0.2">
      <c r="A72" s="47" t="s">
        <v>868</v>
      </c>
      <c r="B72" s="50">
        <v>7.0210704517425918E-4</v>
      </c>
      <c r="C72" s="43">
        <v>1.2727272727272725</v>
      </c>
      <c r="D72" s="50">
        <v>3.4315424633045378E-4</v>
      </c>
      <c r="E72" s="45">
        <v>82.771535677600014</v>
      </c>
    </row>
    <row r="73" spans="1:5" x14ac:dyDescent="0.2">
      <c r="A73" s="47" t="s">
        <v>967</v>
      </c>
      <c r="B73" s="50">
        <v>3.2689069792856784E-4</v>
      </c>
      <c r="C73" s="43">
        <v>1.28</v>
      </c>
      <c r="D73" s="50">
        <v>1.609383517656966E-4</v>
      </c>
      <c r="E73" s="45">
        <v>38.537207755200008</v>
      </c>
    </row>
    <row r="74" spans="1:5" x14ac:dyDescent="0.2">
      <c r="A74" s="47" t="s">
        <v>204</v>
      </c>
      <c r="B74" s="50">
        <v>1.2535427187514993E-2</v>
      </c>
      <c r="C74" s="43">
        <v>0.79700000000000037</v>
      </c>
      <c r="D74" s="50">
        <v>3.8427707578562119E-3</v>
      </c>
      <c r="E74" s="45">
        <v>1477.80394146</v>
      </c>
    </row>
    <row r="75" spans="1:5" x14ac:dyDescent="0.2">
      <c r="A75" s="47" t="s">
        <v>86</v>
      </c>
      <c r="B75" s="50">
        <v>1.1081040607748061E-3</v>
      </c>
      <c r="C75" s="43">
        <v>0.79700000000000004</v>
      </c>
      <c r="D75" s="50">
        <v>3.3969244268342209E-4</v>
      </c>
      <c r="E75" s="45">
        <v>130.63460256000002</v>
      </c>
    </row>
    <row r="76" spans="1:5" x14ac:dyDescent="0.2">
      <c r="A76" s="47" t="s">
        <v>760</v>
      </c>
      <c r="B76" s="50">
        <v>3.8475835443569658E-5</v>
      </c>
      <c r="C76" s="43">
        <v>0.49</v>
      </c>
      <c r="D76" s="50">
        <v>7.2515551771781688E-6</v>
      </c>
      <c r="E76" s="45">
        <v>4.5359237000000006</v>
      </c>
    </row>
    <row r="77" spans="1:5" x14ac:dyDescent="0.2">
      <c r="A77" s="47" t="s">
        <v>64</v>
      </c>
      <c r="B77" s="50">
        <v>4.6171002532283589E-4</v>
      </c>
      <c r="C77" s="43">
        <v>0.49</v>
      </c>
      <c r="D77" s="50">
        <v>8.7018662126138029E-5</v>
      </c>
      <c r="E77" s="45">
        <v>54.431084400000003</v>
      </c>
    </row>
    <row r="78" spans="1:5" x14ac:dyDescent="0.2">
      <c r="A78" s="47" t="s">
        <v>818</v>
      </c>
      <c r="B78" s="50">
        <v>1.5967471709081406E-3</v>
      </c>
      <c r="C78" s="43">
        <v>0.4900000000000001</v>
      </c>
      <c r="D78" s="50">
        <v>3.0093953985289396E-4</v>
      </c>
      <c r="E78" s="45">
        <v>188.24083354999999</v>
      </c>
    </row>
    <row r="79" spans="1:5" x14ac:dyDescent="0.2">
      <c r="A79" s="47" t="s">
        <v>245</v>
      </c>
      <c r="B79" s="50">
        <v>1.4236059114120772E-3</v>
      </c>
      <c r="C79" s="43">
        <v>0.49</v>
      </c>
      <c r="D79" s="50">
        <v>2.6830754155559222E-4</v>
      </c>
      <c r="E79" s="45">
        <v>167.82917689999999</v>
      </c>
    </row>
    <row r="80" spans="1:5" x14ac:dyDescent="0.2">
      <c r="A80" s="47" t="s">
        <v>880</v>
      </c>
      <c r="B80" s="50">
        <v>4.0399627215748132E-3</v>
      </c>
      <c r="C80" s="43">
        <v>1.2685714285714287</v>
      </c>
      <c r="D80" s="50">
        <v>1.9591630215827641E-3</v>
      </c>
      <c r="E80" s="45">
        <v>476.27198849999996</v>
      </c>
    </row>
    <row r="81" spans="1:5" x14ac:dyDescent="0.2">
      <c r="A81" s="47" t="s">
        <v>1075</v>
      </c>
      <c r="B81" s="50">
        <v>1.6282973559718681E-4</v>
      </c>
      <c r="C81" s="43">
        <v>0.13400000000000001</v>
      </c>
      <c r="D81" s="50">
        <v>8.392387596562478E-6</v>
      </c>
      <c r="E81" s="45">
        <v>19.196029098400004</v>
      </c>
    </row>
    <row r="82" spans="1:5" x14ac:dyDescent="0.2">
      <c r="A82" s="47" t="s">
        <v>753</v>
      </c>
      <c r="B82" s="50">
        <v>3.770631873469826E-3</v>
      </c>
      <c r="C82" s="43">
        <v>0.21900000000000003</v>
      </c>
      <c r="D82" s="50">
        <v>3.1761811676040379E-4</v>
      </c>
      <c r="E82" s="45">
        <v>444.52052259999999</v>
      </c>
    </row>
    <row r="83" spans="1:5" x14ac:dyDescent="0.2">
      <c r="A83" s="47" t="s">
        <v>1042</v>
      </c>
      <c r="B83" s="50">
        <v>1.1542750633070897E-4</v>
      </c>
      <c r="C83" s="43">
        <v>0.13400000000000001</v>
      </c>
      <c r="D83" s="50">
        <v>5.9492350637257636E-6</v>
      </c>
      <c r="E83" s="45">
        <v>13.607771100000001</v>
      </c>
    </row>
    <row r="84" spans="1:5" x14ac:dyDescent="0.2">
      <c r="A84" s="47" t="s">
        <v>905</v>
      </c>
      <c r="B84" s="50">
        <v>2.154646784839901E-3</v>
      </c>
      <c r="C84" s="43">
        <v>2.6459999999999999</v>
      </c>
      <c r="D84" s="50">
        <v>2.1928702855786783E-3</v>
      </c>
      <c r="E84" s="45">
        <v>254.01172720000002</v>
      </c>
    </row>
    <row r="85" spans="1:5" x14ac:dyDescent="0.2">
      <c r="A85" s="47" t="s">
        <v>102</v>
      </c>
      <c r="B85" s="50">
        <v>1.8803140781272487E-2</v>
      </c>
      <c r="C85" s="43">
        <v>0.49000000000000016</v>
      </c>
      <c r="D85" s="50">
        <v>3.5438350150869711E-3</v>
      </c>
      <c r="E85" s="45">
        <v>2216.7059121899997</v>
      </c>
    </row>
    <row r="86" spans="1:5" x14ac:dyDescent="0.2">
      <c r="A86" s="47" t="s">
        <v>930</v>
      </c>
      <c r="B86" s="50">
        <v>5.7713753165354487E-6</v>
      </c>
      <c r="C86" s="43">
        <v>0.48199999999999998</v>
      </c>
      <c r="D86" s="50">
        <v>1.0699743659387378E-6</v>
      </c>
      <c r="E86" s="45">
        <v>0.68038855500000006</v>
      </c>
    </row>
    <row r="87" spans="1:5" x14ac:dyDescent="0.2">
      <c r="A87" s="47" t="s">
        <v>87</v>
      </c>
      <c r="B87" s="50">
        <v>1.0580854746981663E-2</v>
      </c>
      <c r="C87" s="43">
        <v>9.1999999999999929E-2</v>
      </c>
      <c r="D87" s="50">
        <v>3.7441703261756662E-4</v>
      </c>
      <c r="E87" s="45">
        <v>1247.3790175000008</v>
      </c>
    </row>
    <row r="88" spans="1:5" x14ac:dyDescent="0.2">
      <c r="A88" s="47" t="s">
        <v>761</v>
      </c>
      <c r="B88" s="50">
        <v>1.1542750633070897E-4</v>
      </c>
      <c r="C88" s="43">
        <v>9.1999999999999998E-2</v>
      </c>
      <c r="D88" s="50">
        <v>4.0845494467370911E-6</v>
      </c>
      <c r="E88" s="45">
        <v>13.607771100000001</v>
      </c>
    </row>
    <row r="89" spans="1:5" x14ac:dyDescent="0.2">
      <c r="A89" s="47" t="s">
        <v>808</v>
      </c>
      <c r="B89" s="50">
        <v>7.6951670887139315E-5</v>
      </c>
      <c r="C89" s="43">
        <v>0.1555</v>
      </c>
      <c r="D89" s="50">
        <v>4.6025176736783883E-6</v>
      </c>
      <c r="E89" s="45">
        <v>9.0718474000000011</v>
      </c>
    </row>
    <row r="90" spans="1:5" x14ac:dyDescent="0.2">
      <c r="A90" s="47" t="s">
        <v>220</v>
      </c>
      <c r="B90" s="50">
        <v>6.4162303185696769E-3</v>
      </c>
      <c r="C90" s="43">
        <v>0.93400000000000016</v>
      </c>
      <c r="D90" s="50">
        <v>2.3050154384028168E-3</v>
      </c>
      <c r="E90" s="45">
        <v>756.4106362120001</v>
      </c>
    </row>
    <row r="91" spans="1:5" x14ac:dyDescent="0.2">
      <c r="A91" s="47" t="s">
        <v>163</v>
      </c>
      <c r="B91" s="50">
        <v>2.3470259620577494E-3</v>
      </c>
      <c r="C91" s="43">
        <v>0.33100000000000013</v>
      </c>
      <c r="D91" s="50">
        <v>2.9880847057633556E-4</v>
      </c>
      <c r="E91" s="45">
        <v>276.69134570000006</v>
      </c>
    </row>
    <row r="92" spans="1:5" x14ac:dyDescent="0.2">
      <c r="A92" s="47" t="s">
        <v>861</v>
      </c>
      <c r="B92" s="50">
        <v>4.2409989617674643E-2</v>
      </c>
      <c r="C92" s="43">
        <v>1.6099999999999999</v>
      </c>
      <c r="D92" s="50">
        <v>2.6262801994718064E-2</v>
      </c>
      <c r="E92" s="45">
        <v>4999.7218983249986</v>
      </c>
    </row>
    <row r="93" spans="1:5" x14ac:dyDescent="0.2">
      <c r="A93" s="47" t="s">
        <v>901</v>
      </c>
      <c r="B93" s="50">
        <v>3.7013753696714009E-3</v>
      </c>
      <c r="C93" s="43">
        <v>1.61</v>
      </c>
      <c r="D93" s="50">
        <v>2.2921129978606307E-3</v>
      </c>
      <c r="E93" s="45">
        <v>436.35585994000002</v>
      </c>
    </row>
    <row r="94" spans="1:5" x14ac:dyDescent="0.2">
      <c r="A94" s="47" t="s">
        <v>903</v>
      </c>
      <c r="B94" s="50">
        <v>3.0780668354855726E-4</v>
      </c>
      <c r="C94" s="43">
        <v>1.61</v>
      </c>
      <c r="D94" s="50">
        <v>1.906123075143976E-4</v>
      </c>
      <c r="E94" s="45">
        <v>36.287389600000004</v>
      </c>
    </row>
    <row r="95" spans="1:5" x14ac:dyDescent="0.2">
      <c r="A95" s="47" t="s">
        <v>910</v>
      </c>
      <c r="B95" s="50">
        <v>7.6951670887139315E-4</v>
      </c>
      <c r="C95" s="43">
        <v>1.61</v>
      </c>
      <c r="D95" s="50">
        <v>4.7653076878599392E-4</v>
      </c>
      <c r="E95" s="45">
        <v>90.718474000000001</v>
      </c>
    </row>
    <row r="96" spans="1:5" x14ac:dyDescent="0.2">
      <c r="A96" s="47" t="s">
        <v>896</v>
      </c>
      <c r="B96" s="50">
        <v>1.4082155772346495E-2</v>
      </c>
      <c r="C96" s="43">
        <v>0.49099999999999994</v>
      </c>
      <c r="D96" s="50">
        <v>2.6594856625917953E-3</v>
      </c>
      <c r="E96" s="45">
        <v>1660.1480742000001</v>
      </c>
    </row>
    <row r="97" spans="1:5" x14ac:dyDescent="0.2">
      <c r="A97" s="47" t="s">
        <v>94</v>
      </c>
      <c r="B97" s="50">
        <v>3.8475835443569658E-6</v>
      </c>
      <c r="C97" s="43">
        <v>0.221</v>
      </c>
      <c r="D97" s="50">
        <v>3.2705993758293374E-7</v>
      </c>
      <c r="E97" s="45">
        <v>0.45359237000000002</v>
      </c>
    </row>
    <row r="98" spans="1:5" x14ac:dyDescent="0.2">
      <c r="A98" s="47" t="s">
        <v>853</v>
      </c>
      <c r="B98" s="50">
        <v>2.7510222342152306E-3</v>
      </c>
      <c r="C98" s="43">
        <v>1.2</v>
      </c>
      <c r="D98" s="50">
        <v>1.2697621106160957E-3</v>
      </c>
      <c r="E98" s="45">
        <v>324.31854455000001</v>
      </c>
    </row>
    <row r="99" spans="1:5" x14ac:dyDescent="0.2">
      <c r="A99" s="47" t="s">
        <v>88</v>
      </c>
      <c r="B99" s="50">
        <v>2.8279739051023699E-4</v>
      </c>
      <c r="C99" s="43">
        <v>0.26100000000000007</v>
      </c>
      <c r="D99" s="50">
        <v>2.8389838518652532E-5</v>
      </c>
      <c r="E99" s="45">
        <v>33.339039195000005</v>
      </c>
    </row>
    <row r="100" spans="1:5" x14ac:dyDescent="0.2">
      <c r="A100" s="47" t="s">
        <v>375</v>
      </c>
      <c r="B100" s="50">
        <v>3.366635601312345E-6</v>
      </c>
      <c r="C100" s="43">
        <v>0.87</v>
      </c>
      <c r="D100" s="50">
        <v>1.1265808935973225E-6</v>
      </c>
      <c r="E100" s="45">
        <v>0.39689332375000003</v>
      </c>
    </row>
    <row r="101" spans="1:5" x14ac:dyDescent="0.2">
      <c r="A101" s="47" t="s">
        <v>1054</v>
      </c>
      <c r="B101" s="50">
        <v>0</v>
      </c>
      <c r="C101" s="43">
        <v>33.646999999999998</v>
      </c>
      <c r="D101" s="50">
        <v>0</v>
      </c>
      <c r="E101" s="45">
        <v>0</v>
      </c>
    </row>
    <row r="102" spans="1:5" x14ac:dyDescent="0.2">
      <c r="A102" s="47" t="s">
        <v>971</v>
      </c>
      <c r="B102" s="50">
        <v>0</v>
      </c>
      <c r="C102" s="43">
        <v>33.646999999999998</v>
      </c>
      <c r="D102" s="50">
        <v>0</v>
      </c>
      <c r="E102" s="45">
        <v>0</v>
      </c>
    </row>
    <row r="103" spans="1:5" x14ac:dyDescent="0.2">
      <c r="A103" s="47" t="s">
        <v>919</v>
      </c>
      <c r="B103" s="50">
        <v>0</v>
      </c>
      <c r="C103" s="43">
        <v>33.646999999999998</v>
      </c>
      <c r="D103" s="50">
        <v>0</v>
      </c>
      <c r="E103" s="45">
        <v>0</v>
      </c>
    </row>
    <row r="104" spans="1:5" x14ac:dyDescent="0.2">
      <c r="A104" s="47" t="s">
        <v>1051</v>
      </c>
      <c r="B104" s="50">
        <v>8.0799254431496281E-5</v>
      </c>
      <c r="C104" s="43">
        <v>0.79200000000000004</v>
      </c>
      <c r="D104" s="50">
        <v>2.4613850144250468E-5</v>
      </c>
      <c r="E104" s="45">
        <v>9.5254397700000002</v>
      </c>
    </row>
    <row r="105" spans="1:5" x14ac:dyDescent="0.2">
      <c r="A105" s="47" t="s">
        <v>810</v>
      </c>
      <c r="B105" s="50">
        <v>1.9237917721784829E-5</v>
      </c>
      <c r="C105" s="43">
        <v>6.2789999999999999</v>
      </c>
      <c r="D105" s="50">
        <v>4.6461749956634406E-5</v>
      </c>
      <c r="E105" s="45">
        <v>2.2679618500000003</v>
      </c>
    </row>
    <row r="106" spans="1:5" x14ac:dyDescent="0.2">
      <c r="A106" s="47" t="s">
        <v>809</v>
      </c>
      <c r="B106" s="50">
        <v>2.5009293038320276E-4</v>
      </c>
      <c r="C106" s="43">
        <v>6.2790000000000008</v>
      </c>
      <c r="D106" s="50">
        <v>6.0400274943624729E-4</v>
      </c>
      <c r="E106" s="45">
        <v>29.483504050000001</v>
      </c>
    </row>
    <row r="107" spans="1:5" x14ac:dyDescent="0.2">
      <c r="A107" s="47" t="s">
        <v>778</v>
      </c>
      <c r="B107" s="50">
        <v>7.6951670887139315E-5</v>
      </c>
      <c r="C107" s="43">
        <v>0.20599999999999999</v>
      </c>
      <c r="D107" s="50">
        <v>6.0972259857089907E-6</v>
      </c>
      <c r="E107" s="45">
        <v>9.0718474000000011</v>
      </c>
    </row>
    <row r="108" spans="1:5" x14ac:dyDescent="0.2">
      <c r="A108" s="47" t="s">
        <v>213</v>
      </c>
      <c r="B108" s="50">
        <v>1.1773605645732316E-3</v>
      </c>
      <c r="C108" s="43">
        <v>0.20600000000000002</v>
      </c>
      <c r="D108" s="50">
        <v>9.3287557581347552E-5</v>
      </c>
      <c r="E108" s="45">
        <v>138.79926522000002</v>
      </c>
    </row>
    <row r="109" spans="1:5" x14ac:dyDescent="0.2">
      <c r="A109" s="47" t="s">
        <v>980</v>
      </c>
      <c r="B109" s="50">
        <v>1.7389335742471285E-2</v>
      </c>
      <c r="C109" s="43">
        <v>3.3300000000000045</v>
      </c>
      <c r="D109" s="50">
        <v>2.227277056483588E-2</v>
      </c>
      <c r="E109" s="45">
        <v>2050.032162062254</v>
      </c>
    </row>
    <row r="110" spans="1:5" x14ac:dyDescent="0.2">
      <c r="A110" s="47" t="s">
        <v>988</v>
      </c>
      <c r="B110" s="50">
        <v>3.8475835443569658E-5</v>
      </c>
      <c r="C110" s="43">
        <v>2.21</v>
      </c>
      <c r="D110" s="50">
        <v>3.2705993758293374E-5</v>
      </c>
      <c r="E110" s="45">
        <v>4.5359237000000006</v>
      </c>
    </row>
    <row r="111" spans="1:5" x14ac:dyDescent="0.2">
      <c r="A111" s="47" t="s">
        <v>849</v>
      </c>
      <c r="B111" s="50">
        <v>1.9237917721784828E-3</v>
      </c>
      <c r="C111" s="43">
        <v>0.7569999999999999</v>
      </c>
      <c r="D111" s="50">
        <v>5.6014563970651764E-4</v>
      </c>
      <c r="E111" s="45">
        <v>226.79618500000001</v>
      </c>
    </row>
    <row r="112" spans="1:5" x14ac:dyDescent="0.2">
      <c r="A112" s="47" t="s">
        <v>916</v>
      </c>
      <c r="B112" s="50">
        <v>8.4646837975853252E-4</v>
      </c>
      <c r="C112" s="43">
        <v>0.54999999999999993</v>
      </c>
      <c r="D112" s="50">
        <v>1.7906901559970579E-4</v>
      </c>
      <c r="E112" s="45">
        <v>99.79032140000001</v>
      </c>
    </row>
    <row r="113" spans="1:5" x14ac:dyDescent="0.2">
      <c r="A113" s="47" t="s">
        <v>900</v>
      </c>
      <c r="B113" s="50">
        <v>1.385130075968508E-3</v>
      </c>
      <c r="C113" s="43">
        <v>0.7599999999999999</v>
      </c>
      <c r="D113" s="50">
        <v>4.0490316254611174E-4</v>
      </c>
      <c r="E113" s="45">
        <v>163.29325320000004</v>
      </c>
    </row>
    <row r="114" spans="1:5" x14ac:dyDescent="0.2">
      <c r="A114" s="47" t="s">
        <v>964</v>
      </c>
      <c r="B114" s="50">
        <v>0</v>
      </c>
      <c r="C114" s="43">
        <v>0.75700000000000001</v>
      </c>
      <c r="D114" s="50">
        <v>0</v>
      </c>
      <c r="E114" s="45">
        <v>0</v>
      </c>
    </row>
    <row r="115" spans="1:5" x14ac:dyDescent="0.2">
      <c r="A115" s="47" t="s">
        <v>29</v>
      </c>
      <c r="B115" s="50">
        <v>1.9237917721784829E-4</v>
      </c>
      <c r="C115" s="43">
        <v>0.55000000000000004</v>
      </c>
      <c r="D115" s="50">
        <v>4.0697503545387679E-5</v>
      </c>
      <c r="E115" s="45">
        <v>22.6796185</v>
      </c>
    </row>
    <row r="116" spans="1:5" x14ac:dyDescent="0.2">
      <c r="A116" s="47" t="s">
        <v>881</v>
      </c>
      <c r="B116" s="50">
        <v>7.2142191456693112E-5</v>
      </c>
      <c r="C116" s="43">
        <v>2.5299999999999998</v>
      </c>
      <c r="D116" s="50">
        <v>7.0203193615793759E-5</v>
      </c>
      <c r="E116" s="45">
        <v>8.5048569375000014</v>
      </c>
    </row>
    <row r="117" spans="1:5" x14ac:dyDescent="0.2">
      <c r="A117" s="47" t="s">
        <v>986</v>
      </c>
      <c r="B117" s="50">
        <v>4.4728158703149725E-5</v>
      </c>
      <c r="C117" s="43">
        <v>2.5299999999999998</v>
      </c>
      <c r="D117" s="50">
        <v>4.3525980041792119E-5</v>
      </c>
      <c r="E117" s="45">
        <v>5.2730113012500004</v>
      </c>
    </row>
    <row r="118" spans="1:5" x14ac:dyDescent="0.2">
      <c r="A118" s="47" t="s">
        <v>1047</v>
      </c>
      <c r="B118" s="50">
        <v>6.9400788181338778E-4</v>
      </c>
      <c r="C118" s="43">
        <v>2.5299999999999998</v>
      </c>
      <c r="D118" s="50">
        <v>6.753547225839358E-4</v>
      </c>
      <c r="E118" s="45">
        <v>81.816723738750014</v>
      </c>
    </row>
    <row r="119" spans="1:5" x14ac:dyDescent="0.2">
      <c r="A119" s="47" t="s">
        <v>993</v>
      </c>
      <c r="B119" s="50">
        <v>1.8035547864173278E-5</v>
      </c>
      <c r="C119" s="43">
        <v>2.5299999999999998</v>
      </c>
      <c r="D119" s="50">
        <v>1.755079840394844E-5</v>
      </c>
      <c r="E119" s="45">
        <v>2.1262142343750003</v>
      </c>
    </row>
    <row r="120" spans="1:5" x14ac:dyDescent="0.2">
      <c r="A120" s="47" t="s">
        <v>990</v>
      </c>
      <c r="B120" s="50">
        <v>0</v>
      </c>
      <c r="C120" s="43">
        <v>2.5299999999999998</v>
      </c>
      <c r="D120" s="50">
        <v>0</v>
      </c>
      <c r="E120" s="45">
        <v>0</v>
      </c>
    </row>
    <row r="121" spans="1:5" x14ac:dyDescent="0.2">
      <c r="A121" s="47" t="s">
        <v>924</v>
      </c>
      <c r="B121" s="50">
        <v>2.0776951139527618E-4</v>
      </c>
      <c r="C121" s="43">
        <v>1.4179999999999999</v>
      </c>
      <c r="D121" s="50">
        <v>1.1331960878099728E-4</v>
      </c>
      <c r="E121" s="45">
        <v>24.493987980000004</v>
      </c>
    </row>
    <row r="122" spans="1:5" x14ac:dyDescent="0.2">
      <c r="A122" s="47" t="s">
        <v>879</v>
      </c>
      <c r="B122" s="50">
        <v>1.5390334177427863E-4</v>
      </c>
      <c r="C122" s="43">
        <v>1.4179999999999999</v>
      </c>
      <c r="D122" s="50">
        <v>8.3940450948886887E-5</v>
      </c>
      <c r="E122" s="45">
        <v>18.143694800000002</v>
      </c>
    </row>
    <row r="123" spans="1:5" x14ac:dyDescent="0.2">
      <c r="A123" s="47" t="s">
        <v>1053</v>
      </c>
      <c r="B123" s="50">
        <v>1.1542750633070897E-4</v>
      </c>
      <c r="C123" s="43">
        <v>3.8250000000000006</v>
      </c>
      <c r="D123" s="50">
        <v>1.6981958297575405E-4</v>
      </c>
      <c r="E123" s="45">
        <v>13.607771100000001</v>
      </c>
    </row>
    <row r="124" spans="1:5" x14ac:dyDescent="0.2">
      <c r="A124" s="47" t="s">
        <v>932</v>
      </c>
      <c r="B124" s="50">
        <v>1.0388475569763807E-3</v>
      </c>
      <c r="C124" s="43">
        <v>1.28</v>
      </c>
      <c r="D124" s="50">
        <v>5.1145662637403573E-4</v>
      </c>
      <c r="E124" s="45">
        <v>122.4699399</v>
      </c>
    </row>
    <row r="125" spans="1:5" x14ac:dyDescent="0.2">
      <c r="A125" s="47" t="s">
        <v>89</v>
      </c>
      <c r="B125" s="50">
        <v>8.9369960531192789E-3</v>
      </c>
      <c r="C125" s="43">
        <v>0.4090000000000002</v>
      </c>
      <c r="D125" s="50">
        <v>1.4059241510920762E-3</v>
      </c>
      <c r="E125" s="45">
        <v>1053.5841973751114</v>
      </c>
    </row>
    <row r="126" spans="1:5" x14ac:dyDescent="0.2">
      <c r="A126" s="47" t="s">
        <v>822</v>
      </c>
      <c r="B126" s="50">
        <v>3.8475835443569658E-6</v>
      </c>
      <c r="C126" s="43">
        <v>3.33</v>
      </c>
      <c r="D126" s="50">
        <v>4.92809770204149E-6</v>
      </c>
      <c r="E126" s="45">
        <v>0.45359237000000002</v>
      </c>
    </row>
    <row r="127" spans="1:5" x14ac:dyDescent="0.2">
      <c r="A127" s="47" t="s">
        <v>95</v>
      </c>
      <c r="B127" s="50">
        <v>4.8094794304462072E-6</v>
      </c>
      <c r="C127" s="43">
        <v>0.87</v>
      </c>
      <c r="D127" s="50">
        <v>1.6094012765676037E-6</v>
      </c>
      <c r="E127" s="45">
        <v>0.56699046250000007</v>
      </c>
    </row>
    <row r="128" spans="1:5" x14ac:dyDescent="0.2">
      <c r="A128" s="47" t="s">
        <v>970</v>
      </c>
      <c r="B128" s="50">
        <v>4.4479989564538702E-4</v>
      </c>
      <c r="C128" s="43">
        <v>2.2999999999999998</v>
      </c>
      <c r="D128" s="50">
        <v>3.9349528232503444E-4</v>
      </c>
      <c r="E128" s="45">
        <v>52.437545933850004</v>
      </c>
    </row>
    <row r="129" spans="1:5" x14ac:dyDescent="0.2">
      <c r="A129" s="47" t="s">
        <v>969</v>
      </c>
      <c r="B129" s="50">
        <v>9.2342005064567178E-5</v>
      </c>
      <c r="C129" s="43">
        <v>1.28</v>
      </c>
      <c r="D129" s="50">
        <v>4.5462811233247616E-5</v>
      </c>
      <c r="E129" s="45">
        <v>10.886216880000001</v>
      </c>
    </row>
    <row r="130" spans="1:5" x14ac:dyDescent="0.2">
      <c r="A130" s="47" t="s">
        <v>998</v>
      </c>
      <c r="B130" s="50">
        <v>1.3035613048281402E-4</v>
      </c>
      <c r="C130" s="43">
        <v>3.33</v>
      </c>
      <c r="D130" s="50">
        <v>1.6696395014516568E-4</v>
      </c>
      <c r="E130" s="45">
        <v>15.367709495600002</v>
      </c>
    </row>
    <row r="131" spans="1:5" x14ac:dyDescent="0.2">
      <c r="A131" s="47" t="s">
        <v>90</v>
      </c>
      <c r="B131" s="50">
        <v>6.1347582068358268E-3</v>
      </c>
      <c r="C131" s="43">
        <v>0.52599999999999991</v>
      </c>
      <c r="D131" s="50">
        <v>1.2411669758017805E-3</v>
      </c>
      <c r="E131" s="45">
        <v>723.22783438888871</v>
      </c>
    </row>
    <row r="132" spans="1:5" x14ac:dyDescent="0.2">
      <c r="A132" s="47" t="s">
        <v>1000</v>
      </c>
      <c r="B132" s="50">
        <v>3.1165426709291421E-4</v>
      </c>
      <c r="C132" s="43">
        <v>3.46</v>
      </c>
      <c r="D132" s="50">
        <v>4.1475935795019455E-4</v>
      </c>
      <c r="E132" s="45">
        <v>36.74098197</v>
      </c>
    </row>
    <row r="133" spans="1:5" x14ac:dyDescent="0.2">
      <c r="A133" s="47" t="s">
        <v>968</v>
      </c>
      <c r="B133" s="50">
        <v>1.3851300759685074E-4</v>
      </c>
      <c r="C133" s="43">
        <v>1.28</v>
      </c>
      <c r="D133" s="50">
        <v>6.8194216849871425E-5</v>
      </c>
      <c r="E133" s="45">
        <v>16.329325319999999</v>
      </c>
    </row>
    <row r="134" spans="1:5" x14ac:dyDescent="0.2">
      <c r="A134" s="47" t="s">
        <v>931</v>
      </c>
      <c r="B134" s="50">
        <v>2.8856876582677243E-6</v>
      </c>
      <c r="C134" s="43"/>
      <c r="D134" s="50">
        <v>0</v>
      </c>
      <c r="E134" s="45">
        <v>0.34019427750000003</v>
      </c>
    </row>
    <row r="135" spans="1:5" x14ac:dyDescent="0.2">
      <c r="A135" s="47" t="s">
        <v>978</v>
      </c>
      <c r="B135" s="50">
        <v>9.2342005064567178E-5</v>
      </c>
      <c r="C135" s="43"/>
      <c r="D135" s="50">
        <v>0</v>
      </c>
      <c r="E135" s="45">
        <v>10.886216880000001</v>
      </c>
    </row>
    <row r="136" spans="1:5" x14ac:dyDescent="0.2">
      <c r="A136" s="47" t="s">
        <v>720</v>
      </c>
      <c r="B136" s="50">
        <v>1.7718122221763823E-5</v>
      </c>
      <c r="C136" s="43">
        <v>0.33100000000000002</v>
      </c>
      <c r="D136" s="50">
        <v>2.2557590278754507E-6</v>
      </c>
      <c r="E136" s="45">
        <v>2.0887928638499997</v>
      </c>
    </row>
    <row r="137" spans="1:5" x14ac:dyDescent="0.2">
      <c r="A137" s="47" t="s">
        <v>863</v>
      </c>
      <c r="B137" s="50">
        <v>1.4236059114120771E-2</v>
      </c>
      <c r="C137" s="43">
        <v>0.35799999999999987</v>
      </c>
      <c r="D137" s="50">
        <v>1.960287752589837E-3</v>
      </c>
      <c r="E137" s="45">
        <v>1678.2917689999997</v>
      </c>
    </row>
    <row r="138" spans="1:5" x14ac:dyDescent="0.2">
      <c r="A138" s="47" t="s">
        <v>205</v>
      </c>
      <c r="B138" s="50">
        <v>1.7966676118729282E-3</v>
      </c>
      <c r="C138" s="43">
        <v>0.74300000000000022</v>
      </c>
      <c r="D138" s="50">
        <v>5.1345639810461061E-4</v>
      </c>
      <c r="E138" s="45">
        <v>211.80949309519997</v>
      </c>
    </row>
    <row r="139" spans="1:5" x14ac:dyDescent="0.2">
      <c r="A139" s="47" t="s">
        <v>215</v>
      </c>
      <c r="B139" s="50">
        <v>1.6352230063517107E-3</v>
      </c>
      <c r="C139" s="43">
        <v>0.95000000000000007</v>
      </c>
      <c r="D139" s="50">
        <v>5.9751334750728275E-4</v>
      </c>
      <c r="E139" s="45">
        <v>192.77675725000003</v>
      </c>
    </row>
    <row r="140" spans="1:5" x14ac:dyDescent="0.2">
      <c r="A140" s="47" t="s">
        <v>764</v>
      </c>
      <c r="B140" s="50">
        <v>8.9340889899968742E-3</v>
      </c>
      <c r="C140" s="43">
        <v>0.47799999999999981</v>
      </c>
      <c r="D140" s="50">
        <v>1.6425749216393642E-3</v>
      </c>
      <c r="E140" s="45">
        <v>1053.2414831400001</v>
      </c>
    </row>
    <row r="141" spans="1:5" x14ac:dyDescent="0.2">
      <c r="A141" s="47" t="s">
        <v>836</v>
      </c>
      <c r="B141" s="50">
        <v>9.0379737456945132E-4</v>
      </c>
      <c r="C141" s="43">
        <v>1.21</v>
      </c>
      <c r="D141" s="50">
        <v>4.2063311764370897E-4</v>
      </c>
      <c r="E141" s="45">
        <v>106.54884771300001</v>
      </c>
    </row>
    <row r="142" spans="1:5" x14ac:dyDescent="0.2">
      <c r="A142" s="47" t="s">
        <v>28</v>
      </c>
      <c r="B142" s="50">
        <v>3.8475835443569658E-4</v>
      </c>
      <c r="C142" s="43">
        <v>0.55000000000000004</v>
      </c>
      <c r="D142" s="50">
        <v>8.1395007090775357E-5</v>
      </c>
      <c r="E142" s="45">
        <v>45.359237</v>
      </c>
    </row>
    <row r="143" spans="1:5" x14ac:dyDescent="0.2">
      <c r="A143" s="47" t="s">
        <v>899</v>
      </c>
      <c r="B143" s="50">
        <v>1.231226734194229E-3</v>
      </c>
      <c r="C143" s="43">
        <v>0.55000000000000004</v>
      </c>
      <c r="D143" s="50">
        <v>2.6046402269048119E-4</v>
      </c>
      <c r="E143" s="45">
        <v>145.14955840000002</v>
      </c>
    </row>
    <row r="144" spans="1:5" x14ac:dyDescent="0.2">
      <c r="A144" s="47" t="s">
        <v>775</v>
      </c>
      <c r="B144" s="50">
        <v>1.9237917721784829E-5</v>
      </c>
      <c r="C144" s="43">
        <v>0.221</v>
      </c>
      <c r="D144" s="50">
        <v>1.6352996879146688E-6</v>
      </c>
      <c r="E144" s="45">
        <v>2.2679618500000003</v>
      </c>
    </row>
    <row r="145" spans="1:5" x14ac:dyDescent="0.2">
      <c r="A145" s="47" t="s">
        <v>782</v>
      </c>
      <c r="B145" s="50">
        <v>4.453577952593188E-4</v>
      </c>
      <c r="C145" s="43">
        <v>0.22100000000000006</v>
      </c>
      <c r="D145" s="50">
        <v>3.7857187775224589E-5</v>
      </c>
      <c r="E145" s="45">
        <v>52.503316827500008</v>
      </c>
    </row>
    <row r="146" spans="1:5" x14ac:dyDescent="0.2">
      <c r="A146" s="47" t="s">
        <v>1085</v>
      </c>
      <c r="B146" s="50">
        <v>2.347025962057749E-4</v>
      </c>
      <c r="C146" s="43">
        <v>0.221</v>
      </c>
      <c r="D146" s="50">
        <v>1.9950656192558956E-5</v>
      </c>
      <c r="E146" s="45">
        <v>27.669134570000001</v>
      </c>
    </row>
    <row r="147" spans="1:5" x14ac:dyDescent="0.2">
      <c r="A147" s="47" t="s">
        <v>878</v>
      </c>
      <c r="B147" s="50">
        <v>1.6852415924283515E-3</v>
      </c>
      <c r="C147" s="43">
        <v>2.4400000000000004</v>
      </c>
      <c r="D147" s="50">
        <v>1.5816085814191537E-3</v>
      </c>
      <c r="E147" s="45">
        <v>198.67345806000006</v>
      </c>
    </row>
    <row r="148" spans="1:5" x14ac:dyDescent="0.2">
      <c r="A148" s="47" t="s">
        <v>103</v>
      </c>
      <c r="B148" s="50">
        <v>2.4070482653497184E-2</v>
      </c>
      <c r="C148" s="43">
        <v>0.28399999999999992</v>
      </c>
      <c r="D148" s="50">
        <v>2.6293606305128892E-3</v>
      </c>
      <c r="E148" s="45">
        <v>2837.6738667200011</v>
      </c>
    </row>
    <row r="149" spans="1:5" x14ac:dyDescent="0.2">
      <c r="A149" s="47" t="s">
        <v>992</v>
      </c>
      <c r="B149" s="50">
        <v>2.7702601519370154E-4</v>
      </c>
      <c r="C149" s="43">
        <v>3.1999999999999997</v>
      </c>
      <c r="D149" s="50">
        <v>3.4097108424935714E-4</v>
      </c>
      <c r="E149" s="45">
        <v>32.658650640000005</v>
      </c>
    </row>
    <row r="150" spans="1:5" x14ac:dyDescent="0.2">
      <c r="A150" s="47" t="s">
        <v>866</v>
      </c>
      <c r="B150" s="50">
        <v>8.3107804558110482E-4</v>
      </c>
      <c r="C150" s="43">
        <v>3.2333333333333334</v>
      </c>
      <c r="D150" s="50">
        <v>1.0335685991308637E-3</v>
      </c>
      <c r="E150" s="45">
        <v>97.975951920000028</v>
      </c>
    </row>
    <row r="151" spans="1:5" x14ac:dyDescent="0.2">
      <c r="A151" s="47" t="s">
        <v>507</v>
      </c>
      <c r="B151" s="50">
        <v>7.9260221013753476E-4</v>
      </c>
      <c r="C151" s="43">
        <v>0.19300000000000003</v>
      </c>
      <c r="D151" s="50">
        <v>5.8838230762091769E-5</v>
      </c>
      <c r="E151" s="45">
        <v>93.440028219999988</v>
      </c>
    </row>
    <row r="152" spans="1:5" x14ac:dyDescent="0.2">
      <c r="A152" s="47" t="s">
        <v>874</v>
      </c>
      <c r="B152" s="50">
        <v>6.5793678608504116E-4</v>
      </c>
      <c r="C152" s="43">
        <v>3.2</v>
      </c>
      <c r="D152" s="50">
        <v>8.0980632509222326E-4</v>
      </c>
      <c r="E152" s="45">
        <v>77.564295270000002</v>
      </c>
    </row>
    <row r="153" spans="1:5" x14ac:dyDescent="0.2">
      <c r="A153" s="47" t="s">
        <v>770</v>
      </c>
      <c r="B153" s="50">
        <v>5.1942377848819045E-5</v>
      </c>
      <c r="C153" s="43">
        <v>6.9000000000000006E-2</v>
      </c>
      <c r="D153" s="50">
        <v>1.3785354382737685E-6</v>
      </c>
      <c r="E153" s="45">
        <v>6.1234969950000009</v>
      </c>
    </row>
    <row r="154" spans="1:5" x14ac:dyDescent="0.2">
      <c r="A154" s="47" t="s">
        <v>185</v>
      </c>
      <c r="B154" s="50">
        <v>1.1635092638135464E-3</v>
      </c>
      <c r="C154" s="43">
        <v>0.33200000000000002</v>
      </c>
      <c r="D154" s="50">
        <v>1.4857814996165742E-4</v>
      </c>
      <c r="E154" s="45">
        <v>137.16633268800001</v>
      </c>
    </row>
    <row r="155" spans="1:5" x14ac:dyDescent="0.2">
      <c r="A155" s="47" t="s">
        <v>973</v>
      </c>
      <c r="B155" s="50">
        <v>1.5390334177427863E-4</v>
      </c>
      <c r="C155" s="43">
        <v>1.88</v>
      </c>
      <c r="D155" s="50">
        <v>1.1128917333138741E-4</v>
      </c>
      <c r="E155" s="45">
        <v>18.143694800000002</v>
      </c>
    </row>
    <row r="156" spans="1:5" x14ac:dyDescent="0.2">
      <c r="A156" s="47" t="s">
        <v>768</v>
      </c>
      <c r="B156" s="50">
        <v>7.079553721616819E-3</v>
      </c>
      <c r="C156" s="43">
        <v>0.20062499999999994</v>
      </c>
      <c r="D156" s="50">
        <v>4.7134516687970154E-4</v>
      </c>
      <c r="E156" s="45">
        <v>834.60996080000029</v>
      </c>
    </row>
    <row r="157" spans="1:5" x14ac:dyDescent="0.2">
      <c r="A157" s="47" t="s">
        <v>800</v>
      </c>
      <c r="B157" s="50">
        <v>3.8475835443569658E-5</v>
      </c>
      <c r="C157" s="43">
        <v>0.22</v>
      </c>
      <c r="D157" s="50">
        <v>3.2558002836310147E-6</v>
      </c>
      <c r="E157" s="45">
        <v>4.5359237000000006</v>
      </c>
    </row>
    <row r="158" spans="1:5" x14ac:dyDescent="0.2">
      <c r="A158" s="47" t="s">
        <v>823</v>
      </c>
      <c r="B158" s="50">
        <v>3.8475835443569658E-5</v>
      </c>
      <c r="C158" s="43">
        <v>0.22</v>
      </c>
      <c r="D158" s="50">
        <v>3.2558002836310147E-6</v>
      </c>
      <c r="E158" s="45">
        <v>4.5359237000000006</v>
      </c>
    </row>
    <row r="159" spans="1:5" x14ac:dyDescent="0.2">
      <c r="A159" s="47" t="s">
        <v>829</v>
      </c>
      <c r="B159" s="50">
        <v>7.6951670887139315E-5</v>
      </c>
      <c r="C159" s="43">
        <v>0.22</v>
      </c>
      <c r="D159" s="50">
        <v>6.5116005672620293E-6</v>
      </c>
      <c r="E159" s="45">
        <v>9.0718474000000011</v>
      </c>
    </row>
    <row r="160" spans="1:5" x14ac:dyDescent="0.2">
      <c r="A160" s="47" t="s">
        <v>101</v>
      </c>
      <c r="B160" s="50">
        <v>4.7821615872812727E-4</v>
      </c>
      <c r="C160" s="43">
        <v>1.9430000000000001</v>
      </c>
      <c r="D160" s="50">
        <v>3.573913726007296E-4</v>
      </c>
      <c r="E160" s="45">
        <v>56.376995667300001</v>
      </c>
    </row>
    <row r="161" spans="1:5" x14ac:dyDescent="0.2">
      <c r="A161" s="47" t="s">
        <v>771</v>
      </c>
      <c r="B161" s="50">
        <v>1.462081746855647E-4</v>
      </c>
      <c r="C161" s="43">
        <v>0.61199999999999999</v>
      </c>
      <c r="D161" s="50">
        <v>3.441676881641948E-5</v>
      </c>
      <c r="E161" s="45">
        <v>17.236510060000001</v>
      </c>
    </row>
    <row r="162" spans="1:5" x14ac:dyDescent="0.2">
      <c r="A162" s="47" t="s">
        <v>997</v>
      </c>
      <c r="B162" s="50">
        <v>3.8475835443569658E-5</v>
      </c>
      <c r="C162" s="43">
        <v>0.63900000000000001</v>
      </c>
      <c r="D162" s="50">
        <v>9.4566199147282648E-6</v>
      </c>
      <c r="E162" s="45">
        <v>4.5359237000000006</v>
      </c>
    </row>
    <row r="163" spans="1:5" x14ac:dyDescent="0.2">
      <c r="A163" s="47" t="s">
        <v>926</v>
      </c>
      <c r="B163" s="50">
        <v>3.4628251899212689E-4</v>
      </c>
      <c r="C163" s="43"/>
      <c r="D163" s="50">
        <v>0</v>
      </c>
      <c r="E163" s="45">
        <v>40.823313300000002</v>
      </c>
    </row>
    <row r="164" spans="1:5" x14ac:dyDescent="0.2">
      <c r="A164" s="47" t="s">
        <v>865</v>
      </c>
      <c r="B164" s="50">
        <v>7.3196429347846916E-4</v>
      </c>
      <c r="C164" s="43">
        <v>0.48799999999999999</v>
      </c>
      <c r="D164" s="50">
        <v>1.3739050983067568E-4</v>
      </c>
      <c r="E164" s="45">
        <v>86.291412468800004</v>
      </c>
    </row>
    <row r="165" spans="1:5" x14ac:dyDescent="0.2">
      <c r="A165" s="47" t="s">
        <v>1048</v>
      </c>
      <c r="B165" s="50">
        <v>3.6598214673923458E-4</v>
      </c>
      <c r="C165" s="43">
        <v>0.48799999999999999</v>
      </c>
      <c r="D165" s="50">
        <v>6.869525491533784E-5</v>
      </c>
      <c r="E165" s="45">
        <v>43.145706234400002</v>
      </c>
    </row>
    <row r="166" spans="1:5" x14ac:dyDescent="0.2">
      <c r="A166" s="47" t="s">
        <v>975</v>
      </c>
      <c r="B166" s="50">
        <v>3.6598214673923458E-4</v>
      </c>
      <c r="C166" s="43">
        <v>0.48799999999999999</v>
      </c>
      <c r="D166" s="50">
        <v>6.869525491533784E-5</v>
      </c>
      <c r="E166" s="45">
        <v>43.145706234400002</v>
      </c>
    </row>
    <row r="167" spans="1:5" x14ac:dyDescent="0.2">
      <c r="A167" s="47" t="s">
        <v>233</v>
      </c>
      <c r="B167" s="50">
        <v>6.4523976038866346E-3</v>
      </c>
      <c r="C167" s="43">
        <v>3.093</v>
      </c>
      <c r="D167" s="50">
        <v>7.6762314068104598E-3</v>
      </c>
      <c r="E167" s="45">
        <v>760.67440449000037</v>
      </c>
    </row>
    <row r="168" spans="1:5" x14ac:dyDescent="0.2">
      <c r="A168" s="47" t="s">
        <v>876</v>
      </c>
      <c r="B168" s="50">
        <v>4.9249069367769162E-3</v>
      </c>
      <c r="C168" s="43">
        <v>5.9899999999999993</v>
      </c>
      <c r="D168" s="50">
        <v>1.1346759970298052E-2</v>
      </c>
      <c r="E168" s="45">
        <v>580.59823360000007</v>
      </c>
    </row>
    <row r="169" spans="1:5" x14ac:dyDescent="0.2">
      <c r="A169" s="47" t="s">
        <v>867</v>
      </c>
      <c r="B169" s="50">
        <v>1.0370007168750896E-2</v>
      </c>
      <c r="C169" s="43">
        <v>2.6460000000000004</v>
      </c>
      <c r="D169" s="50">
        <v>1.0553971417306523E-2</v>
      </c>
      <c r="E169" s="45">
        <v>1222.5221556240003</v>
      </c>
    </row>
    <row r="170" spans="1:5" x14ac:dyDescent="0.2">
      <c r="A170" s="47" t="s">
        <v>722</v>
      </c>
      <c r="B170" s="50">
        <v>2.1161709493963313E-4</v>
      </c>
      <c r="C170" s="43">
        <v>0.496</v>
      </c>
      <c r="D170" s="50">
        <v>4.0371923517024576E-5</v>
      </c>
      <c r="E170" s="45">
        <v>24.947580350000003</v>
      </c>
    </row>
    <row r="171" spans="1:5" x14ac:dyDescent="0.2">
      <c r="A171" s="47" t="s">
        <v>883</v>
      </c>
      <c r="B171" s="50">
        <v>1.615985088629926E-3</v>
      </c>
      <c r="C171" s="43">
        <v>2.0385714285714283</v>
      </c>
      <c r="D171" s="50">
        <v>1.2670982740203972E-3</v>
      </c>
      <c r="E171" s="45">
        <v>190.50879540000005</v>
      </c>
    </row>
    <row r="172" spans="1:5" x14ac:dyDescent="0.2">
      <c r="A172" s="47" t="s">
        <v>1060</v>
      </c>
      <c r="B172" s="50">
        <v>2.3085501266141795E-4</v>
      </c>
      <c r="C172" s="43">
        <v>0.48199999999999998</v>
      </c>
      <c r="D172" s="50">
        <v>4.2798974637549513E-5</v>
      </c>
      <c r="E172" s="45">
        <v>27.215542200000002</v>
      </c>
    </row>
    <row r="173" spans="1:5" x14ac:dyDescent="0.2">
      <c r="A173" s="47" t="s">
        <v>1046</v>
      </c>
      <c r="B173" s="50">
        <v>1.8237546000252021E-4</v>
      </c>
      <c r="C173" s="43">
        <v>3.206</v>
      </c>
      <c r="D173" s="50">
        <v>2.2489351664628043E-4</v>
      </c>
      <c r="E173" s="45">
        <v>21.500278338000005</v>
      </c>
    </row>
    <row r="174" spans="1:5" x14ac:dyDescent="0.2">
      <c r="A174" s="47" t="s">
        <v>762</v>
      </c>
      <c r="B174" s="50">
        <v>9.0475927045554037E-3</v>
      </c>
      <c r="C174" s="43">
        <v>0.26900000000000007</v>
      </c>
      <c r="D174" s="50">
        <v>9.361217566871777E-4</v>
      </c>
      <c r="E174" s="45">
        <v>1066.6224580549999</v>
      </c>
    </row>
    <row r="175" spans="1:5" x14ac:dyDescent="0.2">
      <c r="A175" s="47" t="s">
        <v>804</v>
      </c>
      <c r="B175" s="50">
        <v>1.1061802690026278E-4</v>
      </c>
      <c r="C175" s="43">
        <v>8.4999999999999978E-2</v>
      </c>
      <c r="D175" s="50">
        <v>3.6165281559651328E-6</v>
      </c>
      <c r="E175" s="45">
        <v>13.040780637500003</v>
      </c>
    </row>
    <row r="176" spans="1:5" x14ac:dyDescent="0.2">
      <c r="A176" s="47" t="s">
        <v>805</v>
      </c>
      <c r="B176" s="50">
        <v>6.7332712026246897E-4</v>
      </c>
      <c r="C176" s="43">
        <v>0.26900000000000002</v>
      </c>
      <c r="D176" s="50">
        <v>6.9666726523604536E-5</v>
      </c>
      <c r="E176" s="45">
        <v>79.378664749999999</v>
      </c>
    </row>
    <row r="177" spans="1:5" x14ac:dyDescent="0.2">
      <c r="A177" s="47" t="s">
        <v>779</v>
      </c>
      <c r="B177" s="50">
        <v>4.8575742247506703E-3</v>
      </c>
      <c r="C177" s="43">
        <v>0.26900000000000007</v>
      </c>
      <c r="D177" s="50">
        <v>5.0259566992028992E-4</v>
      </c>
      <c r="E177" s="45">
        <v>572.66036712500011</v>
      </c>
    </row>
    <row r="178" spans="1:5" x14ac:dyDescent="0.2">
      <c r="A178" s="47" t="s">
        <v>923</v>
      </c>
      <c r="B178" s="50">
        <v>9.1418585013921519E-4</v>
      </c>
      <c r="C178" s="43">
        <v>0.29399999999999998</v>
      </c>
      <c r="D178" s="50">
        <v>1.0337817060585197E-4</v>
      </c>
      <c r="E178" s="45">
        <v>107.77354711200002</v>
      </c>
    </row>
    <row r="179" spans="1:5" x14ac:dyDescent="0.2">
      <c r="A179" s="47" t="s">
        <v>776</v>
      </c>
      <c r="B179" s="50">
        <v>3.1391547270401506E-3</v>
      </c>
      <c r="C179" s="43">
        <v>0.29399999999999998</v>
      </c>
      <c r="D179" s="50">
        <v>3.5498260324276997E-4</v>
      </c>
      <c r="E179" s="45">
        <v>370.0755593788715</v>
      </c>
    </row>
    <row r="180" spans="1:5" x14ac:dyDescent="0.2">
      <c r="A180" s="47" t="s">
        <v>49</v>
      </c>
      <c r="B180" s="50">
        <v>8.38562485905711E-2</v>
      </c>
      <c r="C180" s="43">
        <v>0.29399999999999993</v>
      </c>
      <c r="D180" s="50">
        <v>9.4826512265997805E-3</v>
      </c>
      <c r="E180" s="45">
        <v>9885.8294040924411</v>
      </c>
    </row>
    <row r="181" spans="1:5" x14ac:dyDescent="0.2">
      <c r="A181" s="47" t="s">
        <v>904</v>
      </c>
      <c r="B181" s="50">
        <v>1.8468401012913438E-3</v>
      </c>
      <c r="C181" s="43"/>
      <c r="D181" s="50">
        <v>0</v>
      </c>
      <c r="E181" s="45">
        <v>217.72433760000004</v>
      </c>
    </row>
    <row r="182" spans="1:5" x14ac:dyDescent="0.2">
      <c r="A182" s="47" t="s">
        <v>757</v>
      </c>
      <c r="B182" s="50">
        <v>2.3085501266141803E-4</v>
      </c>
      <c r="C182" s="43">
        <v>0.22880000000000009</v>
      </c>
      <c r="D182" s="50">
        <v>2.033395268049552E-5</v>
      </c>
      <c r="E182" s="45">
        <v>27.215542200000012</v>
      </c>
    </row>
    <row r="183" spans="1:5" x14ac:dyDescent="0.2">
      <c r="A183" s="47" t="s">
        <v>484</v>
      </c>
      <c r="B183" s="50">
        <v>7.6951670887139315E-5</v>
      </c>
      <c r="C183" s="43">
        <v>0.24299999999999999</v>
      </c>
      <c r="D183" s="50">
        <v>7.1923588083848778E-6</v>
      </c>
      <c r="E183" s="45">
        <v>9.0718474000000011</v>
      </c>
    </row>
    <row r="184" spans="1:5" x14ac:dyDescent="0.2">
      <c r="A184" s="47" t="s">
        <v>875</v>
      </c>
      <c r="B184" s="50">
        <v>1.133498112167562E-2</v>
      </c>
      <c r="C184" s="43">
        <v>5.9900000000000029</v>
      </c>
      <c r="D184" s="50">
        <v>2.6115277244139111E-2</v>
      </c>
      <c r="E184" s="45">
        <v>1336.2831220200001</v>
      </c>
    </row>
    <row r="185" spans="1:5" x14ac:dyDescent="0.2">
      <c r="A185" s="47" t="s">
        <v>911</v>
      </c>
      <c r="B185" s="50">
        <v>1.8468401012913436E-4</v>
      </c>
      <c r="C185" s="43">
        <v>0.11799999999999999</v>
      </c>
      <c r="D185" s="50">
        <v>8.3822058211300304E-6</v>
      </c>
      <c r="E185" s="45">
        <v>21.772433760000002</v>
      </c>
    </row>
    <row r="186" spans="1:5" x14ac:dyDescent="0.2">
      <c r="A186" s="47" t="s">
        <v>921</v>
      </c>
      <c r="B186" s="50">
        <v>3.0780668354855726E-4</v>
      </c>
      <c r="C186" s="43">
        <v>0.61699999999999999</v>
      </c>
      <c r="D186" s="50">
        <v>7.3048319090921311E-5</v>
      </c>
      <c r="E186" s="45">
        <v>36.287389600000004</v>
      </c>
    </row>
    <row r="187" spans="1:5" x14ac:dyDescent="0.2">
      <c r="A187" s="47" t="s">
        <v>1043</v>
      </c>
      <c r="B187" s="50">
        <v>3.8475835443569663E-4</v>
      </c>
      <c r="C187" s="43">
        <v>0.61699999999999999</v>
      </c>
      <c r="D187" s="50">
        <v>9.1310398863651626E-5</v>
      </c>
      <c r="E187" s="45">
        <v>45.359237000000007</v>
      </c>
    </row>
    <row r="188" spans="1:5" x14ac:dyDescent="0.2">
      <c r="A188" s="47" t="s">
        <v>806</v>
      </c>
      <c r="B188" s="50">
        <v>8.0799254431496278E-4</v>
      </c>
      <c r="C188" s="43">
        <v>0.70099999999999985</v>
      </c>
      <c r="D188" s="50">
        <v>2.1785743625150981E-4</v>
      </c>
      <c r="E188" s="45">
        <v>95.254397699999998</v>
      </c>
    </row>
    <row r="189" spans="1:5" x14ac:dyDescent="0.2">
      <c r="A189" s="47" t="s">
        <v>891</v>
      </c>
      <c r="B189" s="50">
        <v>1.3851300759685076E-3</v>
      </c>
      <c r="C189" s="43">
        <v>0.61699999999999999</v>
      </c>
      <c r="D189" s="50">
        <v>3.2871743590914582E-4</v>
      </c>
      <c r="E189" s="45">
        <v>163.29325320000001</v>
      </c>
    </row>
    <row r="190" spans="1:5" x14ac:dyDescent="0.2">
      <c r="A190" s="47" t="s">
        <v>834</v>
      </c>
      <c r="B190" s="50">
        <v>3.8475835443569658E-5</v>
      </c>
      <c r="C190" s="43">
        <v>0.27400000000000002</v>
      </c>
      <c r="D190" s="50">
        <v>4.054951262340446E-6</v>
      </c>
      <c r="E190" s="45">
        <v>4.5359237000000006</v>
      </c>
    </row>
    <row r="191" spans="1:5" x14ac:dyDescent="0.2">
      <c r="A191" s="47" t="s">
        <v>821</v>
      </c>
      <c r="B191" s="50">
        <v>7.6951670887139315E-5</v>
      </c>
      <c r="C191" s="43">
        <v>0.27400000000000002</v>
      </c>
      <c r="D191" s="50">
        <v>8.109902524680892E-6</v>
      </c>
      <c r="E191" s="45">
        <v>9.0718474000000011</v>
      </c>
    </row>
    <row r="192" spans="1:5" x14ac:dyDescent="0.2">
      <c r="A192" s="47" t="s">
        <v>994</v>
      </c>
      <c r="B192" s="50">
        <v>3.8475835443569658E-5</v>
      </c>
      <c r="C192" s="43">
        <v>1.1319999999999999</v>
      </c>
      <c r="D192" s="50">
        <v>1.6752572368501402E-5</v>
      </c>
      <c r="E192" s="45">
        <v>4.5359237000000006</v>
      </c>
    </row>
    <row r="193" spans="1:5" x14ac:dyDescent="0.2">
      <c r="A193" s="47" t="s">
        <v>228</v>
      </c>
      <c r="B193" s="50">
        <v>2.2115910212963841E-3</v>
      </c>
      <c r="C193" s="43">
        <v>0.24900000000000003</v>
      </c>
      <c r="D193" s="50">
        <v>2.1181230307033892E-4</v>
      </c>
      <c r="E193" s="45">
        <v>260.72489427600004</v>
      </c>
    </row>
    <row r="194" spans="1:5" x14ac:dyDescent="0.2">
      <c r="A194" s="47" t="s">
        <v>218</v>
      </c>
      <c r="B194" s="50">
        <v>7.2950184001008061E-3</v>
      </c>
      <c r="C194" s="43">
        <v>0.52499999999999969</v>
      </c>
      <c r="D194" s="50">
        <v>1.4731016374210514E-3</v>
      </c>
      <c r="E194" s="45">
        <v>860.01113351999993</v>
      </c>
    </row>
    <row r="195" spans="1:5" x14ac:dyDescent="0.2">
      <c r="A195" s="47" t="s">
        <v>885</v>
      </c>
      <c r="B195" s="50">
        <v>2.616356810162737E-3</v>
      </c>
      <c r="C195" s="43">
        <v>0.52500000000000013</v>
      </c>
      <c r="D195" s="50">
        <v>5.2832759148012376E-4</v>
      </c>
      <c r="E195" s="45">
        <v>308.44281160000008</v>
      </c>
    </row>
    <row r="196" spans="1:5" x14ac:dyDescent="0.2">
      <c r="A196" s="47" t="s">
        <v>909</v>
      </c>
      <c r="B196" s="50">
        <v>5.1942377848819055E-4</v>
      </c>
      <c r="C196" s="43">
        <v>0.87</v>
      </c>
      <c r="D196" s="50">
        <v>1.7381533786930116E-4</v>
      </c>
      <c r="E196" s="45">
        <v>61.234969950000021</v>
      </c>
    </row>
    <row r="197" spans="1:5" x14ac:dyDescent="0.2">
      <c r="A197" s="47" t="s">
        <v>801</v>
      </c>
      <c r="B197" s="50">
        <v>2.9498140506736738E-3</v>
      </c>
      <c r="C197" s="43">
        <v>0.52500000000000013</v>
      </c>
      <c r="D197" s="50">
        <v>5.9566346098249249E-4</v>
      </c>
      <c r="E197" s="45">
        <v>347.75415033333337</v>
      </c>
    </row>
    <row r="198" spans="1:5" x14ac:dyDescent="0.2">
      <c r="A198" s="47" t="s">
        <v>908</v>
      </c>
      <c r="B198" s="50">
        <v>1.2989442045749115E-3</v>
      </c>
      <c r="C198" s="43">
        <v>0.79900000000000004</v>
      </c>
      <c r="D198" s="50">
        <v>3.9919426473968657E-4</v>
      </c>
      <c r="E198" s="45">
        <v>153.132784112</v>
      </c>
    </row>
    <row r="199" spans="1:5" x14ac:dyDescent="0.2">
      <c r="A199" s="47" t="s">
        <v>937</v>
      </c>
      <c r="B199" s="50">
        <v>1.3557858388035453E-3</v>
      </c>
      <c r="C199" s="43">
        <v>0.79900000000000015</v>
      </c>
      <c r="D199" s="50">
        <v>4.1666295531360339E-4</v>
      </c>
      <c r="E199" s="45">
        <v>159.83385539146667</v>
      </c>
    </row>
    <row r="200" spans="1:5" x14ac:dyDescent="0.2">
      <c r="A200" s="47" t="s">
        <v>802</v>
      </c>
      <c r="B200" s="50">
        <v>1.6672862025546853E-3</v>
      </c>
      <c r="C200" s="43">
        <v>0.52500000000000002</v>
      </c>
      <c r="D200" s="50">
        <v>3.3667934751184362E-4</v>
      </c>
      <c r="E200" s="45">
        <v>196.55669366666669</v>
      </c>
    </row>
    <row r="201" spans="1:5" x14ac:dyDescent="0.2">
      <c r="A201" s="47" t="s">
        <v>758</v>
      </c>
      <c r="B201" s="50">
        <v>9.6805201976021271E-3</v>
      </c>
      <c r="C201" s="43">
        <v>0.91400000000000026</v>
      </c>
      <c r="D201" s="50">
        <v>3.4032347597475867E-3</v>
      </c>
      <c r="E201" s="45">
        <v>1141.2384029200002</v>
      </c>
    </row>
    <row r="202" spans="1:5" x14ac:dyDescent="0.2">
      <c r="A202" s="47" t="s">
        <v>759</v>
      </c>
      <c r="B202" s="50">
        <v>5.1372935484254166E-2</v>
      </c>
      <c r="C202" s="43">
        <v>0.21699999999999983</v>
      </c>
      <c r="D202" s="50">
        <v>4.2878652949945271E-3</v>
      </c>
      <c r="E202" s="45">
        <v>6056.365324239996</v>
      </c>
    </row>
    <row r="203" spans="1:5" x14ac:dyDescent="0.2">
      <c r="A203" s="47" t="s">
        <v>914</v>
      </c>
      <c r="B203" s="50">
        <v>1.8468401012913436E-3</v>
      </c>
      <c r="C203" s="43">
        <v>1.5449999999999999</v>
      </c>
      <c r="D203" s="50">
        <v>1.0975006774276181E-3</v>
      </c>
      <c r="E203" s="45">
        <v>217.72433760000001</v>
      </c>
    </row>
    <row r="204" spans="1:5" x14ac:dyDescent="0.2">
      <c r="A204" s="47" t="s">
        <v>877</v>
      </c>
      <c r="B204" s="50">
        <v>1.8468401012913436E-4</v>
      </c>
      <c r="C204" s="43">
        <v>0.34699999999999998</v>
      </c>
      <c r="D204" s="50">
        <v>2.4649367965526441E-5</v>
      </c>
      <c r="E204" s="45">
        <v>21.772433760000002</v>
      </c>
    </row>
    <row r="205" spans="1:5" x14ac:dyDescent="0.2">
      <c r="A205" s="47" t="s">
        <v>882</v>
      </c>
      <c r="B205" s="50">
        <v>8.0799254431496278E-4</v>
      </c>
      <c r="C205" s="43">
        <v>0.68400000000000005</v>
      </c>
      <c r="D205" s="50">
        <v>2.1257416033670858E-4</v>
      </c>
      <c r="E205" s="45">
        <v>95.254397699999998</v>
      </c>
    </row>
    <row r="206" spans="1:5" x14ac:dyDescent="0.2">
      <c r="A206" s="47" t="s">
        <v>859</v>
      </c>
      <c r="B206" s="50">
        <v>1.6621560911622094E-2</v>
      </c>
      <c r="C206" s="43">
        <v>1.5409999999999979</v>
      </c>
      <c r="D206" s="50">
        <v>9.851933265529857E-3</v>
      </c>
      <c r="E206" s="45">
        <v>1959.5190384000002</v>
      </c>
    </row>
    <row r="207" spans="1:5" x14ac:dyDescent="0.2">
      <c r="A207" s="47" t="s">
        <v>999</v>
      </c>
      <c r="B207" s="50">
        <v>0</v>
      </c>
      <c r="C207" s="43">
        <v>1.28</v>
      </c>
      <c r="D207" s="50">
        <v>0</v>
      </c>
      <c r="E207" s="45">
        <v>0</v>
      </c>
    </row>
    <row r="208" spans="1:5" x14ac:dyDescent="0.2">
      <c r="A208" s="47" t="s">
        <v>795</v>
      </c>
      <c r="B208" s="50">
        <v>3.1396281721952838E-3</v>
      </c>
      <c r="C208" s="43">
        <v>0.158</v>
      </c>
      <c r="D208" s="50">
        <v>1.9080173589453608E-4</v>
      </c>
      <c r="E208" s="45">
        <v>370.13137391999999</v>
      </c>
    </row>
    <row r="209" spans="1:5" x14ac:dyDescent="0.2">
      <c r="A209" s="47" t="s">
        <v>97</v>
      </c>
      <c r="B209" s="50">
        <v>3.8475835443569658E-6</v>
      </c>
      <c r="C209" s="43">
        <v>0.221</v>
      </c>
      <c r="D209" s="50">
        <v>3.2705993758293374E-7</v>
      </c>
      <c r="E209" s="45">
        <v>0.45359237000000002</v>
      </c>
    </row>
    <row r="210" spans="1:5" x14ac:dyDescent="0.2">
      <c r="A210" s="47" t="s">
        <v>906</v>
      </c>
      <c r="B210" s="50">
        <v>4.8633456000672052E-4</v>
      </c>
      <c r="C210" s="43">
        <v>2.3340000000000001</v>
      </c>
      <c r="D210" s="50">
        <v>4.3659926625279154E-4</v>
      </c>
      <c r="E210" s="45">
        <v>57.33407556800001</v>
      </c>
    </row>
    <row r="211" spans="1:5" x14ac:dyDescent="0.2">
      <c r="A211" s="47" t="s">
        <v>216</v>
      </c>
      <c r="B211" s="50">
        <v>4.0799775904361264E-4</v>
      </c>
      <c r="C211" s="43">
        <v>0.27500000000000002</v>
      </c>
      <c r="D211" s="50">
        <v>4.3155632759529102E-5</v>
      </c>
      <c r="E211" s="45">
        <v>48.098934914800004</v>
      </c>
    </row>
    <row r="212" spans="1:5" x14ac:dyDescent="0.2">
      <c r="A212" s="47" t="s">
        <v>840</v>
      </c>
      <c r="B212" s="50">
        <v>7.6951670887139315E-5</v>
      </c>
      <c r="C212" s="43">
        <v>1.0074E-2</v>
      </c>
      <c r="D212" s="50">
        <v>2.9817210961180761E-7</v>
      </c>
      <c r="E212" s="45">
        <v>9.0718474000000011</v>
      </c>
    </row>
    <row r="213" spans="1:5" x14ac:dyDescent="0.2">
      <c r="A213" s="47" t="s">
        <v>951</v>
      </c>
      <c r="B213" s="50">
        <v>1.7314125949606345E-3</v>
      </c>
      <c r="C213" s="43">
        <v>0.63900000000000001</v>
      </c>
      <c r="D213" s="50">
        <v>4.2554789616277194E-4</v>
      </c>
      <c r="E213" s="45">
        <v>204.1165665</v>
      </c>
    </row>
    <row r="214" spans="1:5" x14ac:dyDescent="0.2">
      <c r="A214" s="47" t="s">
        <v>933</v>
      </c>
      <c r="B214" s="50">
        <v>5.1788474507044749E-3</v>
      </c>
      <c r="C214" s="43">
        <v>0.25800000000000001</v>
      </c>
      <c r="D214" s="50">
        <v>5.1392511495271611E-4</v>
      </c>
      <c r="E214" s="45">
        <v>610.53533001999995</v>
      </c>
    </row>
    <row r="215" spans="1:5" x14ac:dyDescent="0.2">
      <c r="A215" s="47" t="s">
        <v>963</v>
      </c>
      <c r="B215" s="50">
        <v>5.3866169620997526E-4</v>
      </c>
      <c r="C215" s="43">
        <v>1.1539999999999999</v>
      </c>
      <c r="D215" s="50">
        <v>2.3909413355610302E-4</v>
      </c>
      <c r="E215" s="45">
        <v>63.502931800000013</v>
      </c>
    </row>
    <row r="216" spans="1:5" x14ac:dyDescent="0.2">
      <c r="A216" s="47" t="s">
        <v>962</v>
      </c>
      <c r="B216" s="50">
        <v>8.4646837975853252E-4</v>
      </c>
      <c r="C216" s="43">
        <v>1.1539999999999999</v>
      </c>
      <c r="D216" s="50">
        <v>3.7571935273101903E-4</v>
      </c>
      <c r="E216" s="45">
        <v>99.79032140000001</v>
      </c>
    </row>
    <row r="217" spans="1:5" x14ac:dyDescent="0.2">
      <c r="A217" s="47" t="s">
        <v>965</v>
      </c>
      <c r="B217" s="50">
        <v>1.73718397027717E-3</v>
      </c>
      <c r="C217" s="43">
        <v>0.25800000000000001</v>
      </c>
      <c r="D217" s="50">
        <v>1.7239018529060273E-4</v>
      </c>
      <c r="E217" s="45">
        <v>204.79695505500001</v>
      </c>
    </row>
    <row r="218" spans="1:5" x14ac:dyDescent="0.2">
      <c r="A218" s="47" t="s">
        <v>869</v>
      </c>
      <c r="B218" s="50">
        <v>4.8854692054472572E-3</v>
      </c>
      <c r="C218" s="43">
        <v>0.86999999999999966</v>
      </c>
      <c r="D218" s="50">
        <v>1.6348298167373721E-3</v>
      </c>
      <c r="E218" s="45">
        <v>575.94891180750005</v>
      </c>
    </row>
    <row r="219" spans="1:5" x14ac:dyDescent="0.2">
      <c r="A219" s="47" t="s">
        <v>1039</v>
      </c>
      <c r="B219" s="50">
        <v>7.9164031425144564E-4</v>
      </c>
      <c r="C219" s="43">
        <v>0.87</v>
      </c>
      <c r="D219" s="50">
        <v>2.6490745012302755E-4</v>
      </c>
      <c r="E219" s="45">
        <v>93.326630127499996</v>
      </c>
    </row>
    <row r="220" spans="1:5" x14ac:dyDescent="0.2">
      <c r="A220" s="47" t="s">
        <v>907</v>
      </c>
      <c r="B220" s="50">
        <v>3.8192076157173333E-3</v>
      </c>
      <c r="C220" s="43">
        <v>0.87</v>
      </c>
      <c r="D220" s="50">
        <v>1.2780255537223342E-3</v>
      </c>
      <c r="E220" s="45">
        <v>450.24712627125007</v>
      </c>
    </row>
    <row r="221" spans="1:5" x14ac:dyDescent="0.2">
      <c r="A221" s="47" t="s">
        <v>763</v>
      </c>
      <c r="B221" s="50">
        <v>5.3558362937448948E-3</v>
      </c>
      <c r="C221" s="43">
        <v>0.30700000000000022</v>
      </c>
      <c r="D221" s="50">
        <v>6.3243032564000564E-4</v>
      </c>
      <c r="E221" s="45">
        <v>631.40057903999991</v>
      </c>
    </row>
    <row r="222" spans="1:5" x14ac:dyDescent="0.2">
      <c r="A222" s="47" t="s">
        <v>765</v>
      </c>
      <c r="B222" s="50">
        <v>2.0402880517159595E-2</v>
      </c>
      <c r="C222" s="43">
        <v>1.2289999999999994</v>
      </c>
      <c r="D222" s="50">
        <v>9.6447369308636684E-3</v>
      </c>
      <c r="E222" s="45">
        <v>2405.2995398055577</v>
      </c>
    </row>
    <row r="223" spans="1:5" x14ac:dyDescent="0.2">
      <c r="A223" s="47" t="s">
        <v>248</v>
      </c>
      <c r="B223" s="50">
        <v>5.9714496608420115E-3</v>
      </c>
      <c r="C223" s="43">
        <v>0.61400000000000043</v>
      </c>
      <c r="D223" s="50">
        <v>1.4102469330363342E-3</v>
      </c>
      <c r="E223" s="45">
        <v>703.97535824000011</v>
      </c>
    </row>
    <row r="224" spans="1:5" x14ac:dyDescent="0.2">
      <c r="A224" s="47" t="s">
        <v>190</v>
      </c>
      <c r="B224" s="50">
        <v>4.3285314874015862E-5</v>
      </c>
      <c r="C224" s="43">
        <v>1.147</v>
      </c>
      <c r="D224" s="50">
        <v>1.9096378595410774E-5</v>
      </c>
      <c r="E224" s="45">
        <v>5.1029141625000003</v>
      </c>
    </row>
    <row r="225" spans="1:5" x14ac:dyDescent="0.2">
      <c r="A225" s="47" t="s">
        <v>781</v>
      </c>
      <c r="B225" s="50">
        <v>3.0780668354855726E-4</v>
      </c>
      <c r="C225" s="43">
        <v>0.61399999999999999</v>
      </c>
      <c r="D225" s="50">
        <v>7.2693140878161557E-5</v>
      </c>
      <c r="E225" s="45">
        <v>36.287389600000004</v>
      </c>
    </row>
    <row r="226" spans="1:5" x14ac:dyDescent="0.2">
      <c r="A226" s="47" t="s">
        <v>860</v>
      </c>
      <c r="B226" s="50">
        <v>4.5170630810750781E-3</v>
      </c>
      <c r="C226" s="43">
        <v>0.69999999999999973</v>
      </c>
      <c r="D226" s="50">
        <v>1.2161893968581665E-3</v>
      </c>
      <c r="E226" s="45">
        <v>532.51744238000003</v>
      </c>
    </row>
    <row r="227" spans="1:5" x14ac:dyDescent="0.2">
      <c r="A227" s="47" t="s">
        <v>1055</v>
      </c>
      <c r="B227" s="50">
        <v>1.9237917721784829E-4</v>
      </c>
      <c r="C227" s="43">
        <v>0.7</v>
      </c>
      <c r="D227" s="50">
        <v>5.179682269412977E-5</v>
      </c>
      <c r="E227" s="45">
        <v>22.6796185</v>
      </c>
    </row>
    <row r="228" spans="1:5" x14ac:dyDescent="0.2">
      <c r="A228" s="47" t="s">
        <v>981</v>
      </c>
      <c r="B228" s="50">
        <v>7.6951670887139315E-5</v>
      </c>
      <c r="C228" s="43">
        <v>1.1319999999999999</v>
      </c>
      <c r="D228" s="50">
        <v>3.3505144737002804E-5</v>
      </c>
      <c r="E228" s="45">
        <v>9.0718474000000011</v>
      </c>
    </row>
    <row r="229" spans="1:5" x14ac:dyDescent="0.2">
      <c r="A229" s="47" t="s">
        <v>989</v>
      </c>
      <c r="B229" s="50">
        <v>6.7224979687004914E-3</v>
      </c>
      <c r="C229" s="43">
        <v>2.6460000000000004</v>
      </c>
      <c r="D229" s="50">
        <v>6.8417552910054781E-3</v>
      </c>
      <c r="E229" s="45">
        <v>792.51658886400014</v>
      </c>
    </row>
    <row r="230" spans="1:5" x14ac:dyDescent="0.2">
      <c r="A230" s="47" t="s">
        <v>1050</v>
      </c>
      <c r="B230" s="50">
        <v>2.3085501266141795E-5</v>
      </c>
      <c r="C230" s="43">
        <v>0.84799999999999998</v>
      </c>
      <c r="D230" s="50">
        <v>7.5297781105066366E-6</v>
      </c>
      <c r="E230" s="45">
        <v>2.7215542200000002</v>
      </c>
    </row>
    <row r="231" spans="1:5" x14ac:dyDescent="0.2">
      <c r="A231" s="47" t="s">
        <v>1058</v>
      </c>
      <c r="B231" s="50">
        <v>2.3085501266141795E-4</v>
      </c>
      <c r="C231" s="43">
        <v>0.75700000000000001</v>
      </c>
      <c r="D231" s="50">
        <v>6.7217476764782117E-5</v>
      </c>
      <c r="E231" s="45">
        <v>27.215542200000002</v>
      </c>
    </row>
    <row r="232" spans="1:5" x14ac:dyDescent="0.2">
      <c r="A232" s="47" t="s">
        <v>915</v>
      </c>
      <c r="B232" s="50">
        <v>7.6182154178267925E-3</v>
      </c>
      <c r="C232" s="43">
        <v>0.30199999999999988</v>
      </c>
      <c r="D232" s="50">
        <v>8.8492651709090944E-4</v>
      </c>
      <c r="E232" s="45">
        <v>898.11289260000012</v>
      </c>
    </row>
    <row r="233" spans="1:5" x14ac:dyDescent="0.2">
      <c r="A233" s="47" t="s">
        <v>24</v>
      </c>
      <c r="B233" s="50">
        <v>2.0007434430656221E-3</v>
      </c>
      <c r="C233" s="43">
        <v>0.30199999999999999</v>
      </c>
      <c r="D233" s="50">
        <v>2.3240494388246117E-4</v>
      </c>
      <c r="E233" s="45">
        <v>235.8680324</v>
      </c>
    </row>
    <row r="234" spans="1:5" x14ac:dyDescent="0.2">
      <c r="A234" s="47" t="s">
        <v>777</v>
      </c>
      <c r="B234" s="50">
        <v>1.1311895620409482E-3</v>
      </c>
      <c r="C234" s="43">
        <v>0.19599999999999998</v>
      </c>
      <c r="D234" s="50">
        <v>8.5278288883615264E-5</v>
      </c>
      <c r="E234" s="45">
        <v>133.35615678000005</v>
      </c>
    </row>
    <row r="235" spans="1:5" x14ac:dyDescent="0.2">
      <c r="A235" s="47" t="s">
        <v>864</v>
      </c>
      <c r="B235" s="50">
        <v>1.3555806343478461E-3</v>
      </c>
      <c r="C235" s="43">
        <v>6.7539999999999996</v>
      </c>
      <c r="D235" s="50">
        <v>3.521546516701658E-3</v>
      </c>
      <c r="E235" s="45">
        <v>159.80966379840001</v>
      </c>
    </row>
    <row r="236" spans="1:5" x14ac:dyDescent="0.2">
      <c r="A236" s="47" t="s">
        <v>991</v>
      </c>
      <c r="B236" s="50">
        <v>6.7779031717392303E-4</v>
      </c>
      <c r="C236" s="43">
        <v>6.7539999999999996</v>
      </c>
      <c r="D236" s="50">
        <v>1.760773258350829E-3</v>
      </c>
      <c r="E236" s="45">
        <v>79.904831899200005</v>
      </c>
    </row>
    <row r="237" spans="1:5" x14ac:dyDescent="0.2">
      <c r="A237" s="47" t="s">
        <v>902</v>
      </c>
      <c r="B237" s="50">
        <v>6.7779031717392303E-4</v>
      </c>
      <c r="C237" s="43">
        <v>6.7539999999999996</v>
      </c>
      <c r="D237" s="50">
        <v>1.760773258350829E-3</v>
      </c>
      <c r="E237" s="45">
        <v>79.904831899200005</v>
      </c>
    </row>
    <row r="238" spans="1:5" x14ac:dyDescent="0.2">
      <c r="A238" s="47" t="s">
        <v>193</v>
      </c>
      <c r="B238" s="50">
        <v>2.8580429128736528E-3</v>
      </c>
      <c r="C238" s="43">
        <v>1.664000000000001</v>
      </c>
      <c r="D238" s="50">
        <v>1.8292332396262839E-3</v>
      </c>
      <c r="E238" s="45">
        <v>336.93523310582844</v>
      </c>
    </row>
    <row r="239" spans="1:5" x14ac:dyDescent="0.2">
      <c r="A239" s="47" t="s">
        <v>194</v>
      </c>
      <c r="B239" s="50">
        <v>4.9428623266505815E-2</v>
      </c>
      <c r="C239" s="43">
        <v>0.46999999999999925</v>
      </c>
      <c r="D239" s="50">
        <v>8.9355932087326496E-3</v>
      </c>
      <c r="E239" s="45">
        <v>5827.1499799333333</v>
      </c>
    </row>
    <row r="240" spans="1:5" x14ac:dyDescent="0.2">
      <c r="A240" s="47" t="s">
        <v>917</v>
      </c>
      <c r="B240" s="50">
        <v>9.2342005064567178E-4</v>
      </c>
      <c r="C240" s="43">
        <v>0.11799999999999999</v>
      </c>
      <c r="D240" s="50">
        <v>4.1911029105650147E-5</v>
      </c>
      <c r="E240" s="45">
        <v>108.86216880000001</v>
      </c>
    </row>
    <row r="241" spans="1:5" x14ac:dyDescent="0.2">
      <c r="A241" s="47" t="s">
        <v>855</v>
      </c>
      <c r="B241" s="50">
        <v>7.3288562044366656E-4</v>
      </c>
      <c r="C241" s="43">
        <v>1.28</v>
      </c>
      <c r="D241" s="50">
        <v>3.6082214799748721E-4</v>
      </c>
      <c r="E241" s="45">
        <v>86.400027883350702</v>
      </c>
    </row>
    <row r="242" spans="1:5" x14ac:dyDescent="0.2">
      <c r="A242" s="47" t="s">
        <v>892</v>
      </c>
      <c r="B242" s="50">
        <v>3.2979852919964993E-3</v>
      </c>
      <c r="C242" s="43">
        <v>1.28</v>
      </c>
      <c r="D242" s="50">
        <v>1.6236996659886925E-3</v>
      </c>
      <c r="E242" s="45">
        <v>388.80012547507818</v>
      </c>
    </row>
    <row r="243" spans="1:5" x14ac:dyDescent="0.2">
      <c r="A243" s="47" t="s">
        <v>894</v>
      </c>
      <c r="B243" s="50">
        <v>8.0617418248803325E-4</v>
      </c>
      <c r="C243" s="43">
        <v>1.2800000000000002</v>
      </c>
      <c r="D243" s="50">
        <v>3.9690436279723611E-4</v>
      </c>
      <c r="E243" s="45">
        <v>95.040030671685784</v>
      </c>
    </row>
    <row r="244" spans="1:5" x14ac:dyDescent="0.2">
      <c r="A244" s="47" t="s">
        <v>872</v>
      </c>
      <c r="B244" s="50">
        <v>1.930895180918075E-3</v>
      </c>
      <c r="C244" s="43">
        <v>0.33999999999999991</v>
      </c>
      <c r="D244" s="50">
        <v>2.5251351822804999E-4</v>
      </c>
      <c r="E244" s="45">
        <v>227.63360723349405</v>
      </c>
    </row>
    <row r="245" spans="1:5" x14ac:dyDescent="0.2">
      <c r="A245" s="47" t="s">
        <v>985</v>
      </c>
      <c r="B245" s="50">
        <v>9.5804830254488463E-4</v>
      </c>
      <c r="C245" s="43">
        <v>0.34699999999999992</v>
      </c>
      <c r="D245" s="50">
        <v>1.2786859632116845E-4</v>
      </c>
      <c r="E245" s="45">
        <v>112.94450013000002</v>
      </c>
    </row>
    <row r="246" spans="1:5" x14ac:dyDescent="0.2">
      <c r="A246" s="47" t="s">
        <v>873</v>
      </c>
      <c r="B246" s="50">
        <v>1.1648943938895153E-3</v>
      </c>
      <c r="C246" s="43">
        <v>0.78000000000000014</v>
      </c>
      <c r="D246" s="50">
        <v>3.4948470600920835E-4</v>
      </c>
      <c r="E246" s="45">
        <v>137.32962594120005</v>
      </c>
    </row>
    <row r="247" spans="1:5" x14ac:dyDescent="0.2">
      <c r="A247" s="47" t="s">
        <v>856</v>
      </c>
      <c r="B247" s="50">
        <v>1.7100664477018887E-4</v>
      </c>
      <c r="C247" s="43">
        <v>1.28</v>
      </c>
      <c r="D247" s="50">
        <v>8.4191834532747046E-5</v>
      </c>
      <c r="E247" s="45">
        <v>20.160006506115167</v>
      </c>
    </row>
    <row r="248" spans="1:5" x14ac:dyDescent="0.2">
      <c r="A248" s="47" t="s">
        <v>871</v>
      </c>
      <c r="B248" s="50">
        <v>8.3107804558110471E-4</v>
      </c>
      <c r="C248" s="43"/>
      <c r="D248" s="50">
        <v>0</v>
      </c>
      <c r="E248" s="45">
        <v>97.975951920000014</v>
      </c>
    </row>
    <row r="249" spans="1:5" ht="17" thickBot="1" x14ac:dyDescent="0.25">
      <c r="A249" s="47" t="s">
        <v>766</v>
      </c>
      <c r="B249" s="50">
        <v>1.6929367595170649E-4</v>
      </c>
      <c r="C249" s="43">
        <v>1.2290000000000001</v>
      </c>
      <c r="D249" s="50">
        <v>8.0027570971650343E-5</v>
      </c>
      <c r="E249" s="45">
        <v>19.958064280000002</v>
      </c>
    </row>
    <row r="250" spans="1:5" ht="17" thickTop="1" x14ac:dyDescent="0.2">
      <c r="A250" s="44" t="s">
        <v>1070</v>
      </c>
      <c r="B250" s="50">
        <v>1</v>
      </c>
      <c r="C250" s="43">
        <v>2.6855551774777187</v>
      </c>
      <c r="D250" s="50">
        <v>1</v>
      </c>
      <c r="E250" s="49">
        <v>117890.19387642936</v>
      </c>
    </row>
  </sheetData>
  <phoneticPr fontId="12" type="noConversion"/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G5"/>
  <sheetViews>
    <sheetView workbookViewId="0">
      <selection activeCell="A31" sqref="A31"/>
    </sheetView>
  </sheetViews>
  <sheetFormatPr baseColWidth="10" defaultRowHeight="16" x14ac:dyDescent="0.2"/>
  <cols>
    <col min="3" max="3" width="14.33203125" bestFit="1" customWidth="1"/>
    <col min="4" max="4" width="21.83203125" bestFit="1" customWidth="1"/>
    <col min="5" max="5" width="26.33203125" bestFit="1" customWidth="1"/>
    <col min="6" max="6" width="15" customWidth="1"/>
    <col min="7" max="7" width="14" bestFit="1" customWidth="1"/>
  </cols>
  <sheetData>
    <row r="1" spans="1:7" x14ac:dyDescent="0.2">
      <c r="A1" s="64" t="s">
        <v>1095</v>
      </c>
      <c r="B1" s="64" t="s">
        <v>6</v>
      </c>
      <c r="C1" s="64" t="s">
        <v>1096</v>
      </c>
      <c r="D1" s="64" t="s">
        <v>1097</v>
      </c>
      <c r="E1" s="64" t="s">
        <v>1098</v>
      </c>
      <c r="F1" s="64" t="s">
        <v>1099</v>
      </c>
      <c r="G1" s="64"/>
    </row>
    <row r="2" spans="1:7" x14ac:dyDescent="0.2">
      <c r="A2" t="s">
        <v>1100</v>
      </c>
      <c r="B2" s="55">
        <v>18143.695</v>
      </c>
      <c r="C2">
        <v>250</v>
      </c>
      <c r="D2">
        <v>1.7</v>
      </c>
      <c r="E2">
        <v>32.845999999999997</v>
      </c>
      <c r="F2" s="52">
        <f>B2*C2*D2*E2</f>
        <v>253277817.53724998</v>
      </c>
    </row>
    <row r="3" spans="1:7" x14ac:dyDescent="0.2">
      <c r="A3" t="s">
        <v>1101</v>
      </c>
      <c r="B3" s="55">
        <v>18143.695</v>
      </c>
      <c r="C3">
        <v>2173</v>
      </c>
      <c r="D3">
        <v>1.7</v>
      </c>
      <c r="E3">
        <v>0.308</v>
      </c>
      <c r="F3" s="52">
        <f t="shared" ref="F3:F5" si="0">B3*C3*D3*E3</f>
        <v>20643584.099445999</v>
      </c>
    </row>
    <row r="4" spans="1:7" x14ac:dyDescent="0.2">
      <c r="A4" t="s">
        <v>1102</v>
      </c>
      <c r="B4" s="55">
        <v>18143.695</v>
      </c>
      <c r="C4">
        <v>2173</v>
      </c>
      <c r="D4">
        <v>1.7</v>
      </c>
      <c r="E4">
        <v>0.49099999999999999</v>
      </c>
      <c r="F4" s="52">
        <f t="shared" si="0"/>
        <v>32909090.236454498</v>
      </c>
    </row>
    <row r="5" spans="1:7" x14ac:dyDescent="0.2">
      <c r="A5" t="s">
        <v>798</v>
      </c>
      <c r="B5" s="55">
        <v>18143.695</v>
      </c>
      <c r="C5">
        <v>2173</v>
      </c>
      <c r="D5">
        <v>1.7</v>
      </c>
      <c r="E5">
        <v>1.6639999999999999</v>
      </c>
      <c r="F5" s="52">
        <f t="shared" si="0"/>
        <v>111528973.83596799</v>
      </c>
    </row>
  </sheetData>
  <phoneticPr fontId="1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September Week 1</vt:lpstr>
      <vt:lpstr>October Week 1</vt:lpstr>
      <vt:lpstr>November Week 1</vt:lpstr>
      <vt:lpstr>December Week 1</vt:lpstr>
      <vt:lpstr>January Week 3 </vt:lpstr>
      <vt:lpstr>February Week 1</vt:lpstr>
      <vt:lpstr>September through February</vt:lpstr>
      <vt:lpstr>Sept to Feb Pivot</vt:lpstr>
      <vt:lpstr>food miles</vt:lpstr>
      <vt:lpstr>Beef, blk bean, Bey. B., tofu</vt:lpstr>
      <vt:lpstr>dairy milk vs soy milk</vt:lpstr>
      <vt:lpstr>CFP Plant-Based Red. Scenario</vt:lpstr>
      <vt:lpstr>Altered Reduction Scenario</vt:lpstr>
      <vt:lpstr>Blended Burger </vt:lpstr>
      <vt:lpstr>Cool Food Pledge</vt:lpstr>
      <vt:lpstr>2018-19 Extrap Data w Breaks</vt:lpstr>
      <vt:lpstr>2018-19 Extrap. Data(no breaks)</vt:lpstr>
      <vt:lpstr>December Sysco pivot</vt:lpstr>
      <vt:lpstr>December 2018 (Sysco)</vt:lpstr>
      <vt:lpstr>Jan Sysco pivot</vt:lpstr>
      <vt:lpstr>January 2019 (Sysco)</vt:lpstr>
      <vt:lpstr>Feb Sysco Pivot</vt:lpstr>
      <vt:lpstr>February 2019 (Sysco)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2019-04-07T17:15:57Z</cp:lastPrinted>
  <dcterms:created xsi:type="dcterms:W3CDTF">2019-02-24T21:20:31Z</dcterms:created>
  <dcterms:modified xsi:type="dcterms:W3CDTF">2019-04-07T17:22:59Z</dcterms:modified>
</cp:coreProperties>
</file>